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guid\AppData\Roaming\iManage\Work\Recent\AER25010616 - Monitoring team - CitiPower 2026-31 Determination\"/>
    </mc:Choice>
  </mc:AlternateContent>
  <xr:revisionPtr revIDLastSave="0" documentId="8_{1ECCE5F2-BE54-4882-B476-F4A8533A2014}" xr6:coauthVersionLast="47" xr6:coauthVersionMax="47" xr10:uidLastSave="{00000000-0000-0000-0000-000000000000}"/>
  <bookViews>
    <workbookView xWindow="-120" yWindow="-120" windowWidth="38640" windowHeight="21120" xr2:uid="{416A98BB-9A09-4515-8CCB-D0CBB59C1E87}"/>
  </bookViews>
  <sheets>
    <sheet name="Cover" sheetId="20" r:id="rId1"/>
    <sheet name="Output | Final Decision tables" sheetId="19" r:id="rId2"/>
    <sheet name="STPIS inputs" sheetId="21" r:id="rId3"/>
    <sheet name="Target adjustments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7" l="1"/>
  <c r="T17" i="17"/>
  <c r="AA31" i="17"/>
  <c r="AA30" i="17"/>
  <c r="Z31" i="17"/>
  <c r="Z30" i="17"/>
  <c r="R31" i="17"/>
  <c r="R30" i="17"/>
  <c r="Q31" i="17"/>
  <c r="Q30" i="17"/>
  <c r="I31" i="17"/>
  <c r="I33" i="17"/>
  <c r="I30" i="17"/>
  <c r="H31" i="17"/>
  <c r="H33" i="17"/>
  <c r="H30" i="17"/>
  <c r="I20" i="17"/>
  <c r="I19" i="17"/>
  <c r="R20" i="17"/>
  <c r="R19" i="17"/>
  <c r="B2" i="19"/>
  <c r="I5" i="21"/>
  <c r="H5" i="21"/>
  <c r="G5" i="21"/>
  <c r="F5" i="21"/>
  <c r="E5" i="21"/>
  <c r="Y8" i="17" l="1"/>
  <c r="Y9" i="17"/>
  <c r="P8" i="17"/>
  <c r="P9" i="17"/>
  <c r="G8" i="17"/>
  <c r="G9" i="17"/>
  <c r="G11" i="17"/>
  <c r="G20" i="23"/>
  <c r="D12" i="19" l="1"/>
  <c r="D18" i="19" s="1"/>
  <c r="C12" i="19"/>
  <c r="C18" i="19" s="1"/>
  <c r="G33" i="17" l="1"/>
  <c r="D5" i="21"/>
  <c r="D11" i="17"/>
  <c r="E11" i="17"/>
  <c r="E33" i="17" s="1"/>
  <c r="F11" i="17"/>
  <c r="F33" i="17" s="1"/>
  <c r="C11" i="17"/>
  <c r="C33" i="17" s="1"/>
  <c r="H11" i="17" l="1"/>
  <c r="D33" i="17"/>
  <c r="I11" i="17"/>
  <c r="D25" i="19" l="1"/>
  <c r="D7" i="14" l="1"/>
  <c r="C20" i="23" l="1"/>
  <c r="L8" i="17"/>
  <c r="X9" i="17" l="1"/>
  <c r="X8" i="17"/>
  <c r="W9" i="17"/>
  <c r="W8" i="17"/>
  <c r="V9" i="17"/>
  <c r="V8" i="17"/>
  <c r="U9" i="17"/>
  <c r="U8" i="17"/>
  <c r="AA8" i="17" l="1"/>
  <c r="AA9" i="17"/>
  <c r="Z9" i="17"/>
  <c r="Z8" i="17" l="1"/>
  <c r="E20" i="23" l="1"/>
  <c r="D32" i="23" l="1"/>
  <c r="C32" i="23"/>
  <c r="D27" i="23"/>
  <c r="C27" i="23"/>
  <c r="E7" i="21" l="1"/>
  <c r="E10" i="21" s="1"/>
  <c r="D7" i="21"/>
  <c r="D10" i="21" s="1"/>
  <c r="A40" i="23"/>
  <c r="A39" i="23"/>
  <c r="E11" i="14"/>
  <c r="D11" i="14"/>
  <c r="E4" i="14"/>
  <c r="D4" i="14"/>
  <c r="F20" i="23" l="1"/>
  <c r="D28" i="19" l="1"/>
  <c r="C28" i="19"/>
  <c r="E8" i="21"/>
  <c r="D8" i="21"/>
  <c r="L9" i="17"/>
  <c r="M9" i="17"/>
  <c r="N9" i="17"/>
  <c r="O9" i="17"/>
  <c r="M8" i="17"/>
  <c r="N8" i="17"/>
  <c r="O8" i="17"/>
  <c r="C9" i="17"/>
  <c r="D9" i="17"/>
  <c r="E9" i="17"/>
  <c r="F9" i="17"/>
  <c r="D8" i="17"/>
  <c r="E8" i="17"/>
  <c r="F8" i="17"/>
  <c r="C8" i="17"/>
  <c r="D20" i="23"/>
  <c r="I9" i="17" l="1"/>
  <c r="H20" i="23"/>
  <c r="R9" i="17"/>
  <c r="R8" i="17"/>
  <c r="I8" i="17"/>
  <c r="D23" i="23" l="1"/>
  <c r="D25" i="23" s="1"/>
  <c r="C34" i="23" l="1"/>
  <c r="C35" i="23" s="1"/>
  <c r="D34" i="23"/>
  <c r="D24" i="23"/>
  <c r="D35" i="23" l="1"/>
  <c r="G31" i="17" s="1"/>
  <c r="F30" i="17"/>
  <c r="D29" i="23"/>
  <c r="D30" i="23" s="1"/>
  <c r="C29" i="23"/>
  <c r="C30" i="23" s="1"/>
  <c r="E31" i="17" l="1"/>
  <c r="F31" i="17"/>
  <c r="D31" i="17"/>
  <c r="C31" i="17"/>
  <c r="D30" i="17"/>
  <c r="C30" i="17"/>
  <c r="P31" i="17"/>
  <c r="X31" i="17"/>
  <c r="P30" i="17"/>
  <c r="Y30" i="17"/>
  <c r="Y31" i="17"/>
  <c r="E30" i="17"/>
  <c r="G30" i="17"/>
  <c r="M31" i="17"/>
  <c r="N31" i="17"/>
  <c r="O31" i="17"/>
  <c r="L31" i="17"/>
  <c r="W30" i="17"/>
  <c r="U30" i="17"/>
  <c r="V30" i="17"/>
  <c r="L30" i="17"/>
  <c r="O30" i="17"/>
  <c r="M30" i="17"/>
  <c r="W31" i="17"/>
  <c r="V31" i="17"/>
  <c r="X30" i="17"/>
  <c r="U31" i="17"/>
  <c r="N30" i="17"/>
  <c r="B8" i="21" l="1"/>
  <c r="E6" i="14"/>
  <c r="D6" i="14"/>
  <c r="D5" i="14"/>
  <c r="E5" i="14"/>
  <c r="D14" i="21"/>
  <c r="D12" i="14" s="1"/>
  <c r="C29" i="19" s="1"/>
  <c r="Q8" i="17"/>
  <c r="Q9" i="17"/>
  <c r="H8" i="17"/>
  <c r="H9" i="17"/>
  <c r="E12" i="14" l="1"/>
  <c r="D29" i="19" s="1"/>
  <c r="E7" i="14"/>
  <c r="D13" i="14"/>
  <c r="D10" i="14" l="1"/>
  <c r="C15" i="19" s="1"/>
  <c r="E10" i="14"/>
  <c r="D15" i="19" s="1"/>
  <c r="E13" i="14"/>
  <c r="C19" i="19"/>
  <c r="D8" i="14" l="1"/>
  <c r="C14" i="19" s="1"/>
  <c r="E8" i="14"/>
  <c r="D14" i="19" s="1"/>
  <c r="D9" i="14"/>
  <c r="E9" i="14"/>
  <c r="D13" i="19" s="1"/>
  <c r="D19" i="19"/>
  <c r="C13" i="19" l="1"/>
  <c r="D14" i="14"/>
  <c r="E14" i="14"/>
  <c r="E15" i="14" s="1"/>
  <c r="D15" i="14" l="1"/>
  <c r="C21" i="19" s="1"/>
  <c r="C20" i="19"/>
  <c r="D20" i="19"/>
  <c r="D21" i="19"/>
</calcChain>
</file>

<file path=xl/sharedStrings.xml><?xml version="1.0" encoding="utf-8"?>
<sst xmlns="http://schemas.openxmlformats.org/spreadsheetml/2006/main" count="246" uniqueCount="145">
  <si>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</si>
  <si>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</si>
  <si>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</si>
  <si>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</si>
  <si>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</si>
  <si>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</si>
  <si>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</si>
  <si>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</si>
  <si>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</si>
  <si>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</si>
  <si>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</si>
  <si>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</si>
  <si>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</si>
  <si>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</si>
  <si>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</si>
  <si>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</si>
  <si>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</si>
  <si>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</si>
  <si>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</si>
  <si>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</si>
  <si>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</si>
  <si>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</si>
  <si>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</si>
  <si>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</si>
  <si>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</si>
  <si>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</si>
  <si>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</si>
  <si>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</si>
  <si>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</si>
  <si>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</si>
  <si>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</si>
  <si>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</si>
  <si>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</si>
  <si>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</si>
  <si>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</si>
  <si>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</si>
  <si>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</si>
  <si>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</si>
  <si>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</si>
  <si>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</si>
  <si>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</si>
  <si>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</si>
  <si>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</si>
  <si>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</si>
  <si>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</si>
  <si>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</si>
  <si>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</si>
  <si>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</si>
  <si>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</si>
  <si>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</si>
  <si>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</si>
  <si>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</si>
  <si>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</si>
  <si>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</si>
  <si>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</si>
  <si>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</si>
  <si>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</si>
  <si>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</si>
  <si>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</si>
  <si>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</si>
  <si>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</si>
  <si>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</si>
  <si>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</si>
  <si>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</si>
  <si>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</si>
  <si>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</si>
  <si>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</si>
  <si>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</si>
  <si>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</si>
  <si>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</si>
  <si>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</si>
  <si>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SAIFI - CBD</t>
  </si>
  <si>
    <t>Unplanned SAIFI - urban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</si>
  <si>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</si>
  <si>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</si>
  <si>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</si>
  <si>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</si>
  <si>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</si>
  <si>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</si>
  <si>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CitiPower</t>
  </si>
  <si>
    <t>2026-31</t>
  </si>
  <si>
    <t>AER Decision STPIS for 2026-31</t>
  </si>
  <si>
    <t>STPIS Incentive rates for 2026-31 period</t>
  </si>
  <si>
    <t>Inputs average smoothed revenues, average annual energy consumptions, CPI and network feeders type.</t>
  </si>
  <si>
    <t>Calculates incentive rates by STPIS parameters and network feeder types.</t>
  </si>
  <si>
    <t>Legend</t>
  </si>
  <si>
    <t>Calculated figure</t>
  </si>
  <si>
    <t>Data Input</t>
  </si>
  <si>
    <t>2030-31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</si>
  <si>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</si>
  <si>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</si>
  <si>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</si>
  <si>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</si>
  <si>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</si>
  <si>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</si>
  <si>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</si>
  <si>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SAIDI adjustment</t>
  </si>
  <si>
    <t>SAIFI adjustment</t>
  </si>
  <si>
    <t>Backcasted data (Actual)</t>
  </si>
  <si>
    <t>Forecast Energy Consumption by Network Type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</si>
  <si>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</si>
  <si>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</si>
  <si>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</si>
  <si>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</si>
  <si>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</si>
  <si>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</si>
  <si>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</si>
  <si>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</si>
  <si>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</si>
  <si>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</si>
  <si>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</si>
  <si>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</si>
  <si>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</si>
  <si>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</si>
  <si>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</si>
  <si>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Value of Customer Reliability (VCR) for VIC ($/MWh)</t>
  </si>
  <si>
    <t>Linked Input</t>
  </si>
  <si>
    <t>Beta Method (Major Event Day Threshold calculation)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</si>
  <si>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</si>
  <si>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</si>
  <si>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</si>
  <si>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</si>
  <si>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Table 2:
Business VCR values</t>
  </si>
  <si>
    <t>Table 20: 
Regional VCR</t>
  </si>
  <si>
    <t>Telephone Answering</t>
  </si>
  <si>
    <t>Telephone Answering (customer service)</t>
  </si>
  <si>
    <t>Customer service</t>
  </si>
  <si>
    <t>2021H1</t>
  </si>
  <si>
    <t>Revenue Smoothing ($ Real 2025-26)</t>
  </si>
  <si>
    <t>STPIS reliability targets for 2026-31 period</t>
  </si>
  <si>
    <t>(5 years - 2020/21 to 2024/25)</t>
  </si>
  <si>
    <t>Part 1: Adjustment of Reliability of Supply performance target</t>
  </si>
  <si>
    <t>Appendix F of the STPIS: Adjustment of performance target where the reward or penalty exceeds the revenue cap (right)</t>
  </si>
  <si>
    <t>Did not exceed revenue at risk</t>
  </si>
  <si>
    <t>AER PTRM Outputs</t>
  </si>
  <si>
    <t>▪ Annual information Orders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</si>
  <si>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Annual information Orders</t>
    </r>
  </si>
  <si>
    <t>Target adjustments</t>
  </si>
  <si>
    <t>Calculates performance target adjustments</t>
  </si>
  <si>
    <t>Calculates performance targets for each network feeder type for the upcoming regulatory control period (based on historical performance and if applicable, any performance target adjustments)</t>
  </si>
  <si>
    <t>Decision (with Adjustments)</t>
  </si>
  <si>
    <t>MAIFI / MAIFIe  (interruptions)</t>
  </si>
  <si>
    <t>MAIFI / MAIFIe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</si>
  <si>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 / MAIFIe</t>
    </r>
  </si>
  <si>
    <t xml:space="preserve">VCR values has been escalated to the December 2024 quarter.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</si>
</sst>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0.0000"/>
    <numFmt numFmtId="169" formatCode="_-* #,##0.00000000000000_-;\-* #,##0.00000000000000_-;_-* &quot;-&quot;??_-;_-@_-"/>
    <numFmt numFmtId="170" formatCode="_-* #,##0.000000000000000_-;\-* #,##0.000000000000000_-;_-* &quot;-&quot;??_-;_-@_-"/>
    <numFmt numFmtId="171" formatCode="_-* #,##0_-;\-* #,##0_-;_-* &quot;-&quot;??_-;_-@_-"/>
    <numFmt numFmtId="172" formatCode="_-* #,##0.0_-;\-* #,##0.0_-;_-* &quot;-&quot;??_-;_-@_-"/>
    <numFmt numFmtId="173" formatCode="_(* #,##0.0_);_(* \(#,##0.0\);_(* &quot;-&quot;??_);_(@_)"/>
    <numFmt numFmtId="174" formatCode="_(&quot;$&quot;* #,##0_);_(&quot;$&quot;* \(#,##0\);_(&quot;$&quot;* &quot;-&quot;??_);_(@_)"/>
    <numFmt numFmtId="175" formatCode="#,##0.0000"/>
    <numFmt numFmtId="176" formatCode="0.00;\-0.00;\-;@"/>
    <numFmt numFmtId="177" formatCode="0.0000%"/>
    <numFmt numFmtId="178" formatCode="0.00000%"/>
    <numFmt numFmtId="179" formatCode="0.0000000;\-0.0000000;\-;@"/>
    <numFmt numFmtId="180" formatCode="0.0000000"/>
    <numFmt numFmtId="181" formatCode="_(* #,##0_);_(* \(#,##0\);_(* &quot;-&quot;??_);_(@_)"/>
    <numFmt numFmtId="182" formatCode="0.0%"/>
    <numFmt numFmtId="183" formatCode="0.0000;\-0.0000;\-;@"/>
    <numFmt numFmtId="184" formatCode="0.000%"/>
    <numFmt numFmtId="185" formatCode="_-* #,##0.000_-;\-* #,##0.000_-;_-* &quot;-&quot;??_-;_-@_-"/>
    <numFmt numFmtId="186" formatCode="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8"/>
      <name val="Verdana Pro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11" borderId="0" applyNumberFormat="0" applyBorder="0" applyAlignment="0" applyProtection="0"/>
    <xf numFmtId="0" fontId="34" fillId="0" borderId="0" applyFill="0" applyBorder="0">
      <alignment horizontal="left" vertical="center"/>
    </xf>
    <xf numFmtId="0" fontId="35" fillId="14" borderId="6">
      <alignment horizontal="left" vertical="center"/>
      <protection locked="0"/>
    </xf>
    <xf numFmtId="0" fontId="36" fillId="14" borderId="6">
      <alignment horizontal="left" vertical="center"/>
      <protection locked="0"/>
    </xf>
  </cellStyleXfs>
  <cellXfs count="222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1" fontId="16" fillId="0" borderId="0" xfId="9" applyNumberFormat="1" applyFont="1"/>
    <xf numFmtId="171" fontId="11" fillId="0" borderId="0" xfId="12" applyNumberFormat="1" applyFont="1" applyAlignment="1" applyProtection="1"/>
    <xf numFmtId="171" fontId="17" fillId="0" borderId="0" xfId="9" applyNumberFormat="1" applyFont="1"/>
    <xf numFmtId="172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1" fontId="19" fillId="0" borderId="4" xfId="12" applyNumberFormat="1" applyFont="1" applyBorder="1" applyAlignment="1" applyProtection="1"/>
    <xf numFmtId="171" fontId="20" fillId="0" borderId="4" xfId="9" applyNumberFormat="1" applyFont="1" applyBorder="1"/>
    <xf numFmtId="171" fontId="17" fillId="0" borderId="4" xfId="9" applyNumberFormat="1" applyFont="1" applyBorder="1"/>
    <xf numFmtId="172" fontId="17" fillId="0" borderId="4" xfId="9" applyNumberFormat="1" applyFont="1" applyBorder="1"/>
    <xf numFmtId="0" fontId="17" fillId="0" borderId="4" xfId="9" applyFont="1" applyBorder="1"/>
    <xf numFmtId="171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4" fillId="0" borderId="0" xfId="0" applyFont="1"/>
    <xf numFmtId="0" fontId="6" fillId="7" borderId="0" xfId="9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171" fontId="25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5" fillId="0" borderId="0" xfId="1" applyFont="1" applyAlignment="1">
      <alignment vertical="center"/>
    </xf>
    <xf numFmtId="17" fontId="25" fillId="10" borderId="1" xfId="0" applyNumberFormat="1" applyFont="1" applyFill="1" applyBorder="1" applyAlignment="1">
      <alignment horizontal="left" vertical="center"/>
    </xf>
    <xf numFmtId="0" fontId="27" fillId="10" borderId="0" xfId="0" applyFont="1" applyFill="1" applyAlignment="1">
      <alignment horizontal="left" vertical="center"/>
    </xf>
    <xf numFmtId="0" fontId="25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166" fontId="28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29" fillId="0" borderId="0" xfId="0" applyFont="1"/>
    <xf numFmtId="0" fontId="25" fillId="0" borderId="1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8" fontId="25" fillId="10" borderId="0" xfId="0" applyNumberFormat="1" applyFont="1" applyFill="1" applyAlignment="1">
      <alignment horizontal="center" vertical="center"/>
    </xf>
    <xf numFmtId="0" fontId="25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2" fillId="10" borderId="0" xfId="9" applyFont="1" applyFill="1" applyAlignment="1">
      <alignment vertical="center"/>
    </xf>
    <xf numFmtId="168" fontId="25" fillId="0" borderId="0" xfId="0" applyNumberFormat="1" applyFont="1"/>
    <xf numFmtId="167" fontId="25" fillId="0" borderId="0" xfId="0" applyNumberFormat="1" applyFont="1"/>
    <xf numFmtId="0" fontId="32" fillId="13" borderId="0" xfId="0" applyFont="1" applyFill="1" applyProtection="1">
      <protection locked="0"/>
    </xf>
    <xf numFmtId="176" fontId="37" fillId="14" borderId="7" xfId="20" applyNumberFormat="1" applyFont="1" applyBorder="1" applyAlignment="1">
      <alignment horizontal="center" vertical="center"/>
      <protection locked="0"/>
    </xf>
    <xf numFmtId="10" fontId="37" fillId="14" borderId="7" xfId="11" applyNumberFormat="1" applyFont="1" applyFill="1" applyBorder="1" applyAlignment="1" applyProtection="1">
      <alignment horizontal="center" vertical="center"/>
      <protection locked="0"/>
    </xf>
    <xf numFmtId="168" fontId="37" fillId="14" borderId="7" xfId="20" applyNumberFormat="1" applyFont="1" applyBorder="1" applyAlignment="1">
      <alignment horizontal="center" vertical="center"/>
      <protection locked="0"/>
    </xf>
    <xf numFmtId="167" fontId="37" fillId="14" borderId="7" xfId="20" applyNumberFormat="1" applyFont="1" applyBorder="1" applyAlignment="1">
      <alignment horizontal="center" vertical="center"/>
      <protection locked="0"/>
    </xf>
    <xf numFmtId="177" fontId="37" fillId="14" borderId="7" xfId="11" applyNumberFormat="1" applyFont="1" applyFill="1" applyBorder="1" applyAlignment="1" applyProtection="1">
      <alignment horizontal="center" vertical="center"/>
      <protection locked="0"/>
    </xf>
    <xf numFmtId="167" fontId="25" fillId="5" borderId="1" xfId="0" applyNumberFormat="1" applyFont="1" applyFill="1" applyBorder="1"/>
    <xf numFmtId="0" fontId="37" fillId="14" borderId="6" xfId="21" applyFont="1">
      <alignment horizontal="left" vertical="center"/>
      <protection locked="0"/>
    </xf>
    <xf numFmtId="0" fontId="37" fillId="14" borderId="7" xfId="11" applyNumberFormat="1" applyFont="1" applyFill="1" applyBorder="1" applyAlignment="1" applyProtection="1">
      <alignment horizontal="center" vertical="center"/>
      <protection locked="0"/>
    </xf>
    <xf numFmtId="168" fontId="25" fillId="15" borderId="1" xfId="0" applyNumberFormat="1" applyFont="1" applyFill="1" applyBorder="1" applyAlignment="1">
      <alignment horizontal="center" vertical="center"/>
    </xf>
    <xf numFmtId="3" fontId="25" fillId="15" borderId="1" xfId="2" applyNumberFormat="1" applyFont="1" applyFill="1" applyBorder="1" applyAlignment="1">
      <alignment horizontal="center" vertical="center"/>
    </xf>
    <xf numFmtId="2" fontId="25" fillId="14" borderId="1" xfId="1" applyNumberFormat="1" applyFont="1" applyFill="1" applyBorder="1" applyAlignment="1">
      <alignment horizontal="center" vertical="center"/>
    </xf>
    <xf numFmtId="10" fontId="25" fillId="14" borderId="1" xfId="0" applyNumberFormat="1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180" fontId="25" fillId="15" borderId="1" xfId="11" applyNumberFormat="1" applyFont="1" applyFill="1" applyBorder="1" applyAlignment="1">
      <alignment horizontal="center" vertical="center"/>
    </xf>
    <xf numFmtId="37" fontId="25" fillId="14" borderId="1" xfId="0" applyNumberFormat="1" applyFont="1" applyFill="1" applyBorder="1" applyAlignment="1">
      <alignment horizontal="center" vertical="center"/>
    </xf>
    <xf numFmtId="177" fontId="37" fillId="15" borderId="7" xfId="11" applyNumberFormat="1" applyFont="1" applyFill="1" applyBorder="1" applyAlignment="1" applyProtection="1">
      <alignment horizontal="center" vertical="center"/>
      <protection locked="0"/>
    </xf>
    <xf numFmtId="178" fontId="37" fillId="15" borderId="7" xfId="11" applyNumberFormat="1" applyFont="1" applyFill="1" applyBorder="1" applyAlignment="1" applyProtection="1">
      <alignment horizontal="center" vertical="center"/>
      <protection locked="0"/>
    </xf>
    <xf numFmtId="10" fontId="37" fillId="15" borderId="7" xfId="11" applyNumberFormat="1" applyFont="1" applyFill="1" applyBorder="1" applyAlignment="1" applyProtection="1">
      <alignment horizontal="center" vertical="center"/>
      <protection locked="0"/>
    </xf>
    <xf numFmtId="179" fontId="37" fillId="15" borderId="7" xfId="20" applyNumberFormat="1" applyFont="1" applyFill="1" applyBorder="1" applyAlignment="1">
      <alignment horizontal="center" vertical="center"/>
      <protection locked="0"/>
    </xf>
    <xf numFmtId="0" fontId="39" fillId="10" borderId="0" xfId="0" applyFont="1" applyFill="1" applyAlignment="1">
      <alignment horizontal="left" vertical="center"/>
    </xf>
    <xf numFmtId="0" fontId="40" fillId="10" borderId="0" xfId="12" applyFont="1" applyFill="1" applyAlignment="1">
      <alignment horizontal="left" vertical="center"/>
    </xf>
    <xf numFmtId="181" fontId="37" fillId="14" borderId="7" xfId="1" applyNumberFormat="1" applyFont="1" applyFill="1" applyBorder="1" applyAlignment="1" applyProtection="1">
      <alignment horizontal="center" vertical="center"/>
      <protection locked="0"/>
    </xf>
    <xf numFmtId="0" fontId="25" fillId="10" borderId="0" xfId="0" applyFont="1" applyFill="1"/>
    <xf numFmtId="0" fontId="29" fillId="10" borderId="0" xfId="0" applyFont="1" applyFill="1"/>
    <xf numFmtId="177" fontId="37" fillId="10" borderId="0" xfId="11" applyNumberFormat="1" applyFont="1" applyFill="1" applyBorder="1" applyAlignment="1" applyProtection="1">
      <alignment horizontal="center" vertical="center"/>
      <protection locked="0"/>
    </xf>
    <xf numFmtId="164" fontId="25" fillId="14" borderId="1" xfId="0" applyNumberFormat="1" applyFont="1" applyFill="1" applyBorder="1" applyAlignment="1">
      <alignment horizontal="center" vertical="center"/>
    </xf>
    <xf numFmtId="177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6" fontId="37" fillId="10" borderId="0" xfId="20" applyNumberFormat="1" applyFont="1" applyFill="1" applyBorder="1" applyAlignment="1">
      <alignment horizontal="center" vertical="center"/>
      <protection locked="0"/>
    </xf>
    <xf numFmtId="10" fontId="37" fillId="10" borderId="0" xfId="11" applyNumberFormat="1" applyFont="1" applyFill="1" applyBorder="1" applyAlignment="1" applyProtection="1">
      <alignment horizontal="center" vertical="center"/>
      <protection locked="0"/>
    </xf>
    <xf numFmtId="178" fontId="37" fillId="10" borderId="0" xfId="11" applyNumberFormat="1" applyFont="1" applyFill="1" applyBorder="1" applyAlignment="1" applyProtection="1">
      <alignment horizontal="center" vertical="center"/>
      <protection locked="0"/>
    </xf>
    <xf numFmtId="179" fontId="37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5" fillId="16" borderId="0" xfId="0" applyFont="1" applyFill="1"/>
    <xf numFmtId="168" fontId="25" fillId="17" borderId="1" xfId="0" applyNumberFormat="1" applyFont="1" applyFill="1" applyBorder="1" applyAlignment="1">
      <alignment horizontal="center" vertical="center"/>
    </xf>
    <xf numFmtId="168" fontId="25" fillId="10" borderId="0" xfId="0" applyNumberFormat="1" applyFont="1" applyFill="1" applyAlignment="1">
      <alignment vertical="center"/>
    </xf>
    <xf numFmtId="0" fontId="25" fillId="10" borderId="0" xfId="0" applyFont="1" applyFill="1" applyAlignment="1">
      <alignment horizontal="center"/>
    </xf>
    <xf numFmtId="0" fontId="25" fillId="10" borderId="11" xfId="0" applyFont="1" applyFill="1" applyBorder="1"/>
    <xf numFmtId="0" fontId="25" fillId="10" borderId="12" xfId="0" applyFont="1" applyFill="1" applyBorder="1"/>
    <xf numFmtId="0" fontId="25" fillId="10" borderId="13" xfId="0" applyFont="1" applyFill="1" applyBorder="1" applyAlignment="1">
      <alignment horizontal="left" vertical="center" indent="1"/>
    </xf>
    <xf numFmtId="0" fontId="25" fillId="10" borderId="14" xfId="0" applyFont="1" applyFill="1" applyBorder="1" applyAlignment="1">
      <alignment horizontal="left" vertical="center" indent="1"/>
    </xf>
    <xf numFmtId="3" fontId="37" fillId="14" borderId="7" xfId="20" applyNumberFormat="1" applyFont="1" applyBorder="1" applyAlignment="1">
      <alignment horizontal="center" vertical="center"/>
      <protection locked="0"/>
    </xf>
    <xf numFmtId="0" fontId="25" fillId="17" borderId="0" xfId="0" applyFont="1" applyFill="1" applyAlignment="1">
      <alignment vertical="center"/>
    </xf>
    <xf numFmtId="0" fontId="25" fillId="15" borderId="11" xfId="0" applyFont="1" applyFill="1" applyBorder="1" applyAlignment="1">
      <alignment vertical="center"/>
    </xf>
    <xf numFmtId="0" fontId="25" fillId="10" borderId="13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5" fillId="10" borderId="13" xfId="0" applyFont="1" applyFill="1" applyBorder="1"/>
    <xf numFmtId="0" fontId="6" fillId="10" borderId="0" xfId="0" applyFont="1" applyFill="1"/>
    <xf numFmtId="0" fontId="26" fillId="10" borderId="0" xfId="0" applyFont="1" applyFill="1"/>
    <xf numFmtId="168" fontId="25" fillId="10" borderId="0" xfId="0" applyNumberFormat="1" applyFont="1" applyFill="1"/>
    <xf numFmtId="0" fontId="25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13" fillId="10" borderId="0" xfId="0" applyFont="1" applyFill="1"/>
    <xf numFmtId="0" fontId="12" fillId="10" borderId="0" xfId="0" applyFont="1" applyFill="1"/>
    <xf numFmtId="0" fontId="23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5" fillId="10" borderId="0" xfId="0" applyNumberFormat="1" applyFont="1" applyFill="1" applyAlignment="1">
      <alignment vertical="center"/>
    </xf>
    <xf numFmtId="166" fontId="25" fillId="10" borderId="0" xfId="1" applyFont="1" applyFill="1" applyAlignment="1">
      <alignment vertical="center"/>
    </xf>
    <xf numFmtId="173" fontId="25" fillId="10" borderId="0" xfId="0" applyNumberFormat="1" applyFont="1" applyFill="1" applyAlignment="1">
      <alignment horizontal="right"/>
    </xf>
    <xf numFmtId="173" fontId="11" fillId="10" borderId="0" xfId="15" applyNumberFormat="1" applyFont="1" applyFill="1" applyBorder="1" applyAlignment="1">
      <alignment horizontal="right"/>
    </xf>
    <xf numFmtId="174" fontId="25" fillId="10" borderId="0" xfId="2" applyNumberFormat="1" applyFont="1" applyFill="1"/>
    <xf numFmtId="164" fontId="25" fillId="10" borderId="0" xfId="0" applyNumberFormat="1" applyFont="1" applyFill="1" applyAlignment="1">
      <alignment vertical="center"/>
    </xf>
    <xf numFmtId="164" fontId="25" fillId="15" borderId="1" xfId="0" applyNumberFormat="1" applyFont="1" applyFill="1" applyBorder="1" applyAlignment="1">
      <alignment horizontal="center" vertical="center"/>
    </xf>
    <xf numFmtId="3" fontId="25" fillId="17" borderId="1" xfId="0" applyNumberFormat="1" applyFont="1" applyFill="1" applyBorder="1" applyAlignment="1">
      <alignment horizontal="center" vertical="center"/>
    </xf>
    <xf numFmtId="178" fontId="37" fillId="17" borderId="7" xfId="11" applyNumberFormat="1" applyFont="1" applyFill="1" applyBorder="1" applyAlignment="1" applyProtection="1">
      <alignment horizontal="center" vertical="center"/>
      <protection locked="0"/>
    </xf>
    <xf numFmtId="166" fontId="25" fillId="10" borderId="0" xfId="0" applyNumberFormat="1" applyFont="1" applyFill="1" applyAlignment="1">
      <alignment horizontal="center"/>
    </xf>
    <xf numFmtId="166" fontId="25" fillId="10" borderId="0" xfId="0" applyNumberFormat="1" applyFont="1" applyFill="1"/>
    <xf numFmtId="170" fontId="25" fillId="10" borderId="0" xfId="0" applyNumberFormat="1" applyFont="1" applyFill="1"/>
    <xf numFmtId="169" fontId="25" fillId="10" borderId="0" xfId="0" applyNumberFormat="1" applyFont="1" applyFill="1"/>
    <xf numFmtId="168" fontId="25" fillId="17" borderId="1" xfId="11" applyNumberFormat="1" applyFont="1" applyFill="1" applyBorder="1" applyAlignment="1">
      <alignment horizontal="center" vertical="center"/>
    </xf>
    <xf numFmtId="3" fontId="25" fillId="17" borderId="1" xfId="1" applyNumberFormat="1" applyFont="1" applyFill="1" applyBorder="1" applyAlignment="1">
      <alignment horizontal="center" vertical="center"/>
    </xf>
    <xf numFmtId="3" fontId="25" fillId="17" borderId="1" xfId="2" applyNumberFormat="1" applyFont="1" applyFill="1" applyBorder="1" applyAlignment="1">
      <alignment horizontal="center" vertical="center"/>
    </xf>
    <xf numFmtId="175" fontId="25" fillId="17" borderId="1" xfId="0" applyNumberFormat="1" applyFont="1" applyFill="1" applyBorder="1" applyAlignment="1">
      <alignment horizontal="center" vertical="center"/>
    </xf>
    <xf numFmtId="168" fontId="11" fillId="17" borderId="1" xfId="0" applyNumberFormat="1" applyFont="1" applyFill="1" applyBorder="1" applyAlignment="1">
      <alignment horizontal="center" vertical="center"/>
    </xf>
    <xf numFmtId="168" fontId="29" fillId="17" borderId="1" xfId="0" applyNumberFormat="1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7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7" fillId="10" borderId="7" xfId="20" applyNumberFormat="1" applyFont="1" applyFill="1" applyBorder="1" applyAlignment="1">
      <alignment horizontal="center" vertical="center"/>
      <protection locked="0"/>
    </xf>
    <xf numFmtId="177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2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11" fillId="10" borderId="0" xfId="9" applyFont="1" applyFill="1" applyAlignment="1" applyProtection="1">
      <alignment wrapText="1"/>
      <protection locked="0"/>
    </xf>
    <xf numFmtId="0" fontId="6" fillId="2" borderId="16" xfId="0" applyFont="1" applyFill="1" applyBorder="1" applyAlignment="1">
      <alignment horizontal="center" vertical="center"/>
    </xf>
    <xf numFmtId="3" fontId="25" fillId="10" borderId="0" xfId="0" applyNumberFormat="1" applyFont="1" applyFill="1" applyAlignment="1">
      <alignment horizontal="center" vertical="center"/>
    </xf>
    <xf numFmtId="0" fontId="40" fillId="10" borderId="17" xfId="12" applyFont="1" applyFill="1" applyBorder="1" applyAlignment="1">
      <alignment horizontal="center" vertical="center" wrapText="1"/>
    </xf>
    <xf numFmtId="182" fontId="25" fillId="14" borderId="1" xfId="11" applyNumberFormat="1" applyFont="1" applyFill="1" applyBorder="1" applyAlignment="1">
      <alignment horizontal="center" vertical="center"/>
    </xf>
    <xf numFmtId="177" fontId="37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5" fillId="10" borderId="0" xfId="1" applyNumberFormat="1" applyFont="1" applyFill="1" applyBorder="1" applyAlignment="1">
      <alignment horizontal="center" vertical="center"/>
    </xf>
    <xf numFmtId="3" fontId="25" fillId="10" borderId="0" xfId="2" applyNumberFormat="1" applyFont="1" applyFill="1" applyBorder="1" applyAlignment="1">
      <alignment horizontal="center" vertical="center"/>
    </xf>
    <xf numFmtId="175" fontId="25" fillId="10" borderId="0" xfId="0" applyNumberFormat="1" applyFont="1" applyFill="1" applyAlignment="1">
      <alignment horizontal="center" vertical="center"/>
    </xf>
    <xf numFmtId="168" fontId="25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8" fillId="10" borderId="1" xfId="0" applyNumberFormat="1" applyFont="1" applyFill="1" applyBorder="1" applyAlignment="1">
      <alignment horizontal="left" vertical="center"/>
    </xf>
    <xf numFmtId="0" fontId="25" fillId="10" borderId="0" xfId="0" applyFont="1" applyFill="1" applyAlignment="1">
      <alignment horizontal="right"/>
    </xf>
    <xf numFmtId="9" fontId="25" fillId="10" borderId="0" xfId="0" applyNumberFormat="1" applyFont="1" applyFill="1" applyAlignment="1">
      <alignment horizontal="left"/>
    </xf>
    <xf numFmtId="0" fontId="28" fillId="10" borderId="0" xfId="0" applyFont="1" applyFill="1" applyAlignment="1">
      <alignment vertical="center"/>
    </xf>
    <xf numFmtId="0" fontId="40" fillId="10" borderId="0" xfId="12" applyFont="1" applyFill="1" applyBorder="1" applyAlignment="1">
      <alignment horizontal="center" vertical="center" wrapText="1"/>
    </xf>
    <xf numFmtId="37" fontId="25" fillId="10" borderId="0" xfId="0" applyNumberFormat="1" applyFont="1" applyFill="1" applyAlignment="1">
      <alignment horizontal="center" vertical="center"/>
    </xf>
    <xf numFmtId="37" fontId="42" fillId="10" borderId="0" xfId="12" applyNumberFormat="1" applyFont="1" applyFill="1" applyBorder="1" applyAlignment="1">
      <alignment horizontal="center" vertical="center" wrapText="1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83" fontId="37" fillId="14" borderId="7" xfId="20" applyNumberFormat="1" applyFont="1" applyBorder="1" applyAlignment="1">
      <alignment horizontal="center" vertical="center"/>
      <protection locked="0"/>
    </xf>
    <xf numFmtId="184" fontId="25" fillId="14" borderId="1" xfId="11" applyNumberFormat="1" applyFont="1" applyFill="1" applyBorder="1" applyAlignment="1">
      <alignment horizontal="center" vertical="center"/>
    </xf>
    <xf numFmtId="10" fontId="25" fillId="17" borderId="1" xfId="11" applyNumberFormat="1" applyFont="1" applyFill="1" applyBorder="1" applyAlignment="1">
      <alignment horizontal="center" vertical="center"/>
    </xf>
    <xf numFmtId="0" fontId="19" fillId="18" borderId="0" xfId="0" applyFont="1" applyFill="1" applyProtection="1">
      <protection locked="0"/>
    </xf>
    <xf numFmtId="10" fontId="29" fillId="10" borderId="0" xfId="11" applyNumberFormat="1" applyFont="1" applyFill="1" applyAlignment="1">
      <alignment horizontal="center"/>
    </xf>
    <xf numFmtId="4" fontId="19" fillId="10" borderId="0" xfId="19" quotePrefix="1" applyNumberFormat="1" applyFont="1" applyFill="1" applyBorder="1" applyAlignment="1">
      <alignment horizontal="center" wrapText="1"/>
    </xf>
    <xf numFmtId="0" fontId="43" fillId="10" borderId="0" xfId="0" applyFont="1" applyFill="1"/>
    <xf numFmtId="0" fontId="15" fillId="10" borderId="0" xfId="12" applyFill="1" applyAlignment="1">
      <alignment vertical="center"/>
    </xf>
    <xf numFmtId="168" fontId="25" fillId="19" borderId="1" xfId="0" applyNumberFormat="1" applyFont="1" applyFill="1" applyBorder="1" applyAlignment="1">
      <alignment horizontal="center" vertical="center"/>
    </xf>
    <xf numFmtId="185" fontId="25" fillId="19" borderId="1" xfId="1" applyNumberFormat="1" applyFont="1" applyFill="1" applyBorder="1" applyAlignment="1">
      <alignment vertical="center"/>
    </xf>
    <xf numFmtId="186" fontId="25" fillId="14" borderId="1" xfId="0" applyNumberFormat="1" applyFont="1" applyFill="1" applyBorder="1" applyAlignment="1">
      <alignment horizontal="center" vertical="center"/>
    </xf>
    <xf numFmtId="177" fontId="11" fillId="9" borderId="9" xfId="11" applyNumberFormat="1" applyFont="1" applyFill="1" applyBorder="1" applyAlignment="1" applyProtection="1">
      <alignment horizontal="center" vertical="center" wrapText="1"/>
      <protection locked="0"/>
    </xf>
    <xf numFmtId="177" fontId="11" fillId="9" borderId="10" xfId="11" applyNumberFormat="1" applyFont="1" applyFill="1" applyBorder="1" applyAlignment="1" applyProtection="1">
      <alignment horizontal="center" vertical="center" wrapText="1"/>
      <protection locked="0"/>
    </xf>
    <xf numFmtId="177" fontId="11" fillId="9" borderId="15" xfId="11" applyNumberFormat="1" applyFont="1" applyFill="1" applyBorder="1" applyAlignment="1" applyProtection="1">
      <alignment horizontal="center" vertical="center" wrapText="1"/>
      <protection locked="0"/>
    </xf>
    <xf numFmtId="177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32" fillId="12" borderId="0" xfId="18" applyFont="1" applyFill="1" applyBorder="1" applyAlignment="1">
      <alignment horizontal="left"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80" fontId="28" fillId="10" borderId="18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0</xdr:row>
      <xdr:rowOff>110541</xdr:rowOff>
    </xdr:from>
    <xdr:to>
      <xdr:col>18</xdr:col>
      <xdr:colOff>479424</xdr:colOff>
      <xdr:row>37</xdr:row>
      <xdr:rowOff>225448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6399" y="11054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37</xdr:row>
      <xdr:rowOff>252954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252503</xdr:colOff>
      <xdr:row>3</xdr:row>
      <xdr:rowOff>4857</xdr:rowOff>
    </xdr:from>
    <xdr:to>
      <xdr:col>10</xdr:col>
      <xdr:colOff>56751</xdr:colOff>
      <xdr:row>7</xdr:row>
      <xdr:rowOff>96301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8328" y="433482"/>
          <a:ext cx="1633047" cy="662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r.gov.au/documents/2024-12-18-aer-final-report-2024-vcr-review" TargetMode="External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aer.gov.au/documents/2024-12-18-aer-final-report-2024-vcr-review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workbookViewId="0">
      <selection activeCell="G27" sqref="G27"/>
    </sheetView>
  </sheetViews>
  <sheetFormatPr defaultColWidth="8.85546875" defaultRowHeight="15"/>
  <cols>
    <col min="1" max="4" width="9.140625" style="120" customWidth="1"/>
    <col min="5" max="5" width="11.140625" style="120" customWidth="1"/>
    <col min="6" max="7" width="8.85546875" style="120"/>
    <col min="8" max="8" width="7.140625" style="120" customWidth="1"/>
    <col min="9" max="12" width="8.85546875" style="120"/>
    <col min="13" max="13" width="10.5703125" style="120" bestFit="1" customWidth="1"/>
    <col min="14" max="16384" width="8.85546875" style="120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20</v>
      </c>
      <c r="K3" s="2"/>
      <c r="L3" s="2"/>
      <c r="M3" s="2"/>
      <c r="N3" s="2"/>
      <c r="O3" s="2"/>
      <c r="P3" s="2"/>
      <c r="Q3" s="2"/>
      <c r="R3" s="2"/>
      <c r="S3" s="6" t="s">
        <v>79</v>
      </c>
      <c r="T3" s="2"/>
      <c r="U3" s="6" t="s">
        <v>80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1"/>
      <c r="J8" s="122"/>
    </row>
    <row r="9" spans="1:34" ht="20.25">
      <c r="L9" s="123"/>
      <c r="M9" s="124"/>
    </row>
    <row r="11" spans="1:34" ht="44.25">
      <c r="E11" s="125"/>
      <c r="F11" s="126"/>
      <c r="H11" s="127"/>
    </row>
    <row r="12" spans="1:34" s="125" customFormat="1" ht="12.75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34" s="125" customFormat="1" ht="13.5" customHeight="1">
      <c r="D13" s="129"/>
      <c r="E13" s="130"/>
      <c r="F13" s="130"/>
      <c r="G13" s="131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34" s="149" customFormat="1" ht="18" customHeight="1">
      <c r="A14" s="125"/>
      <c r="B14" s="125"/>
      <c r="C14" s="25" t="s">
        <v>36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5"/>
      <c r="AC14" s="125"/>
      <c r="AD14" s="148"/>
      <c r="AE14" s="148"/>
      <c r="AF14" s="148"/>
      <c r="AG14" s="148"/>
      <c r="AH14" s="148"/>
    </row>
    <row r="15" spans="1:34" s="125" customFormat="1" ht="12.75">
      <c r="D15" s="133"/>
      <c r="E15" s="134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34" s="125" customFormat="1">
      <c r="C16" s="135"/>
      <c r="D16" s="13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3:22" s="132" customFormat="1" ht="23.25" customHeight="1">
      <c r="C17" s="209" t="s">
        <v>37</v>
      </c>
      <c r="D17" s="137"/>
      <c r="E17" s="138"/>
      <c r="F17" s="138"/>
      <c r="G17" s="138"/>
      <c r="H17" s="139" t="s">
        <v>54</v>
      </c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3:22" s="132" customFormat="1" ht="23.25" customHeight="1">
      <c r="C18" s="209" t="s">
        <v>38</v>
      </c>
      <c r="D18" s="137"/>
      <c r="E18" s="140"/>
      <c r="F18" s="138"/>
      <c r="G18" s="138"/>
      <c r="H18" s="139" t="s">
        <v>83</v>
      </c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3:22" s="132" customFormat="1" ht="23.25" customHeight="1">
      <c r="C19" s="209" t="s">
        <v>137</v>
      </c>
      <c r="D19" s="137"/>
      <c r="E19" s="140"/>
      <c r="F19" s="138"/>
      <c r="G19" s="138"/>
      <c r="H19" s="139" t="s">
        <v>138</v>
      </c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</row>
    <row r="20" spans="3:22" s="132" customFormat="1" ht="23.25" customHeight="1">
      <c r="C20" s="209" t="s">
        <v>39</v>
      </c>
      <c r="D20" s="141"/>
      <c r="E20" s="142"/>
      <c r="F20" s="138"/>
      <c r="G20" s="138"/>
      <c r="H20" s="139" t="s">
        <v>139</v>
      </c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</row>
    <row r="21" spans="3:22" s="132" customFormat="1" ht="23.25" customHeight="1">
      <c r="C21" s="209" t="s">
        <v>40</v>
      </c>
      <c r="D21" s="137"/>
      <c r="E21" s="138"/>
      <c r="F21" s="138"/>
      <c r="G21" s="138"/>
      <c r="H21" s="139" t="s">
        <v>84</v>
      </c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</row>
    <row r="22" spans="3:22" s="125" customFormat="1">
      <c r="C22" s="135"/>
      <c r="D22" s="136"/>
      <c r="E22" s="143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3:22" s="125" customFormat="1">
      <c r="C23" s="135"/>
      <c r="D23" s="144"/>
      <c r="E23" s="144"/>
      <c r="F23" s="144"/>
      <c r="G23" s="96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96"/>
      <c r="V23" s="96"/>
    </row>
    <row r="24" spans="3:22" ht="15.75">
      <c r="C24" s="145"/>
      <c r="D24" s="144"/>
      <c r="E24" s="144"/>
      <c r="F24" s="144"/>
      <c r="G24" s="96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</row>
    <row r="25" spans="3:22" ht="15.75">
      <c r="C25" s="14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</row>
    <row r="26" spans="3:22">
      <c r="D26" s="133"/>
      <c r="E26" s="146"/>
      <c r="F26" s="96"/>
      <c r="G26" s="96"/>
      <c r="H26" s="96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</row>
    <row r="27" spans="3:22">
      <c r="D27" s="136"/>
      <c r="E27" s="96"/>
      <c r="F27" s="96"/>
      <c r="G27" s="96"/>
      <c r="H27" s="96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</row>
    <row r="28" spans="3:22">
      <c r="D28" s="136"/>
      <c r="E28" s="96"/>
      <c r="F28" s="96"/>
      <c r="G28" s="96"/>
      <c r="H28" s="96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</row>
    <row r="29" spans="3:22"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3:22">
      <c r="D30" s="133"/>
      <c r="E30" s="146"/>
      <c r="F30" s="96"/>
      <c r="G30" s="96"/>
      <c r="H30" s="96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3:22">
      <c r="D31" s="147"/>
      <c r="E31" s="125"/>
      <c r="F31" s="125"/>
      <c r="G31" s="125"/>
      <c r="H31" s="125"/>
    </row>
    <row r="32" spans="3:22">
      <c r="D32" s="147"/>
      <c r="E32" s="125"/>
      <c r="F32" s="125"/>
      <c r="G32" s="125"/>
      <c r="H32" s="125"/>
    </row>
  </sheetData>
  <hyperlinks>
    <hyperlink ref="C17" location="'Output | Final Decision tables'!A1" display="Output | Decision tables" xr:uid="{672C25E1-6E75-4E0B-A85C-CCDAB0223800}"/>
    <hyperlink ref="C18" location="'STPIS inputs'!A1" display="STPIS inputs" xr:uid="{B177C3D9-5880-494B-9D4C-F58BF4285284}"/>
    <hyperlink ref="C20" location="'Annual performance and targets'!A1" display="Annual performance and targets" xr:uid="{E5D20C0B-C496-463C-9A36-A7E8C9693B62}"/>
    <hyperlink ref="C21" location="'Incentive rates calc'!A1" display="Incentive rates calculations" xr:uid="{15870546-0A90-4BB3-906E-574CEE21D747}"/>
    <hyperlink ref="C19" location="'Target adjustments'!A1" display="Target adjustments" xr:uid="{298AB000-709D-40EB-BDF1-ED9742973D3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H33"/>
  <sheetViews>
    <sheetView topLeftCell="A3" zoomScale="145" zoomScaleNormal="145" workbookViewId="0">
      <selection activeCell="B26" sqref="B26"/>
    </sheetView>
  </sheetViews>
  <sheetFormatPr defaultColWidth="9.140625" defaultRowHeight="11.25"/>
  <cols>
    <col min="1" max="1" width="9.140625" style="91"/>
    <col min="2" max="2" width="52.5703125" style="91" customWidth="1"/>
    <col min="3" max="3" width="24.5703125" style="105" bestFit="1" customWidth="1"/>
    <col min="4" max="5" width="18.42578125" style="91" customWidth="1"/>
    <col min="6" max="6" width="7" style="91" customWidth="1"/>
    <col min="7" max="7" width="9.42578125" style="91" customWidth="1"/>
    <col min="8" max="8" width="15.42578125" style="91" customWidth="1"/>
    <col min="9" max="9" width="9.5703125" style="91" bestFit="1" customWidth="1"/>
    <col min="10" max="11" width="12.42578125" style="91" bestFit="1" customWidth="1"/>
    <col min="12" max="16384" width="9.140625" style="91"/>
  </cols>
  <sheetData>
    <row r="1" spans="2:8" ht="12.6" customHeight="1"/>
    <row r="2" spans="2:8" ht="12.6" customHeight="1">
      <c r="B2" s="208" t="str">
        <f>Cover!S3</f>
        <v>CitiPower</v>
      </c>
    </row>
    <row r="3" spans="2:8" ht="12.6" customHeight="1">
      <c r="B3" s="32" t="s">
        <v>81</v>
      </c>
      <c r="C3" s="32"/>
      <c r="D3" s="32"/>
      <c r="E3" s="32"/>
      <c r="G3" s="106"/>
      <c r="H3" s="106"/>
    </row>
    <row r="4" spans="2:8" ht="13.5" customHeight="1">
      <c r="F4" s="115"/>
      <c r="G4" s="114" t="s">
        <v>85</v>
      </c>
      <c r="H4" s="107"/>
    </row>
    <row r="5" spans="2:8" s="37" customFormat="1" ht="12.6" customHeight="1">
      <c r="B5" s="56" t="s">
        <v>118</v>
      </c>
      <c r="C5" s="184">
        <v>0.05</v>
      </c>
      <c r="D5" s="33"/>
      <c r="F5" s="113"/>
      <c r="G5" s="110"/>
      <c r="H5" s="108" t="s">
        <v>87</v>
      </c>
    </row>
    <row r="6" spans="2:8" s="37" customFormat="1" ht="12.6" customHeight="1">
      <c r="B6" s="56" t="s">
        <v>117</v>
      </c>
      <c r="C6" s="79">
        <v>2.5</v>
      </c>
      <c r="D6" s="80" t="s">
        <v>25</v>
      </c>
      <c r="F6" s="113"/>
      <c r="G6" s="111"/>
      <c r="H6" s="108" t="s">
        <v>116</v>
      </c>
    </row>
    <row r="7" spans="2:8" s="37" customFormat="1" ht="12.6" customHeight="1">
      <c r="B7" s="56" t="s">
        <v>15</v>
      </c>
      <c r="C7" s="81" t="s">
        <v>10</v>
      </c>
      <c r="D7" s="81" t="s">
        <v>1</v>
      </c>
      <c r="F7" s="113"/>
      <c r="G7" s="112"/>
      <c r="H7" s="109" t="s">
        <v>86</v>
      </c>
    </row>
    <row r="8" spans="2:8" s="37" customFormat="1" ht="12.6" customHeight="1">
      <c r="B8" s="116"/>
      <c r="C8" s="105"/>
      <c r="D8" s="91"/>
      <c r="E8" s="91"/>
      <c r="F8" s="91"/>
      <c r="H8" s="91"/>
    </row>
    <row r="9" spans="2:8" ht="12.6" customHeight="1">
      <c r="B9" s="32" t="s">
        <v>16</v>
      </c>
      <c r="C9" s="32"/>
      <c r="D9" s="32"/>
      <c r="E9" s="32"/>
      <c r="G9" s="37"/>
      <c r="H9" s="37"/>
    </row>
    <row r="10" spans="2:8" s="37" customFormat="1" ht="12.6" customHeight="1">
      <c r="B10" s="91"/>
      <c r="C10" s="105"/>
      <c r="D10" s="91"/>
      <c r="E10" s="91"/>
      <c r="G10" s="91"/>
      <c r="H10" s="91"/>
    </row>
    <row r="11" spans="2:8" ht="12.6" customHeight="1">
      <c r="B11" s="36" t="s">
        <v>129</v>
      </c>
      <c r="C11" s="36"/>
      <c r="D11" s="36"/>
      <c r="E11" s="36"/>
      <c r="F11" s="36"/>
      <c r="G11" s="36"/>
    </row>
    <row r="12" spans="2:8" s="36" customFormat="1" ht="12.6" customHeight="1">
      <c r="B12" s="51" t="s">
        <v>0</v>
      </c>
      <c r="C12" s="51" t="str">
        <f>C7</f>
        <v>CBD</v>
      </c>
      <c r="D12" s="51" t="str">
        <f>D7</f>
        <v>Urban</v>
      </c>
      <c r="E12" s="37"/>
      <c r="F12" s="37"/>
      <c r="G12" s="37"/>
    </row>
    <row r="13" spans="2:8" s="37" customFormat="1" ht="12.6" customHeight="1">
      <c r="B13" s="59" t="s">
        <v>30</v>
      </c>
      <c r="C13" s="103">
        <f>'Incentive rates calc'!D9</f>
        <v>6.9876807604119904</v>
      </c>
      <c r="D13" s="103">
        <f>'Incentive rates calc'!E9</f>
        <v>23.126927413826799</v>
      </c>
      <c r="F13" s="104"/>
      <c r="G13" s="104"/>
    </row>
    <row r="14" spans="2:8" s="37" customFormat="1" ht="12.6" customHeight="1">
      <c r="B14" s="59" t="s">
        <v>31</v>
      </c>
      <c r="C14" s="103">
        <f>'Incentive rates calc'!D8</f>
        <v>7.8811376594063315E-2</v>
      </c>
      <c r="D14" s="103">
        <f>'Incentive rates calc'!E8</f>
        <v>0.30094143146041075</v>
      </c>
      <c r="F14" s="104"/>
      <c r="G14" s="104"/>
      <c r="H14" s="104"/>
    </row>
    <row r="15" spans="2:8" s="37" customFormat="1" ht="12.6" customHeight="1">
      <c r="B15" s="59" t="s">
        <v>141</v>
      </c>
      <c r="C15" s="103">
        <f>'Incentive rates calc'!D10</f>
        <v>1.91810021E-2</v>
      </c>
      <c r="D15" s="103">
        <f>'Incentive rates calc'!E10</f>
        <v>0.21060389516</v>
      </c>
      <c r="F15" s="104"/>
      <c r="G15" s="104"/>
    </row>
    <row r="16" spans="2:8" s="37" customFormat="1" ht="12.6" customHeight="1">
      <c r="B16" s="91"/>
      <c r="C16" s="91"/>
      <c r="D16" s="91"/>
      <c r="E16" s="91"/>
      <c r="F16" s="91"/>
      <c r="G16" s="91"/>
    </row>
    <row r="17" spans="2:7" ht="12.6" customHeight="1">
      <c r="B17" s="36" t="s">
        <v>82</v>
      </c>
      <c r="C17" s="36"/>
      <c r="D17" s="36"/>
      <c r="E17" s="36"/>
      <c r="F17" s="36"/>
      <c r="G17" s="36"/>
    </row>
    <row r="18" spans="2:7" s="36" customFormat="1" ht="12.6" customHeight="1">
      <c r="B18" s="51" t="s">
        <v>0</v>
      </c>
      <c r="C18" s="51" t="str">
        <f>C12</f>
        <v>CBD</v>
      </c>
      <c r="D18" s="51" t="str">
        <f>D12</f>
        <v>Urban</v>
      </c>
      <c r="E18" s="37"/>
      <c r="F18" s="37"/>
      <c r="G18" s="37"/>
    </row>
    <row r="19" spans="2:7" s="37" customFormat="1" ht="12.6" customHeight="1">
      <c r="B19" s="58" t="s">
        <v>61</v>
      </c>
      <c r="C19" s="163">
        <f>'Incentive rates calc'!$D$13</f>
        <v>1.2046749637940399E-2</v>
      </c>
      <c r="D19" s="163">
        <f>'Incentive rates calc'!$E$13</f>
        <v>5.6414623282914231E-2</v>
      </c>
      <c r="E19" s="196"/>
    </row>
    <row r="20" spans="2:7" s="37" customFormat="1" ht="12.6" customHeight="1">
      <c r="B20" s="58" t="s">
        <v>62</v>
      </c>
      <c r="C20" s="163">
        <f>'Incentive rates calc'!$D$14</f>
        <v>0.71207012919906487</v>
      </c>
      <c r="D20" s="163">
        <f>'Incentive rates calc'!$E$14</f>
        <v>2.8902565113991301</v>
      </c>
      <c r="E20" s="196"/>
    </row>
    <row r="21" spans="2:7" s="37" customFormat="1" ht="12.6" customHeight="1">
      <c r="B21" s="58" t="s">
        <v>143</v>
      </c>
      <c r="C21" s="163">
        <f>'Incentive rates calc'!D15</f>
        <v>5.696561033592519E-2</v>
      </c>
      <c r="D21" s="163">
        <f>'Incentive rates calc'!E15</f>
        <v>0.23122052091193041</v>
      </c>
      <c r="E21" s="196"/>
    </row>
    <row r="22" spans="2:7" s="37" customFormat="1" ht="12.6" customHeight="1">
      <c r="B22" s="60"/>
      <c r="C22" s="61"/>
      <c r="D22" s="61"/>
    </row>
    <row r="23" spans="2:7" s="37" customFormat="1" ht="12.6" customHeight="1">
      <c r="B23" s="36" t="s">
        <v>126</v>
      </c>
      <c r="C23" s="36"/>
      <c r="D23" s="36"/>
    </row>
    <row r="24" spans="2:7" s="37" customFormat="1" ht="12.6" customHeight="1">
      <c r="B24" s="51"/>
      <c r="C24" s="51" t="s">
        <v>58</v>
      </c>
      <c r="D24" s="51" t="s">
        <v>59</v>
      </c>
    </row>
    <row r="25" spans="2:7" s="37" customFormat="1">
      <c r="B25" s="62" t="s">
        <v>60</v>
      </c>
      <c r="C25" s="203">
        <v>-4.0000000000000002E-4</v>
      </c>
      <c r="D25" s="204">
        <f>'Annual performance and targets'!I33</f>
        <v>0.9346172772306629</v>
      </c>
    </row>
    <row r="26" spans="2:7" s="37" customFormat="1" ht="31.5" customHeight="1"/>
    <row r="27" spans="2:7" s="37" customFormat="1" ht="12.6" customHeight="1">
      <c r="B27" s="36" t="s">
        <v>29</v>
      </c>
      <c r="C27" s="36"/>
      <c r="D27" s="36"/>
      <c r="E27" s="36"/>
      <c r="F27" s="36"/>
      <c r="G27" s="36"/>
    </row>
    <row r="28" spans="2:7" s="36" customFormat="1" ht="12.6" customHeight="1">
      <c r="B28" s="51"/>
      <c r="C28" s="51" t="str">
        <f>C18</f>
        <v>CBD</v>
      </c>
      <c r="D28" s="51" t="str">
        <f>D18</f>
        <v>Urban</v>
      </c>
      <c r="E28" s="37"/>
      <c r="F28" s="37"/>
      <c r="G28" s="37"/>
    </row>
    <row r="29" spans="2:7" s="37" customFormat="1" ht="12.6" customHeight="1">
      <c r="B29" s="62" t="s">
        <v>52</v>
      </c>
      <c r="C29" s="78">
        <f>'STPIS inputs'!D11*(1+'Incentive rates calc'!D12)</f>
        <v>34464.169662113592</v>
      </c>
      <c r="D29" s="78">
        <f>'STPIS inputs'!E11*(1+'Incentive rates calc'!E12)</f>
        <v>35857.167505391808</v>
      </c>
    </row>
    <row r="30" spans="2:7" s="37" customFormat="1" ht="12.6" customHeight="1">
      <c r="B30" s="91"/>
      <c r="C30" s="91"/>
      <c r="D30" s="91"/>
      <c r="E30" s="91"/>
      <c r="F30" s="91"/>
      <c r="G30" s="91"/>
    </row>
    <row r="31" spans="2:7" ht="12.6" customHeight="1">
      <c r="B31" s="117"/>
      <c r="C31" s="91"/>
    </row>
    <row r="32" spans="2:7">
      <c r="C32" s="118"/>
      <c r="D32" s="118"/>
    </row>
    <row r="33" spans="4:4">
      <c r="D33" s="1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1"/>
  <sheetViews>
    <sheetView topLeftCell="B1" zoomScale="130" zoomScaleNormal="130" workbookViewId="0">
      <selection activeCell="B24" sqref="B24"/>
    </sheetView>
  </sheetViews>
  <sheetFormatPr defaultColWidth="9.140625" defaultRowHeight="11.25"/>
  <cols>
    <col min="1" max="1" width="5.42578125" style="91" customWidth="1"/>
    <col min="2" max="2" width="61.140625" style="91" bestFit="1" customWidth="1"/>
    <col min="3" max="3" width="21.7109375" style="91" customWidth="1"/>
    <col min="4" max="9" width="20.85546875" style="91" customWidth="1"/>
    <col min="10" max="16384" width="9.140625" style="91"/>
  </cols>
  <sheetData>
    <row r="1" spans="2:11" ht="12.6" customHeight="1"/>
    <row r="2" spans="2:11" s="37" customFormat="1" ht="12.6" customHeight="1">
      <c r="B2" s="32" t="s">
        <v>22</v>
      </c>
      <c r="C2" s="32"/>
      <c r="D2" s="177"/>
      <c r="E2" s="177"/>
      <c r="F2" s="177"/>
      <c r="G2" s="177"/>
      <c r="H2" s="177"/>
      <c r="I2" s="177"/>
    </row>
    <row r="3" spans="2:11" s="37" customFormat="1" ht="12.6" customHeight="1">
      <c r="B3" s="178"/>
      <c r="C3" s="178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76</v>
      </c>
      <c r="D4" s="51" t="s">
        <v>50</v>
      </c>
      <c r="E4" s="51" t="s">
        <v>26</v>
      </c>
      <c r="F4" s="51" t="s">
        <v>27</v>
      </c>
      <c r="G4" s="51" t="s">
        <v>28</v>
      </c>
      <c r="H4" s="51" t="s">
        <v>56</v>
      </c>
      <c r="I4" s="51" t="s">
        <v>88</v>
      </c>
    </row>
    <row r="5" spans="2:11" s="37" customFormat="1" ht="12.6" customHeight="1">
      <c r="B5" s="34" t="s">
        <v>128</v>
      </c>
      <c r="C5" s="57" t="s">
        <v>134</v>
      </c>
      <c r="D5" s="156">
        <f>AVERAGE(E5:I5)</f>
        <v>376634186.06207573</v>
      </c>
      <c r="E5" s="94">
        <f>358.912629146734*10^6</f>
        <v>358912629.146734</v>
      </c>
      <c r="F5" s="94">
        <f>367.562423509171*10^6</f>
        <v>367562423.50917101</v>
      </c>
      <c r="G5" s="94">
        <f>376.420677915742*10^6</f>
        <v>376420677.91574198</v>
      </c>
      <c r="H5" s="94">
        <f>385.492416253511*10^6</f>
        <v>385492416.25351101</v>
      </c>
      <c r="I5" s="94">
        <f>394.782783485221*10^6</f>
        <v>394782783.48522097</v>
      </c>
      <c r="K5" s="155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81" t="s">
        <v>76</v>
      </c>
      <c r="D7" s="181" t="str">
        <f>'Output | Final Decision tables'!C7</f>
        <v>CBD</v>
      </c>
      <c r="E7" s="181" t="str">
        <f>'Output | Final Decision tables'!D7</f>
        <v>Urban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93</v>
      </c>
      <c r="D8" s="157">
        <f>'Target adjustments'!C39</f>
        <v>1154046.394818695</v>
      </c>
      <c r="E8" s="157">
        <f>'Target adjustments'!C40</f>
        <v>5194418.2527088551</v>
      </c>
    </row>
    <row r="9" spans="2:11" s="37" customFormat="1" ht="12.6" customHeight="1">
      <c r="B9" s="33"/>
      <c r="D9" s="182"/>
      <c r="E9" s="182"/>
    </row>
    <row r="10" spans="2:11" s="37" customFormat="1" ht="12.6" customHeight="1">
      <c r="B10" s="150"/>
      <c r="C10" s="51" t="s">
        <v>76</v>
      </c>
      <c r="D10" s="181" t="str">
        <f>D7</f>
        <v>CBD</v>
      </c>
      <c r="E10" s="181" t="str">
        <f>E7</f>
        <v>Urban</v>
      </c>
    </row>
    <row r="11" spans="2:11" s="37" customFormat="1" ht="40.5" customHeight="1">
      <c r="B11" s="34" t="s">
        <v>47</v>
      </c>
      <c r="C11" s="183" t="s">
        <v>92</v>
      </c>
      <c r="D11" s="83">
        <v>34390</v>
      </c>
      <c r="E11" s="83">
        <v>35780</v>
      </c>
      <c r="F11" s="42"/>
      <c r="G11" s="42"/>
      <c r="H11" s="42"/>
    </row>
    <row r="12" spans="2:11" s="37" customFormat="1" ht="23.25" customHeight="1">
      <c r="B12" s="33"/>
      <c r="C12" s="197"/>
      <c r="D12" s="199" t="s">
        <v>122</v>
      </c>
      <c r="E12" s="199" t="s">
        <v>123</v>
      </c>
      <c r="F12" s="198"/>
      <c r="G12" s="89"/>
      <c r="H12" s="42"/>
      <c r="I12" s="42"/>
      <c r="J12" s="42"/>
    </row>
    <row r="13" spans="2:11" s="37" customFormat="1" ht="12.6" customHeight="1"/>
    <row r="14" spans="2:11" s="37" customFormat="1" ht="12.6" customHeight="1">
      <c r="B14" s="34" t="s">
        <v>5</v>
      </c>
      <c r="C14" s="34"/>
      <c r="D14" s="77">
        <f>D18/D17-1</f>
        <v>2.1567217828901697E-3</v>
      </c>
    </row>
    <row r="15" spans="2:11" s="37" customFormat="1" ht="12.6" customHeight="1">
      <c r="D15" s="119"/>
      <c r="E15" s="151"/>
      <c r="F15" s="151"/>
      <c r="G15" s="151"/>
      <c r="H15" s="151"/>
    </row>
    <row r="16" spans="2:11" s="37" customFormat="1" ht="12.6" customHeight="1">
      <c r="B16" s="35" t="s">
        <v>23</v>
      </c>
      <c r="C16" s="35"/>
      <c r="D16" s="119"/>
    </row>
    <row r="17" spans="2:9" s="37" customFormat="1" ht="12.6" customHeight="1">
      <c r="B17" s="41">
        <v>45536</v>
      </c>
      <c r="C17" s="41"/>
      <c r="D17" s="212">
        <v>139.1</v>
      </c>
      <c r="E17" s="88" t="s">
        <v>91</v>
      </c>
    </row>
    <row r="18" spans="2:9" s="37" customFormat="1" ht="12.6" customHeight="1">
      <c r="B18" s="41">
        <v>45627</v>
      </c>
      <c r="C18" s="193"/>
      <c r="D18" s="212">
        <v>139.4</v>
      </c>
      <c r="E18" s="88" t="s">
        <v>144</v>
      </c>
    </row>
    <row r="19" spans="2:9" ht="12.6" customHeight="1"/>
    <row r="20" spans="2:9">
      <c r="E20" s="152"/>
      <c r="F20" s="153"/>
      <c r="G20" s="153"/>
      <c r="H20" s="153"/>
      <c r="I20" s="153"/>
    </row>
    <row r="21" spans="2:9">
      <c r="E21" s="154"/>
      <c r="F21" s="154"/>
      <c r="G21" s="154"/>
      <c r="H21" s="154"/>
      <c r="I21" s="154"/>
    </row>
  </sheetData>
  <hyperlinks>
    <hyperlink ref="E17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  <hyperlink ref="D12" r:id="rId3" display="https://www.aer.gov.au/documents/2024-12-18-aer-final-report-2024-vcr-review" xr:uid="{8F849293-F34F-488B-B649-8313CC93DE12}"/>
    <hyperlink ref="E12" r:id="rId4" display="https://www.aer.gov.au/documents/2024-12-18-aer-final-report-2024-vcr-review" xr:uid="{D32BF989-3CD5-4E68-969F-DDED96D85A03}"/>
  </hyperlinks>
  <pageMargins left="0.7" right="0.7" top="0.75" bottom="0.75" header="0.3" footer="0.3"/>
  <pageSetup paperSize="9"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44"/>
  <sheetViews>
    <sheetView zoomScale="220" zoomScaleNormal="220" workbookViewId="0">
      <selection activeCell="A22" sqref="A22"/>
    </sheetView>
  </sheetViews>
  <sheetFormatPr defaultColWidth="9.140625" defaultRowHeight="11.25"/>
  <cols>
    <col min="1" max="1" width="60.5703125" style="91" customWidth="1"/>
    <col min="2" max="2" width="16.7109375" style="91" customWidth="1"/>
    <col min="3" max="3" width="11.7109375" style="91" customWidth="1"/>
    <col min="4" max="4" width="11.140625" style="91" bestFit="1" customWidth="1"/>
    <col min="5" max="5" width="10.5703125" style="91" bestFit="1" customWidth="1"/>
    <col min="6" max="6" width="16.85546875" style="91" customWidth="1"/>
    <col min="7" max="7" width="14.5703125" style="91" customWidth="1"/>
    <col min="8" max="16384" width="9.140625" style="91"/>
  </cols>
  <sheetData>
    <row r="2" spans="1:7">
      <c r="A2" s="217" t="s">
        <v>98</v>
      </c>
      <c r="B2" s="217"/>
      <c r="C2" s="217"/>
      <c r="D2" s="217"/>
      <c r="E2" s="217"/>
      <c r="F2" s="217"/>
      <c r="G2" s="217"/>
    </row>
    <row r="3" spans="1:7">
      <c r="A3" s="68" t="s">
        <v>68</v>
      </c>
      <c r="B3" s="172" t="s">
        <v>76</v>
      </c>
      <c r="C3" s="172" t="s">
        <v>8</v>
      </c>
      <c r="D3" s="175" t="s">
        <v>9</v>
      </c>
      <c r="E3" s="175" t="s">
        <v>11</v>
      </c>
      <c r="F3" s="172" t="s">
        <v>57</v>
      </c>
      <c r="G3" s="172" t="s">
        <v>77</v>
      </c>
    </row>
    <row r="4" spans="1:7" ht="11.25" customHeight="1">
      <c r="A4" s="179" t="s">
        <v>69</v>
      </c>
      <c r="B4" s="218" t="s">
        <v>136</v>
      </c>
      <c r="C4" s="71">
        <v>6.9623411353</v>
      </c>
      <c r="D4" s="71">
        <v>9.3179064655244765</v>
      </c>
      <c r="E4" s="71">
        <v>5.0608017700000012</v>
      </c>
      <c r="F4" s="71">
        <v>7.9746522813</v>
      </c>
      <c r="G4" s="71">
        <v>5.6227021499354777</v>
      </c>
    </row>
    <row r="5" spans="1:7">
      <c r="A5" s="179" t="s">
        <v>70</v>
      </c>
      <c r="B5" s="219"/>
      <c r="C5" s="71">
        <v>25.322346376700001</v>
      </c>
      <c r="D5" s="71">
        <v>20.853342118749548</v>
      </c>
      <c r="E5" s="71">
        <v>18.82475342</v>
      </c>
      <c r="F5" s="71">
        <v>23.715933396499999</v>
      </c>
      <c r="G5" s="71">
        <v>26.918261757184435</v>
      </c>
    </row>
    <row r="6" spans="1:7">
      <c r="A6" s="179"/>
      <c r="B6" s="219"/>
      <c r="C6" s="69"/>
      <c r="D6" s="69"/>
      <c r="E6" s="71"/>
      <c r="F6" s="71"/>
      <c r="G6" s="71"/>
    </row>
    <row r="7" spans="1:7">
      <c r="A7" s="179" t="s">
        <v>71</v>
      </c>
      <c r="B7" s="219"/>
      <c r="C7" s="71">
        <v>0.14654940329999999</v>
      </c>
      <c r="D7" s="71">
        <v>5.9570754954440946E-2</v>
      </c>
      <c r="E7" s="71">
        <v>4.9899729999999851E-2</v>
      </c>
      <c r="F7" s="71">
        <v>7.9617834400000004E-2</v>
      </c>
      <c r="G7" s="71">
        <v>5.8419160315875782E-2</v>
      </c>
    </row>
    <row r="8" spans="1:7">
      <c r="A8" s="179" t="s">
        <v>72</v>
      </c>
      <c r="B8" s="219"/>
      <c r="C8" s="71">
        <v>0.36542714790000003</v>
      </c>
      <c r="D8" s="71">
        <v>0.26858481587231903</v>
      </c>
      <c r="E8" s="71">
        <v>0.27269937000000016</v>
      </c>
      <c r="F8" s="71">
        <v>0.28529398490000002</v>
      </c>
      <c r="G8" s="71">
        <v>0.31270183862973439</v>
      </c>
    </row>
    <row r="9" spans="1:7">
      <c r="A9" s="179"/>
      <c r="B9" s="219"/>
      <c r="C9" s="72"/>
      <c r="D9" s="72"/>
      <c r="E9" s="71"/>
      <c r="F9" s="71"/>
      <c r="G9" s="71"/>
    </row>
    <row r="10" spans="1:7">
      <c r="A10" s="179" t="s">
        <v>94</v>
      </c>
      <c r="B10" s="219"/>
      <c r="C10" s="71">
        <v>2.70389E-4</v>
      </c>
      <c r="D10" s="71">
        <v>3.6832752099999998E-2</v>
      </c>
      <c r="E10" s="71">
        <v>3.0664591599999999E-2</v>
      </c>
      <c r="F10" s="71">
        <v>2.30241778E-2</v>
      </c>
      <c r="G10" s="71">
        <v>5.1130999999999998E-3</v>
      </c>
    </row>
    <row r="11" spans="1:7">
      <c r="A11" s="179" t="s">
        <v>95</v>
      </c>
      <c r="B11" s="219"/>
      <c r="C11" s="71">
        <v>0.16388899370000001</v>
      </c>
      <c r="D11" s="71">
        <v>0.1594879642</v>
      </c>
      <c r="E11" s="71">
        <v>0.26469846009999998</v>
      </c>
      <c r="F11" s="71">
        <v>0.18857271780000001</v>
      </c>
      <c r="G11" s="71">
        <v>0.27637134000000002</v>
      </c>
    </row>
    <row r="12" spans="1:7">
      <c r="A12" s="179"/>
      <c r="B12" s="201"/>
      <c r="C12" s="69"/>
      <c r="D12" s="69"/>
      <c r="E12" s="71"/>
      <c r="F12" s="71"/>
      <c r="G12" s="71"/>
    </row>
    <row r="13" spans="1:7" ht="22.5">
      <c r="A13" s="179" t="s">
        <v>125</v>
      </c>
      <c r="B13" s="200" t="s">
        <v>135</v>
      </c>
      <c r="C13" s="202">
        <v>0.88795460407531601</v>
      </c>
      <c r="D13" s="202">
        <v>0.94237775647171618</v>
      </c>
      <c r="E13" s="71">
        <v>0.95135106269358116</v>
      </c>
      <c r="F13" s="71">
        <v>0.9439435968562182</v>
      </c>
      <c r="G13" s="71">
        <v>0.94745936605648295</v>
      </c>
    </row>
    <row r="14" spans="1:7">
      <c r="C14" s="206"/>
      <c r="D14" s="206"/>
      <c r="E14" s="206"/>
      <c r="F14" s="206"/>
      <c r="G14" s="206"/>
    </row>
    <row r="16" spans="1:7">
      <c r="A16" s="217" t="s">
        <v>132</v>
      </c>
      <c r="B16" s="217"/>
      <c r="C16" s="217"/>
      <c r="D16" s="217"/>
      <c r="E16" s="217"/>
      <c r="F16" s="217"/>
      <c r="G16" s="217"/>
    </row>
    <row r="17" spans="1:11">
      <c r="A17" s="68" t="s">
        <v>131</v>
      </c>
      <c r="B17" s="172" t="s">
        <v>76</v>
      </c>
      <c r="C17" s="172" t="s">
        <v>127</v>
      </c>
      <c r="D17" s="175" t="s">
        <v>9</v>
      </c>
      <c r="E17" s="175" t="s">
        <v>11</v>
      </c>
      <c r="F17" s="172" t="s">
        <v>57</v>
      </c>
      <c r="G17" s="172" t="s">
        <v>77</v>
      </c>
    </row>
    <row r="18" spans="1:11" ht="24.75" customHeight="1">
      <c r="A18" s="180" t="s">
        <v>101</v>
      </c>
      <c r="B18" s="95" t="s">
        <v>104</v>
      </c>
      <c r="C18" s="73">
        <v>6.0206554035764429E-3</v>
      </c>
      <c r="D18" s="73">
        <v>1.1525845072692048E-2</v>
      </c>
      <c r="E18" s="73">
        <v>1.3656855997419594E-2</v>
      </c>
      <c r="F18" s="73">
        <v>8.4450489751499991E-3</v>
      </c>
      <c r="G18" s="73">
        <v>5.1101578189891358E-3</v>
      </c>
    </row>
    <row r="19" spans="1:11">
      <c r="A19" s="170" t="s">
        <v>102</v>
      </c>
      <c r="B19" s="73"/>
      <c r="C19" s="185">
        <v>4.4999999999999998E-2</v>
      </c>
      <c r="D19" s="185">
        <v>4.4999999999999998E-2</v>
      </c>
      <c r="E19" s="185">
        <v>4.4999999999999998E-2</v>
      </c>
      <c r="F19" s="185">
        <v>4.4999999999999998E-2</v>
      </c>
      <c r="G19" s="185">
        <v>4.4999999999999998E-2</v>
      </c>
    </row>
    <row r="20" spans="1:11">
      <c r="A20" s="170" t="s">
        <v>73</v>
      </c>
      <c r="B20" s="73"/>
      <c r="C20" s="84">
        <f>IF(C18&gt;C19,C18-C19,0)</f>
        <v>0</v>
      </c>
      <c r="D20" s="84">
        <f t="shared" ref="D20:G20" si="0">IF(D18&gt;D19,D18-D19,0)</f>
        <v>0</v>
      </c>
      <c r="E20" s="84">
        <f>IF(E18&gt;E19,E18-E19,0)</f>
        <v>0</v>
      </c>
      <c r="F20" s="84">
        <f t="shared" si="0"/>
        <v>0</v>
      </c>
      <c r="G20" s="84">
        <f t="shared" si="0"/>
        <v>0</v>
      </c>
      <c r="H20" s="174">
        <f>SUM(C20:G20)</f>
        <v>0</v>
      </c>
      <c r="I20" s="92" t="s">
        <v>133</v>
      </c>
    </row>
    <row r="21" spans="1:11">
      <c r="A21" s="170"/>
      <c r="B21" s="93"/>
      <c r="C21" s="93"/>
      <c r="D21" s="93"/>
      <c r="E21" s="93"/>
      <c r="F21" s="93"/>
      <c r="G21" s="171"/>
    </row>
    <row r="22" spans="1:11">
      <c r="B22" s="172" t="s">
        <v>76</v>
      </c>
      <c r="F22" s="220" t="s">
        <v>103</v>
      </c>
      <c r="G22" s="220"/>
      <c r="H22" s="220"/>
      <c r="I22" s="220"/>
      <c r="J22" s="220"/>
      <c r="K22" s="220"/>
    </row>
    <row r="23" spans="1:11">
      <c r="A23" s="96" t="s">
        <v>108</v>
      </c>
      <c r="B23" s="95" t="s">
        <v>109</v>
      </c>
      <c r="C23" s="70"/>
      <c r="D23" s="158">
        <f>H20</f>
        <v>0</v>
      </c>
      <c r="E23" s="70"/>
      <c r="F23" s="92"/>
      <c r="G23" s="92"/>
      <c r="H23" s="92"/>
    </row>
    <row r="24" spans="1:11" ht="19.5" customHeight="1">
      <c r="A24" s="96" t="s">
        <v>111</v>
      </c>
      <c r="B24" s="215" t="s">
        <v>110</v>
      </c>
      <c r="C24" s="70"/>
      <c r="D24" s="85">
        <f>D23*0.6</f>
        <v>0</v>
      </c>
      <c r="E24" s="70"/>
    </row>
    <row r="25" spans="1:11" ht="19.5" customHeight="1">
      <c r="A25" s="96" t="s">
        <v>112</v>
      </c>
      <c r="B25" s="216"/>
      <c r="C25" s="70"/>
      <c r="D25" s="85">
        <f>D23*0.4</f>
        <v>0</v>
      </c>
      <c r="E25" s="70"/>
    </row>
    <row r="26" spans="1:11">
      <c r="A26" s="96"/>
      <c r="B26" s="97"/>
      <c r="C26" s="98"/>
      <c r="D26" s="99"/>
      <c r="E26" s="98"/>
    </row>
    <row r="27" spans="1:11">
      <c r="A27" s="205" t="s">
        <v>96</v>
      </c>
      <c r="B27" s="172" t="s">
        <v>76</v>
      </c>
      <c r="C27" s="175" t="str">
        <f>'Output | Final Decision tables'!C7</f>
        <v>CBD</v>
      </c>
      <c r="D27" s="175" t="str">
        <f>'Output | Final Decision tables'!D7</f>
        <v>Urban</v>
      </c>
      <c r="E27" s="207"/>
    </row>
    <row r="28" spans="1:11" ht="22.5">
      <c r="A28" s="96" t="s">
        <v>74</v>
      </c>
      <c r="B28" s="95" t="s">
        <v>107</v>
      </c>
      <c r="C28" s="76">
        <v>1.9599999999999999E-2</v>
      </c>
      <c r="D28" s="76">
        <v>8.3199999999999996E-2</v>
      </c>
      <c r="E28" s="92"/>
    </row>
    <row r="29" spans="1:11">
      <c r="A29" s="96" t="s">
        <v>105</v>
      </c>
      <c r="B29" s="73"/>
      <c r="C29" s="86">
        <f>$D24*C$28/(SUM($C$28:$D$28))</f>
        <v>0</v>
      </c>
      <c r="D29" s="85">
        <f>$D24*D$28/(SUM($C$28:$D$28))</f>
        <v>0</v>
      </c>
    </row>
    <row r="30" spans="1:11">
      <c r="A30" s="96" t="s">
        <v>89</v>
      </c>
      <c r="B30" s="73"/>
      <c r="C30" s="87">
        <f>(C29/C28*100)/5</f>
        <v>0</v>
      </c>
      <c r="D30" s="87">
        <f>(D29/D28*100)/5</f>
        <v>0</v>
      </c>
      <c r="E30" s="92" t="s">
        <v>130</v>
      </c>
      <c r="F30" s="92"/>
      <c r="G30" s="92"/>
    </row>
    <row r="31" spans="1:11">
      <c r="A31" s="96"/>
      <c r="B31" s="93"/>
      <c r="C31" s="100"/>
      <c r="D31" s="100"/>
      <c r="E31" s="92"/>
      <c r="F31" s="92"/>
      <c r="G31" s="92"/>
    </row>
    <row r="32" spans="1:11">
      <c r="A32" s="205" t="s">
        <v>97</v>
      </c>
      <c r="B32" s="172" t="s">
        <v>76</v>
      </c>
      <c r="C32" s="175" t="str">
        <f>'Output | Final Decision tables'!C7</f>
        <v>CBD</v>
      </c>
      <c r="D32" s="175" t="str">
        <f>'Output | Final Decision tables'!D7</f>
        <v>Urban</v>
      </c>
      <c r="E32" s="92"/>
      <c r="F32" s="92"/>
      <c r="G32" s="92"/>
    </row>
    <row r="33" spans="1:8" ht="22.5">
      <c r="A33" s="96" t="s">
        <v>75</v>
      </c>
      <c r="B33" s="95" t="s">
        <v>107</v>
      </c>
      <c r="C33" s="76">
        <v>1.0708</v>
      </c>
      <c r="D33" s="76">
        <v>3.9902000000000002</v>
      </c>
      <c r="E33" s="92"/>
    </row>
    <row r="34" spans="1:8">
      <c r="A34" s="96" t="s">
        <v>106</v>
      </c>
      <c r="B34" s="69"/>
      <c r="C34" s="86">
        <f>$D25*C$33/SUM($C$33:$D$33)</f>
        <v>0</v>
      </c>
      <c r="D34" s="85">
        <f>$D25*D$33/SUM($C$33:$D$33)</f>
        <v>0</v>
      </c>
    </row>
    <row r="35" spans="1:8">
      <c r="A35" s="96" t="s">
        <v>90</v>
      </c>
      <c r="B35" s="69"/>
      <c r="C35" s="87">
        <f>(C34/C33*100)/5</f>
        <v>0</v>
      </c>
      <c r="D35" s="87">
        <f>(D34/D33*100)/5</f>
        <v>0</v>
      </c>
      <c r="E35" s="92" t="s">
        <v>130</v>
      </c>
      <c r="F35" s="92"/>
      <c r="G35" s="92"/>
    </row>
    <row r="37" spans="1:8">
      <c r="A37" s="217" t="s">
        <v>99</v>
      </c>
      <c r="B37" s="217"/>
      <c r="C37" s="217"/>
      <c r="D37" s="217"/>
      <c r="E37" s="217"/>
      <c r="F37" s="217"/>
      <c r="G37" s="217"/>
    </row>
    <row r="38" spans="1:8" ht="21" customHeight="1">
      <c r="A38" s="68" t="s">
        <v>100</v>
      </c>
      <c r="B38" s="172" t="s">
        <v>76</v>
      </c>
      <c r="C38" s="176" t="s">
        <v>78</v>
      </c>
    </row>
    <row r="39" spans="1:8">
      <c r="A39" s="75" t="str">
        <f>'Output | Final Decision tables'!C7</f>
        <v>CBD</v>
      </c>
      <c r="B39" s="213" t="s">
        <v>121</v>
      </c>
      <c r="C39" s="90">
        <v>1154046.394818695</v>
      </c>
    </row>
    <row r="40" spans="1:8">
      <c r="A40" s="75" t="str">
        <f>'Output | Final Decision tables'!D7</f>
        <v>Urban</v>
      </c>
      <c r="B40" s="214"/>
      <c r="C40" s="90">
        <v>5194418.2527088551</v>
      </c>
    </row>
    <row r="43" spans="1:8">
      <c r="H43" s="116"/>
    </row>
    <row r="44" spans="1:8">
      <c r="H44" s="173"/>
    </row>
  </sheetData>
  <mergeCells count="7">
    <mergeCell ref="B39:B40"/>
    <mergeCell ref="B24:B25"/>
    <mergeCell ref="A16:G16"/>
    <mergeCell ref="A2:G2"/>
    <mergeCell ref="A37:G37"/>
    <mergeCell ref="B4:B11"/>
    <mergeCell ref="F22:K22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9"/>
  <sheetViews>
    <sheetView topLeftCell="L1" zoomScale="115" zoomScaleNormal="115" workbookViewId="0">
      <selection activeCell="T29" sqref="T29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24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1"/>
      <c r="P2" s="44"/>
      <c r="Q2" s="44"/>
      <c r="R2" s="44"/>
      <c r="S2" s="102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6</v>
      </c>
      <c r="C6" s="47"/>
      <c r="K6" s="46" t="s">
        <v>7</v>
      </c>
      <c r="L6" s="48"/>
      <c r="M6" s="40"/>
      <c r="N6" s="40"/>
      <c r="O6" s="40"/>
      <c r="P6" s="40"/>
      <c r="Q6" s="40"/>
      <c r="R6" s="40"/>
      <c r="T6" s="46" t="s">
        <v>142</v>
      </c>
      <c r="U6" s="48"/>
      <c r="V6" s="40"/>
      <c r="W6" s="40"/>
      <c r="X6" s="40"/>
      <c r="Y6" s="40"/>
      <c r="Z6" s="40"/>
      <c r="AA6" s="40"/>
    </row>
    <row r="7" spans="2:27" s="33" customFormat="1">
      <c r="B7" s="49" t="s">
        <v>0</v>
      </c>
      <c r="C7" s="50" t="s">
        <v>8</v>
      </c>
      <c r="D7" s="50" t="s">
        <v>9</v>
      </c>
      <c r="E7" s="50" t="s">
        <v>11</v>
      </c>
      <c r="F7" s="50" t="s">
        <v>57</v>
      </c>
      <c r="G7" s="50" t="s">
        <v>77</v>
      </c>
      <c r="H7" s="50" t="s">
        <v>13</v>
      </c>
      <c r="I7" s="50" t="s">
        <v>14</v>
      </c>
      <c r="K7" s="52" t="s">
        <v>0</v>
      </c>
      <c r="L7" s="50" t="s">
        <v>8</v>
      </c>
      <c r="M7" s="50" t="s">
        <v>9</v>
      </c>
      <c r="N7" s="50" t="s">
        <v>11</v>
      </c>
      <c r="O7" s="50" t="s">
        <v>57</v>
      </c>
      <c r="P7" s="50" t="s">
        <v>77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57</v>
      </c>
      <c r="Y7" s="50" t="s">
        <v>77</v>
      </c>
      <c r="Z7" s="50" t="s">
        <v>13</v>
      </c>
      <c r="AA7" s="50" t="s">
        <v>14</v>
      </c>
    </row>
    <row r="8" spans="2:27" s="33" customFormat="1">
      <c r="B8" s="34" t="s">
        <v>10</v>
      </c>
      <c r="C8" s="167">
        <f>'Target adjustments'!C7</f>
        <v>0.14654940329999999</v>
      </c>
      <c r="D8" s="167">
        <f>'Target adjustments'!D7</f>
        <v>5.9570754954440946E-2</v>
      </c>
      <c r="E8" s="167">
        <f>'Target adjustments'!E7</f>
        <v>4.9899729999999851E-2</v>
      </c>
      <c r="F8" s="167">
        <f>'Target adjustments'!F7</f>
        <v>7.9617834400000004E-2</v>
      </c>
      <c r="G8" s="167">
        <f>'Target adjustments'!G7</f>
        <v>5.8419160315875782E-2</v>
      </c>
      <c r="H8" s="77">
        <f>AVERAGE(C8:F8)</f>
        <v>8.3909430663610202E-2</v>
      </c>
      <c r="I8" s="77">
        <f>AVERAGE($C8:$G8)</f>
        <v>7.8811376594063315E-2</v>
      </c>
      <c r="K8" s="34" t="s">
        <v>10</v>
      </c>
      <c r="L8" s="167">
        <f>'Target adjustments'!C4</f>
        <v>6.9623411353</v>
      </c>
      <c r="M8" s="167">
        <f>'Target adjustments'!D4</f>
        <v>9.3179064655244765</v>
      </c>
      <c r="N8" s="167">
        <f>'Target adjustments'!E4</f>
        <v>5.0608017700000012</v>
      </c>
      <c r="O8" s="167">
        <f>'Target adjustments'!F4</f>
        <v>7.9746522813</v>
      </c>
      <c r="P8" s="167">
        <f>'Target adjustments'!G4</f>
        <v>5.6227021499354777</v>
      </c>
      <c r="Q8" s="77">
        <f>AVERAGE(L8:O8)</f>
        <v>7.3289254130311194</v>
      </c>
      <c r="R8" s="77">
        <f>AVERAGE($L8:P8)</f>
        <v>6.9876807604119904</v>
      </c>
      <c r="T8" s="169" t="s">
        <v>10</v>
      </c>
      <c r="U8" s="167">
        <f>'Target adjustments'!C10</f>
        <v>2.70389E-4</v>
      </c>
      <c r="V8" s="167">
        <f>'Target adjustments'!D10</f>
        <v>3.6832752099999998E-2</v>
      </c>
      <c r="W8" s="167">
        <f>'Target adjustments'!E10</f>
        <v>3.0664591599999999E-2</v>
      </c>
      <c r="X8" s="167">
        <f>'Target adjustments'!F10</f>
        <v>2.30241778E-2</v>
      </c>
      <c r="Y8" s="167">
        <f>'Target adjustments'!G10</f>
        <v>5.1130999999999998E-3</v>
      </c>
      <c r="Z8" s="77">
        <f>AVERAGE(U8:X8)</f>
        <v>2.2697977625000001E-2</v>
      </c>
      <c r="AA8" s="77">
        <f>AVERAGE(U8:Y8)</f>
        <v>1.91810021E-2</v>
      </c>
    </row>
    <row r="9" spans="2:27" s="33" customFormat="1">
      <c r="B9" s="34" t="s">
        <v>1</v>
      </c>
      <c r="C9" s="167">
        <f>'Target adjustments'!C8</f>
        <v>0.36542714790000003</v>
      </c>
      <c r="D9" s="167">
        <f>'Target adjustments'!D8</f>
        <v>0.26858481587231903</v>
      </c>
      <c r="E9" s="167">
        <f>'Target adjustments'!E8</f>
        <v>0.27269937000000016</v>
      </c>
      <c r="F9" s="167">
        <f>'Target adjustments'!F8</f>
        <v>0.28529398490000002</v>
      </c>
      <c r="G9" s="167">
        <f>'Target adjustments'!G8</f>
        <v>0.31270183862973439</v>
      </c>
      <c r="H9" s="77">
        <f>AVERAGE(C9:F9)</f>
        <v>0.2980013296680798</v>
      </c>
      <c r="I9" s="77">
        <f t="shared" ref="I9:I11" si="0">AVERAGE($C9:$G9)</f>
        <v>0.30094143146041075</v>
      </c>
      <c r="K9" s="34" t="s">
        <v>1</v>
      </c>
      <c r="L9" s="167">
        <f>'Target adjustments'!C5</f>
        <v>25.322346376700001</v>
      </c>
      <c r="M9" s="167">
        <f>'Target adjustments'!D5</f>
        <v>20.853342118749548</v>
      </c>
      <c r="N9" s="167">
        <f>'Target adjustments'!E5</f>
        <v>18.82475342</v>
      </c>
      <c r="O9" s="167">
        <f>'Target adjustments'!F5</f>
        <v>23.715933396499999</v>
      </c>
      <c r="P9" s="167">
        <f>'Target adjustments'!G5</f>
        <v>26.918261757184435</v>
      </c>
      <c r="Q9" s="77">
        <f>AVERAGE(L9:O9)</f>
        <v>22.179093827987387</v>
      </c>
      <c r="R9" s="77">
        <f>AVERAGE($L9:P9)</f>
        <v>23.126927413826799</v>
      </c>
      <c r="T9" s="169" t="s">
        <v>1</v>
      </c>
      <c r="U9" s="167">
        <f>'Target adjustments'!C11</f>
        <v>0.16388899370000001</v>
      </c>
      <c r="V9" s="167">
        <f>'Target adjustments'!D11</f>
        <v>0.1594879642</v>
      </c>
      <c r="W9" s="167">
        <f>'Target adjustments'!E11</f>
        <v>0.26469846009999998</v>
      </c>
      <c r="X9" s="167">
        <f>'Target adjustments'!F11</f>
        <v>0.18857271780000001</v>
      </c>
      <c r="Y9" s="167">
        <f>'Target adjustments'!G11</f>
        <v>0.27637134000000002</v>
      </c>
      <c r="Z9" s="77">
        <f>AVERAGE(U9:X9)</f>
        <v>0.19416203394999998</v>
      </c>
      <c r="AA9" s="77">
        <f>AVERAGE(U9:Y9)</f>
        <v>0.21060389516</v>
      </c>
    </row>
    <row r="10" spans="2:27" s="33" customFormat="1">
      <c r="B10" s="34"/>
      <c r="C10" s="168"/>
      <c r="D10" s="167"/>
      <c r="E10" s="167"/>
      <c r="F10" s="167"/>
      <c r="G10" s="167"/>
      <c r="H10" s="77"/>
      <c r="I10" s="77"/>
      <c r="K10" s="34"/>
      <c r="L10" s="168"/>
      <c r="M10" s="167"/>
      <c r="N10" s="167"/>
      <c r="O10" s="167"/>
      <c r="P10" s="167"/>
      <c r="Q10" s="77"/>
      <c r="R10" s="77"/>
      <c r="T10" s="169"/>
      <c r="U10" s="167"/>
      <c r="V10" s="167"/>
      <c r="W10" s="167"/>
      <c r="X10" s="167"/>
      <c r="Y10" s="103"/>
      <c r="Z10" s="77"/>
      <c r="AA10" s="77"/>
    </row>
    <row r="11" spans="2:27" s="33" customFormat="1">
      <c r="B11" s="34" t="s">
        <v>124</v>
      </c>
      <c r="C11" s="103">
        <f>'Target adjustments'!C13</f>
        <v>0.88795460407531601</v>
      </c>
      <c r="D11" s="103">
        <f>'Target adjustments'!D13</f>
        <v>0.94237775647171618</v>
      </c>
      <c r="E11" s="103">
        <f>'Target adjustments'!E13</f>
        <v>0.95135106269358116</v>
      </c>
      <c r="F11" s="103">
        <f>'Target adjustments'!F13</f>
        <v>0.9439435968562182</v>
      </c>
      <c r="G11" s="103">
        <f>'Target adjustments'!G13</f>
        <v>0.94745936605648295</v>
      </c>
      <c r="H11" s="77">
        <f>AVERAGE(C11:F11)</f>
        <v>0.93140675502420789</v>
      </c>
      <c r="I11" s="77">
        <f t="shared" si="0"/>
        <v>0.9346172772306629</v>
      </c>
      <c r="K11" s="34"/>
      <c r="L11" s="103"/>
      <c r="M11" s="103"/>
      <c r="N11" s="103"/>
      <c r="O11" s="103"/>
      <c r="P11" s="103"/>
      <c r="Q11" s="77"/>
      <c r="R11" s="77"/>
      <c r="T11" s="169"/>
      <c r="U11" s="103"/>
      <c r="V11" s="103"/>
      <c r="W11" s="103"/>
      <c r="X11" s="103"/>
      <c r="Y11" s="103"/>
      <c r="Z11" s="77"/>
      <c r="AA11" s="77"/>
    </row>
    <row r="12" spans="2:27">
      <c r="B12" s="53"/>
      <c r="C12" s="54"/>
      <c r="D12" s="54"/>
      <c r="E12" s="54"/>
      <c r="F12" s="54"/>
      <c r="G12" s="54"/>
      <c r="H12" s="54"/>
      <c r="I12" s="74"/>
      <c r="K12" s="53"/>
      <c r="L12" s="54"/>
      <c r="M12" s="54"/>
      <c r="N12" s="54"/>
      <c r="O12" s="54"/>
      <c r="P12" s="54"/>
      <c r="Q12" s="54"/>
      <c r="R12" s="5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>
      <c r="B15" s="45" t="s">
        <v>51</v>
      </c>
      <c r="C15" s="45"/>
      <c r="D15" s="45"/>
      <c r="E15" s="45"/>
      <c r="F15" s="45"/>
      <c r="G15" s="45"/>
      <c r="H15" s="45"/>
      <c r="I15" s="45"/>
      <c r="K15" s="45" t="s">
        <v>51</v>
      </c>
      <c r="L15" s="45"/>
      <c r="M15" s="45"/>
      <c r="N15" s="45"/>
      <c r="O15" s="45"/>
      <c r="P15" s="45"/>
      <c r="Q15" s="45"/>
      <c r="R15" s="45"/>
      <c r="T15" s="45" t="s">
        <v>51</v>
      </c>
      <c r="U15" s="45"/>
      <c r="V15" s="45"/>
      <c r="W15" s="45"/>
      <c r="X15" s="45"/>
      <c r="Y15" s="45"/>
      <c r="Z15" s="45"/>
      <c r="AA15" s="45"/>
    </row>
    <row r="17" spans="2:27" s="33" customFormat="1">
      <c r="B17" s="46" t="s">
        <v>6</v>
      </c>
      <c r="K17" s="46" t="s">
        <v>7</v>
      </c>
      <c r="L17" s="40"/>
      <c r="M17" s="40"/>
      <c r="N17" s="40"/>
      <c r="O17" s="40"/>
      <c r="P17" s="40"/>
      <c r="Q17" s="40"/>
      <c r="R17" s="40"/>
      <c r="T17" s="46" t="str">
        <f>T6</f>
        <v>MAIFI / MAIFIe</v>
      </c>
      <c r="U17" s="40"/>
      <c r="V17" s="40"/>
      <c r="W17" s="40"/>
      <c r="X17" s="40"/>
      <c r="Y17" s="40"/>
      <c r="Z17" s="40"/>
      <c r="AA17" s="40"/>
    </row>
    <row r="18" spans="2:27" s="33" customFormat="1">
      <c r="B18" s="49" t="s">
        <v>0</v>
      </c>
      <c r="C18" s="50"/>
      <c r="D18" s="50"/>
      <c r="E18" s="50"/>
      <c r="F18" s="50"/>
      <c r="G18" s="50"/>
      <c r="H18" s="50" t="s">
        <v>13</v>
      </c>
      <c r="I18" s="50" t="s">
        <v>14</v>
      </c>
      <c r="K18" s="52" t="s">
        <v>0</v>
      </c>
      <c r="L18" s="50"/>
      <c r="M18" s="50"/>
      <c r="N18" s="50"/>
      <c r="O18" s="50"/>
      <c r="P18" s="50"/>
      <c r="Q18" s="50" t="s">
        <v>13</v>
      </c>
      <c r="R18" s="50" t="s">
        <v>14</v>
      </c>
      <c r="T18" s="52" t="s">
        <v>0</v>
      </c>
      <c r="U18" s="50"/>
      <c r="V18" s="50"/>
      <c r="W18" s="50"/>
      <c r="X18" s="50"/>
      <c r="Y18" s="50"/>
      <c r="Z18" s="50" t="s">
        <v>13</v>
      </c>
      <c r="AA18" s="50" t="s">
        <v>14</v>
      </c>
    </row>
    <row r="19" spans="2:27" s="33" customFormat="1">
      <c r="B19" s="34" t="s">
        <v>10</v>
      </c>
      <c r="C19" s="210"/>
      <c r="D19" s="210"/>
      <c r="E19" s="210"/>
      <c r="F19" s="210"/>
      <c r="G19" s="210"/>
      <c r="H19" s="77">
        <v>0</v>
      </c>
      <c r="I19" s="77">
        <f>'Target adjustments'!C30</f>
        <v>0</v>
      </c>
      <c r="K19" s="34" t="s">
        <v>10</v>
      </c>
      <c r="L19" s="210"/>
      <c r="M19" s="210"/>
      <c r="N19" s="210"/>
      <c r="O19" s="210"/>
      <c r="P19" s="210"/>
      <c r="Q19" s="77">
        <v>0</v>
      </c>
      <c r="R19" s="77">
        <f>'Target adjustments'!C35</f>
        <v>0</v>
      </c>
      <c r="T19" s="169" t="s">
        <v>10</v>
      </c>
      <c r="U19" s="210"/>
      <c r="V19" s="210"/>
      <c r="W19" s="210"/>
      <c r="X19" s="210"/>
      <c r="Y19" s="210"/>
      <c r="Z19" s="77">
        <v>0</v>
      </c>
      <c r="AA19" s="77">
        <v>0</v>
      </c>
    </row>
    <row r="20" spans="2:27" s="33" customFormat="1">
      <c r="B20" s="34" t="s">
        <v>1</v>
      </c>
      <c r="C20" s="210"/>
      <c r="D20" s="210"/>
      <c r="E20" s="210"/>
      <c r="F20" s="210"/>
      <c r="G20" s="210"/>
      <c r="H20" s="77">
        <v>0</v>
      </c>
      <c r="I20" s="77">
        <f>'Target adjustments'!D30</f>
        <v>0</v>
      </c>
      <c r="K20" s="34" t="s">
        <v>1</v>
      </c>
      <c r="L20" s="210"/>
      <c r="M20" s="210"/>
      <c r="N20" s="210"/>
      <c r="O20" s="210"/>
      <c r="P20" s="210"/>
      <c r="Q20" s="77">
        <v>0</v>
      </c>
      <c r="R20" s="77">
        <f>'Target adjustments'!D35</f>
        <v>0</v>
      </c>
      <c r="T20" s="169" t="s">
        <v>1</v>
      </c>
      <c r="U20" s="210"/>
      <c r="V20" s="210"/>
      <c r="W20" s="210"/>
      <c r="X20" s="210"/>
      <c r="Y20" s="210"/>
      <c r="Z20" s="77">
        <v>0</v>
      </c>
      <c r="AA20" s="77">
        <v>0</v>
      </c>
    </row>
    <row r="21" spans="2:27" s="33" customFormat="1">
      <c r="B21" s="34"/>
      <c r="C21" s="210"/>
      <c r="D21" s="210"/>
      <c r="E21" s="210"/>
      <c r="F21" s="210"/>
      <c r="G21" s="210"/>
      <c r="H21" s="77"/>
      <c r="I21" s="77"/>
      <c r="K21" s="34"/>
      <c r="L21" s="210"/>
      <c r="M21" s="210"/>
      <c r="N21" s="210"/>
      <c r="O21" s="210"/>
      <c r="P21" s="210"/>
      <c r="Q21" s="77"/>
      <c r="R21" s="77"/>
      <c r="T21" s="169"/>
      <c r="U21" s="210"/>
      <c r="V21" s="210"/>
      <c r="W21" s="210"/>
      <c r="X21" s="210"/>
      <c r="Y21" s="210"/>
      <c r="Z21" s="77"/>
      <c r="AA21" s="77"/>
    </row>
    <row r="22" spans="2:27" s="33" customFormat="1">
      <c r="B22" s="34" t="s">
        <v>124</v>
      </c>
      <c r="C22" s="211"/>
      <c r="D22" s="211"/>
      <c r="E22" s="211"/>
      <c r="F22" s="211"/>
      <c r="G22" s="211"/>
      <c r="H22" s="77">
        <v>0</v>
      </c>
      <c r="I22" s="77">
        <v>0</v>
      </c>
      <c r="K22" s="34"/>
      <c r="L22" s="211"/>
      <c r="M22" s="211"/>
      <c r="N22" s="211"/>
      <c r="O22" s="211"/>
      <c r="P22" s="211"/>
      <c r="Q22" s="77"/>
      <c r="R22" s="77"/>
      <c r="T22" s="169"/>
      <c r="U22" s="211"/>
      <c r="V22" s="211"/>
      <c r="W22" s="211"/>
      <c r="X22" s="211"/>
      <c r="Y22" s="211"/>
      <c r="Z22" s="77"/>
      <c r="AA22" s="77"/>
    </row>
    <row r="23" spans="2:27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>
      <c r="B26" s="45" t="s">
        <v>140</v>
      </c>
      <c r="C26" s="45"/>
      <c r="D26" s="45"/>
      <c r="E26" s="45"/>
      <c r="F26" s="45"/>
      <c r="G26" s="45"/>
      <c r="H26" s="45"/>
      <c r="I26" s="45"/>
      <c r="K26" s="45" t="s">
        <v>140</v>
      </c>
      <c r="L26" s="45"/>
      <c r="M26" s="45"/>
      <c r="N26" s="45"/>
      <c r="O26" s="45"/>
      <c r="P26" s="45"/>
      <c r="Q26" s="45"/>
      <c r="R26" s="45"/>
      <c r="T26" s="45" t="s">
        <v>140</v>
      </c>
      <c r="U26" s="45"/>
      <c r="V26" s="45"/>
      <c r="W26" s="45"/>
      <c r="X26" s="45"/>
      <c r="Y26" s="45"/>
      <c r="Z26" s="45"/>
      <c r="AA26" s="45"/>
    </row>
    <row r="28" spans="2:27" s="33" customFormat="1">
      <c r="B28" s="46" t="s">
        <v>6</v>
      </c>
      <c r="K28" s="46" t="s">
        <v>7</v>
      </c>
      <c r="L28" s="40"/>
      <c r="M28" s="40"/>
      <c r="N28" s="40"/>
      <c r="O28" s="40"/>
      <c r="P28" s="40"/>
      <c r="Q28" s="40"/>
      <c r="R28" s="40"/>
      <c r="T28" s="46" t="str">
        <f>T6</f>
        <v>MAIFI / MAIFIe</v>
      </c>
      <c r="U28" s="40"/>
      <c r="V28" s="40"/>
      <c r="W28" s="40"/>
      <c r="X28" s="40"/>
      <c r="Y28" s="40"/>
      <c r="Z28" s="40"/>
      <c r="AA28" s="40"/>
    </row>
    <row r="29" spans="2:27" s="33" customFormat="1">
      <c r="B29" s="49" t="s">
        <v>0</v>
      </c>
      <c r="C29" s="50" t="s">
        <v>8</v>
      </c>
      <c r="D29" s="50" t="s">
        <v>9</v>
      </c>
      <c r="E29" s="50" t="s">
        <v>11</v>
      </c>
      <c r="F29" s="50" t="s">
        <v>57</v>
      </c>
      <c r="G29" s="50" t="s">
        <v>77</v>
      </c>
      <c r="H29" s="50" t="s">
        <v>13</v>
      </c>
      <c r="I29" s="50" t="s">
        <v>14</v>
      </c>
      <c r="K29" s="52" t="s">
        <v>0</v>
      </c>
      <c r="L29" s="50" t="s">
        <v>8</v>
      </c>
      <c r="M29" s="50" t="s">
        <v>9</v>
      </c>
      <c r="N29" s="50" t="s">
        <v>11</v>
      </c>
      <c r="O29" s="50" t="s">
        <v>57</v>
      </c>
      <c r="P29" s="50" t="s">
        <v>77</v>
      </c>
      <c r="Q29" s="50" t="s">
        <v>13</v>
      </c>
      <c r="R29" s="50" t="s">
        <v>14</v>
      </c>
      <c r="T29" s="52" t="s">
        <v>0</v>
      </c>
      <c r="U29" s="50" t="s">
        <v>8</v>
      </c>
      <c r="V29" s="50" t="s">
        <v>9</v>
      </c>
      <c r="W29" s="50" t="s">
        <v>11</v>
      </c>
      <c r="X29" s="50" t="s">
        <v>57</v>
      </c>
      <c r="Y29" s="50" t="s">
        <v>77</v>
      </c>
      <c r="Z29" s="50" t="s">
        <v>13</v>
      </c>
      <c r="AA29" s="50" t="s">
        <v>14</v>
      </c>
    </row>
    <row r="30" spans="2:27" s="33" customFormat="1">
      <c r="B30" s="34" t="s">
        <v>10</v>
      </c>
      <c r="C30" s="103">
        <f>C8+C19</f>
        <v>0.14654940329999999</v>
      </c>
      <c r="D30" s="103">
        <f t="shared" ref="D30:F30" si="1">D8+D19</f>
        <v>5.9570754954440946E-2</v>
      </c>
      <c r="E30" s="103">
        <f t="shared" si="1"/>
        <v>4.9899729999999851E-2</v>
      </c>
      <c r="F30" s="103">
        <f t="shared" si="1"/>
        <v>7.9617834400000004E-2</v>
      </c>
      <c r="G30" s="103">
        <f t="shared" ref="G30" si="2">G8+G19</f>
        <v>5.8419160315875782E-2</v>
      </c>
      <c r="H30" s="77">
        <f>AVERAGE(C30:F30)+H19</f>
        <v>8.3909430663610202E-2</v>
      </c>
      <c r="I30" s="77">
        <f>AVERAGE($C30:$G30)+I19</f>
        <v>7.8811376594063315E-2</v>
      </c>
      <c r="K30" s="34" t="s">
        <v>10</v>
      </c>
      <c r="L30" s="103">
        <f>L8+L19</f>
        <v>6.9623411353</v>
      </c>
      <c r="M30" s="103">
        <f t="shared" ref="M30:O30" si="3">M8+M19</f>
        <v>9.3179064655244765</v>
      </c>
      <c r="N30" s="103">
        <f t="shared" si="3"/>
        <v>5.0608017700000012</v>
      </c>
      <c r="O30" s="103">
        <f t="shared" si="3"/>
        <v>7.9746522813</v>
      </c>
      <c r="P30" s="103">
        <f t="shared" ref="P30" si="4">P8+P19</f>
        <v>5.6227021499354777</v>
      </c>
      <c r="Q30" s="77">
        <f>AVERAGE(L30:O30)+Q19</f>
        <v>7.3289254130311194</v>
      </c>
      <c r="R30" s="77">
        <f>AVERAGE($L30:P30)+R19</f>
        <v>6.9876807604119904</v>
      </c>
      <c r="T30" s="169" t="s">
        <v>10</v>
      </c>
      <c r="U30" s="103">
        <f>U8+U19</f>
        <v>2.70389E-4</v>
      </c>
      <c r="V30" s="103">
        <f t="shared" ref="V30:X30" si="5">V8+V19</f>
        <v>3.6832752099999998E-2</v>
      </c>
      <c r="W30" s="103">
        <f t="shared" si="5"/>
        <v>3.0664591599999999E-2</v>
      </c>
      <c r="X30" s="103">
        <f t="shared" si="5"/>
        <v>2.30241778E-2</v>
      </c>
      <c r="Y30" s="103">
        <f t="shared" ref="Y30" si="6">Y8+Y19</f>
        <v>5.1130999999999998E-3</v>
      </c>
      <c r="Z30" s="77">
        <f>AVERAGE(U30:X30)+Z19</f>
        <v>2.2697977625000001E-2</v>
      </c>
      <c r="AA30" s="77">
        <f>AVERAGE(U30:Y30)+AA19</f>
        <v>1.91810021E-2</v>
      </c>
    </row>
    <row r="31" spans="2:27" s="33" customFormat="1">
      <c r="B31" s="34" t="s">
        <v>1</v>
      </c>
      <c r="C31" s="103">
        <f t="shared" ref="C31:F33" si="7">C9+C20</f>
        <v>0.36542714790000003</v>
      </c>
      <c r="D31" s="103">
        <f t="shared" si="7"/>
        <v>0.26858481587231903</v>
      </c>
      <c r="E31" s="103">
        <f t="shared" si="7"/>
        <v>0.27269937000000016</v>
      </c>
      <c r="F31" s="103">
        <f t="shared" si="7"/>
        <v>0.28529398490000002</v>
      </c>
      <c r="G31" s="103">
        <f t="shared" ref="G31" si="8">G9+G20</f>
        <v>0.31270183862973439</v>
      </c>
      <c r="H31" s="77">
        <f t="shared" ref="H31:H33" si="9">AVERAGE(C31:F31)+H20</f>
        <v>0.2980013296680798</v>
      </c>
      <c r="I31" s="77">
        <f t="shared" ref="I31:I33" si="10">AVERAGE($C31:$G31)+I20</f>
        <v>0.30094143146041075</v>
      </c>
      <c r="K31" s="34" t="s">
        <v>1</v>
      </c>
      <c r="L31" s="103">
        <f t="shared" ref="L31:O31" si="11">L9+L20</f>
        <v>25.322346376700001</v>
      </c>
      <c r="M31" s="103">
        <f t="shared" si="11"/>
        <v>20.853342118749548</v>
      </c>
      <c r="N31" s="103">
        <f t="shared" si="11"/>
        <v>18.82475342</v>
      </c>
      <c r="O31" s="103">
        <f t="shared" si="11"/>
        <v>23.715933396499999</v>
      </c>
      <c r="P31" s="103">
        <f t="shared" ref="P31" si="12">P9+P20</f>
        <v>26.918261757184435</v>
      </c>
      <c r="Q31" s="77">
        <f>AVERAGE(L31:O31)+Q20</f>
        <v>22.179093827987387</v>
      </c>
      <c r="R31" s="77">
        <f>AVERAGE($L31:P31)+R20</f>
        <v>23.126927413826799</v>
      </c>
      <c r="T31" s="169" t="s">
        <v>1</v>
      </c>
      <c r="U31" s="103">
        <f t="shared" ref="U31:X31" si="13">U9+U20</f>
        <v>0.16388899370000001</v>
      </c>
      <c r="V31" s="103">
        <f t="shared" si="13"/>
        <v>0.1594879642</v>
      </c>
      <c r="W31" s="103">
        <f t="shared" si="13"/>
        <v>0.26469846009999998</v>
      </c>
      <c r="X31" s="103">
        <f t="shared" si="13"/>
        <v>0.18857271780000001</v>
      </c>
      <c r="Y31" s="103">
        <f t="shared" ref="Y31" si="14">Y9+Y20</f>
        <v>0.27637134000000002</v>
      </c>
      <c r="Z31" s="77">
        <f>AVERAGE(U31:X31)+Z20</f>
        <v>0.19416203394999998</v>
      </c>
      <c r="AA31" s="77">
        <f>AVERAGE(U31:Y31)+AA20</f>
        <v>0.21060389516</v>
      </c>
    </row>
    <row r="32" spans="2:27" s="33" customFormat="1">
      <c r="B32" s="34"/>
      <c r="C32" s="103"/>
      <c r="D32" s="103"/>
      <c r="E32" s="103"/>
      <c r="F32" s="103"/>
      <c r="G32" s="103"/>
      <c r="H32" s="77"/>
      <c r="I32" s="77"/>
      <c r="K32" s="34"/>
      <c r="L32" s="103"/>
      <c r="M32" s="103"/>
      <c r="N32" s="103"/>
      <c r="O32" s="103"/>
      <c r="P32" s="103"/>
      <c r="Q32" s="77"/>
      <c r="R32" s="77"/>
      <c r="T32" s="169"/>
      <c r="U32" s="103"/>
      <c r="V32" s="103"/>
      <c r="W32" s="103"/>
      <c r="X32" s="103"/>
      <c r="Y32" s="103"/>
      <c r="Z32" s="77"/>
      <c r="AA32" s="77"/>
    </row>
    <row r="33" spans="2:27" s="33" customFormat="1">
      <c r="B33" s="34" t="s">
        <v>124</v>
      </c>
      <c r="C33" s="103">
        <f t="shared" si="7"/>
        <v>0.88795460407531601</v>
      </c>
      <c r="D33" s="103">
        <f t="shared" si="7"/>
        <v>0.94237775647171618</v>
      </c>
      <c r="E33" s="103">
        <f t="shared" si="7"/>
        <v>0.95135106269358116</v>
      </c>
      <c r="F33" s="103">
        <f t="shared" si="7"/>
        <v>0.9439435968562182</v>
      </c>
      <c r="G33" s="103">
        <f t="shared" ref="G33" si="15">G11+G22</f>
        <v>0.94745936605648295</v>
      </c>
      <c r="H33" s="77">
        <f t="shared" si="9"/>
        <v>0.93140675502420789</v>
      </c>
      <c r="I33" s="77">
        <f t="shared" si="10"/>
        <v>0.9346172772306629</v>
      </c>
      <c r="K33" s="34"/>
      <c r="L33" s="103"/>
      <c r="M33" s="103"/>
      <c r="N33" s="103"/>
      <c r="O33" s="103"/>
      <c r="P33" s="103"/>
      <c r="Q33" s="77"/>
      <c r="R33" s="77"/>
      <c r="T33" s="169"/>
      <c r="U33" s="103"/>
      <c r="V33" s="103"/>
      <c r="W33" s="103"/>
      <c r="X33" s="103"/>
      <c r="Y33" s="103"/>
      <c r="Z33" s="77"/>
      <c r="AA33" s="77"/>
    </row>
    <row r="34" spans="2:27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M38" s="66"/>
      <c r="N38" s="66"/>
      <c r="O38" s="66"/>
      <c r="V38" s="66"/>
      <c r="W38" s="66"/>
      <c r="X38" s="66"/>
    </row>
    <row r="39" spans="2:27">
      <c r="M39" s="67"/>
      <c r="N39" s="67"/>
      <c r="O39" s="67"/>
      <c r="V39" s="67"/>
      <c r="W39" s="67"/>
      <c r="X39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zoomScale="160" zoomScaleNormal="160" workbookViewId="0">
      <selection activeCell="B31" sqref="B31"/>
    </sheetView>
  </sheetViews>
  <sheetFormatPr defaultColWidth="9.140625" defaultRowHeight="11.25"/>
  <cols>
    <col min="1" max="1" width="2.5703125" style="91" customWidth="1"/>
    <col min="2" max="2" width="71.140625" style="91" customWidth="1"/>
    <col min="3" max="3" width="13.140625" style="105" customWidth="1"/>
    <col min="4" max="5" width="18.42578125" style="91" customWidth="1"/>
    <col min="6" max="6" width="13.28515625" style="91" customWidth="1"/>
    <col min="7" max="7" width="10.5703125" style="91" customWidth="1"/>
    <col min="8" max="16384" width="9.140625" style="91"/>
  </cols>
  <sheetData>
    <row r="2" spans="2:7" ht="15">
      <c r="B2" s="32" t="s">
        <v>17</v>
      </c>
      <c r="C2" s="63"/>
      <c r="D2" s="64"/>
      <c r="E2" s="64"/>
      <c r="F2" s="186"/>
      <c r="G2" s="192" t="s">
        <v>120</v>
      </c>
    </row>
    <row r="4" spans="2:7">
      <c r="B4" s="49" t="s">
        <v>41</v>
      </c>
      <c r="C4" s="51"/>
      <c r="D4" s="51" t="str">
        <f>'Output | Final Decision tables'!C7</f>
        <v>CBD</v>
      </c>
      <c r="E4" s="51" t="str">
        <f>'Output | Final Decision tables'!D7</f>
        <v>Urban</v>
      </c>
      <c r="F4" s="187"/>
    </row>
    <row r="5" spans="2:7" s="37" customFormat="1">
      <c r="B5" s="56" t="s">
        <v>115</v>
      </c>
      <c r="C5" s="57" t="s">
        <v>63</v>
      </c>
      <c r="D5" s="164">
        <f>'STPIS inputs'!D11</f>
        <v>34390</v>
      </c>
      <c r="E5" s="164">
        <f>'STPIS inputs'!E11</f>
        <v>35780</v>
      </c>
      <c r="F5" s="188"/>
    </row>
    <row r="6" spans="2:7" s="37" customFormat="1">
      <c r="B6" s="56" t="s">
        <v>48</v>
      </c>
      <c r="C6" s="57" t="s">
        <v>64</v>
      </c>
      <c r="D6" s="164">
        <f>'STPIS inputs'!D8</f>
        <v>1154046.394818695</v>
      </c>
      <c r="E6" s="164">
        <f>'STPIS inputs'!E8</f>
        <v>5194418.2527088551</v>
      </c>
      <c r="F6" s="188"/>
    </row>
    <row r="7" spans="2:7" s="37" customFormat="1">
      <c r="B7" s="56" t="s">
        <v>49</v>
      </c>
      <c r="C7" s="57" t="s">
        <v>2</v>
      </c>
      <c r="D7" s="165">
        <f>'STPIS inputs'!$D$5</f>
        <v>376634186.06207573</v>
      </c>
      <c r="E7" s="165">
        <f>'STPIS inputs'!$D$5</f>
        <v>376634186.06207573</v>
      </c>
      <c r="F7" s="189"/>
    </row>
    <row r="8" spans="2:7" s="37" customFormat="1">
      <c r="B8" s="56" t="s">
        <v>3</v>
      </c>
      <c r="C8" s="57" t="s">
        <v>65</v>
      </c>
      <c r="D8" s="166">
        <f>+'Annual performance and targets'!I30</f>
        <v>7.8811376594063315E-2</v>
      </c>
      <c r="E8" s="166">
        <f>+'Annual performance and targets'!I31</f>
        <v>0.30094143146041075</v>
      </c>
      <c r="F8" s="190"/>
    </row>
    <row r="9" spans="2:7" s="37" customFormat="1">
      <c r="B9" s="56" t="s">
        <v>4</v>
      </c>
      <c r="C9" s="57" t="s">
        <v>66</v>
      </c>
      <c r="D9" s="166">
        <f>+'Annual performance and targets'!R30</f>
        <v>6.9876807604119904</v>
      </c>
      <c r="E9" s="166">
        <f>+'Annual performance and targets'!R31</f>
        <v>23.126927413826799</v>
      </c>
      <c r="F9" s="190"/>
    </row>
    <row r="10" spans="2:7" s="37" customFormat="1">
      <c r="B10" s="56" t="s">
        <v>114</v>
      </c>
      <c r="C10" s="57" t="s">
        <v>113</v>
      </c>
      <c r="D10" s="166">
        <f>'Annual performance and targets'!AA30</f>
        <v>1.91810021E-2</v>
      </c>
      <c r="E10" s="166">
        <f>'Annual performance and targets'!AA31</f>
        <v>0.21060389516</v>
      </c>
      <c r="F10" s="190"/>
    </row>
    <row r="11" spans="2:7" s="37" customFormat="1">
      <c r="B11" s="56" t="s">
        <v>55</v>
      </c>
      <c r="C11" s="57" t="s">
        <v>67</v>
      </c>
      <c r="D11" s="81">
        <f>$I$50</f>
        <v>1.5</v>
      </c>
      <c r="E11" s="81">
        <f>$I$50</f>
        <v>1.5</v>
      </c>
      <c r="F11" s="119"/>
    </row>
    <row r="12" spans="2:7" s="37" customFormat="1">
      <c r="B12" s="56" t="s">
        <v>53</v>
      </c>
      <c r="C12" s="57" t="s">
        <v>5</v>
      </c>
      <c r="D12" s="163">
        <f>'STPIS inputs'!$D$14</f>
        <v>2.1567217828901697E-3</v>
      </c>
      <c r="E12" s="163">
        <f>'STPIS inputs'!$D$14</f>
        <v>2.1567217828901697E-3</v>
      </c>
      <c r="F12" s="191"/>
    </row>
    <row r="13" spans="2:7" s="37" customFormat="1">
      <c r="B13" s="56" t="s">
        <v>18</v>
      </c>
      <c r="C13" s="57"/>
      <c r="D13" s="82">
        <f>((D5*(1+D12)*(1-(1/(1+D11)))*D6)/D7)/(365.25*24*60)*100</f>
        <v>1.2046749637940399E-2</v>
      </c>
      <c r="E13" s="82">
        <f t="shared" ref="E13" si="0">((E5*(1+E12)*(1-(1/(1+E11)))*E6)/E7)/(365.25*24*60)*100</f>
        <v>5.6414623282914231E-2</v>
      </c>
      <c r="F13" s="221"/>
    </row>
    <row r="14" spans="2:7" s="37" customFormat="1">
      <c r="B14" s="56" t="s">
        <v>19</v>
      </c>
      <c r="C14" s="57"/>
      <c r="D14" s="82">
        <f>((((((D5*(1+D12))/(1+D11))*D6))/D7)/(365.25*24*60))*(D9/D8)*100</f>
        <v>0.71207012919906487</v>
      </c>
      <c r="E14" s="82">
        <f t="shared" ref="E14" si="1">((((((E5*(1+E12))/(1+E11))*E6))/E7)/(365.25*24*60))*(E9/E8)*100</f>
        <v>2.8902565113991301</v>
      </c>
      <c r="F14" s="221"/>
    </row>
    <row r="15" spans="2:7" s="37" customFormat="1">
      <c r="B15" s="56" t="s">
        <v>119</v>
      </c>
      <c r="C15" s="57"/>
      <c r="D15" s="82">
        <f>D14*$N$55</f>
        <v>5.696561033592519E-2</v>
      </c>
      <c r="E15" s="82">
        <f>E14*$N$55</f>
        <v>0.23122052091193041</v>
      </c>
      <c r="F15" s="221"/>
    </row>
    <row r="18" spans="2:3">
      <c r="C18" s="159"/>
    </row>
    <row r="19" spans="2:3">
      <c r="C19" s="159"/>
    </row>
    <row r="21" spans="2:3">
      <c r="B21" s="160"/>
    </row>
    <row r="22" spans="2:3">
      <c r="B22" s="160"/>
    </row>
    <row r="24" spans="2:3">
      <c r="B24" s="161"/>
    </row>
    <row r="25" spans="2:3">
      <c r="B25" s="160"/>
    </row>
    <row r="26" spans="2:3">
      <c r="B26" s="162"/>
    </row>
    <row r="50" spans="9:14">
      <c r="I50" s="194">
        <v>1.5</v>
      </c>
    </row>
    <row r="55" spans="9:14">
      <c r="N55" s="195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32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46</v>
      </c>
      <c r="C3" s="16" t="s">
        <v>33</v>
      </c>
      <c r="D3" s="16" t="s">
        <v>34</v>
      </c>
      <c r="E3" s="17"/>
      <c r="F3" s="18"/>
      <c r="G3" s="19"/>
      <c r="H3" s="14"/>
    </row>
    <row r="4" spans="1:34" s="9" customFormat="1" ht="11.25">
      <c r="B4" s="10"/>
      <c r="D4" s="9" t="s">
        <v>35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42</v>
      </c>
      <c r="D5" s="9" t="s">
        <v>44</v>
      </c>
      <c r="E5" s="11"/>
      <c r="F5" s="12"/>
      <c r="G5" s="13"/>
      <c r="H5" s="14"/>
    </row>
    <row r="6" spans="1:34">
      <c r="B6" s="26">
        <v>45168</v>
      </c>
      <c r="C6" s="20" t="s">
        <v>43</v>
      </c>
      <c r="D6" s="9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et 19 Document" ma:contentTypeID="0x01010001E02CCC3410964E993CCD35D068A93E020400959CD9CB7D29F2488657205585980DC8" ma:contentTypeVersion="11" ma:contentTypeDescription="" ma:contentTypeScope="" ma:versionID="3b9cbdfcd76ece5c8c8a993b7b6caf03">
  <xsd:schema xmlns:xsd="http://www.w3.org/2001/XMLSchema" xmlns:xs="http://www.w3.org/2001/XMLSchema" xmlns:p="http://schemas.microsoft.com/office/2006/metadata/properties" xmlns:ns1="8f493e50-f4fa-4672-bec5-6587e791f720" xmlns:ns3="cdf0dde9-ebef-4e0b-9cde-c91850d92f2d" targetNamespace="http://schemas.microsoft.com/office/2006/metadata/properties" ma:root="true" ma:fieldsID="61f92c5bded25d940e0c44e2f11605e2" ns1:_="" ns3:_="">
    <xsd:import namespace="8f493e50-f4fa-4672-bec5-6587e791f720"/>
    <xsd:import namespace="cdf0dde9-ebef-4e0b-9cde-c91850d92f2d"/>
    <xsd:element name="properties">
      <xsd:complexType>
        <xsd:sequence>
          <xsd:element name="documentManagement">
            <xsd:complexType>
              <xsd:all>
                <xsd:element ref="ns1:Attachment_x0020_ID" minOccurs="0"/>
                <xsd:element ref="ns1:Record_x0020_Number" minOccurs="0"/>
                <xsd:element ref="ns3:Document_x0020_Status" minOccurs="0"/>
                <xsd:element ref="ns1:Confidential1" minOccurs="0"/>
                <xsd:element ref="ns1:Business_x0020_Groups" minOccurs="0"/>
                <xsd:element ref="ns1:Attachment_x0020_Category"/>
                <xsd:element ref="ns1:Document_x0020_Category" minOccurs="0"/>
                <xsd:element ref="ns1:Published_x0020_Externally" minOccurs="0"/>
                <xsd:element ref="ns3:Person_x0020_or_x0020_Group" minOccurs="0"/>
                <xsd:element ref="ns1:d515513357cb4f278bf18cadf524fc2b" minOccurs="0"/>
                <xsd:element ref="ns1:TaxCatchAllLabel" minOccurs="0"/>
                <xsd:element ref="ns1:m5487619c60d4cdf829961d62f0a4c8b" minOccurs="0"/>
                <xsd:element ref="ns1:TaxCatchAll" minOccurs="0"/>
                <xsd:element ref="ns1:de1a554c53354888900e11ba3ff10e9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93e50-f4fa-4672-bec5-6587e791f720" elementFormDefault="qualified">
    <xsd:import namespace="http://schemas.microsoft.com/office/2006/documentManagement/types"/>
    <xsd:import namespace="http://schemas.microsoft.com/office/infopath/2007/PartnerControls"/>
    <xsd:element name="Attachment_x0020_ID" ma:index="0" nillable="true" ma:displayName="Attachment ID" ma:description="E.g. TN123, TN123T%, TN123P, TN123T" ma:internalName="Attachment_x0020_ID">
      <xsd:simpleType>
        <xsd:restriction base="dms:Text">
          <xsd:maxLength value="255"/>
        </xsd:restriction>
      </xsd:simpleType>
    </xsd:element>
    <xsd:element name="Record_x0020_Number" ma:index="3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Confidential1" ma:index="8" nillable="true" ma:displayName="Confidential" ma:default="No" ma:format="RadioButtons" ma:internalName="Confidential1">
      <xsd:simpleType>
        <xsd:restriction base="dms:Choice">
          <xsd:enumeration value="Yes"/>
          <xsd:enumeration value="No"/>
        </xsd:restriction>
      </xsd:simpleType>
    </xsd:element>
    <xsd:element name="Business_x0020_Groups" ma:index="9" nillable="true" ma:displayName="Business Groups" ma:format="Dropdown" ma:internalName="Business_x0020_Groups">
      <xsd:simpleType>
        <xsd:restriction base="dms:Choice">
          <xsd:enumeration value="Finance"/>
          <xsd:enumeration value="Growth"/>
          <xsd:enumeration value="Governance"/>
          <xsd:enumeration value="Operations"/>
          <xsd:enumeration value="People"/>
          <xsd:enumeration value="Stakeholder"/>
          <xsd:enumeration value="Transformation, Strategy &amp; Digital"/>
        </xsd:restriction>
      </xsd:simpleType>
    </xsd:element>
    <xsd:element name="Attachment_x0020_Category" ma:index="10" ma:displayName="Attachment Category" ma:default="Primary Attachment" ma:format="Dropdown" ma:internalName="Attachment_x0020_Category">
      <xsd:simpleType>
        <xsd:restriction base="dms:Choice">
          <xsd:enumeration value="Primary Attachment"/>
          <xsd:enumeration value="Secondary Attachment"/>
          <xsd:enumeration value="Not applicable"/>
        </xsd:restriction>
      </xsd:simpleType>
    </xsd:element>
    <xsd:element name="Document_x0020_Category" ma:index="11" nillable="true" ma:displayName="Document Category" ma:format="Dropdown" ma:internalName="Document_x0020_Category">
      <xsd:simpleType>
        <xsd:restriction base="dms:Choice">
          <xsd:enumeration value="Overview"/>
          <xsd:enumeration value="Fact Sheet"/>
          <xsd:enumeration value="Submission"/>
          <xsd:enumeration value="Supporting Information"/>
          <xsd:enumeration value="Correspondence"/>
          <xsd:enumeration value="Presentation"/>
          <xsd:enumeration value="Strategy"/>
          <xsd:enumeration value="Not applicable"/>
          <xsd:enumeration value="Superseded"/>
        </xsd:restriction>
      </xsd:simpleType>
    </xsd:element>
    <xsd:element name="Published_x0020_Externally" ma:index="12" nillable="true" ma:displayName="Send to AER" ma:default="No" ma:format="RadioButtons" ma:internalName="Published_x0020_Externally">
      <xsd:simpleType>
        <xsd:restriction base="dms:Choice">
          <xsd:enumeration value="Yes"/>
          <xsd:enumeration value="No"/>
        </xsd:restriction>
      </xsd:simpleType>
    </xsd:element>
    <xsd:element name="d515513357cb4f278bf18cadf524fc2b" ma:index="15" nillable="true" ma:taxonomy="true" ma:internalName="d515513357cb4f278bf18cadf524fc2b" ma:taxonomyFieldName="Network" ma:displayName="Network" ma:default="" ma:fieldId="{d5155133-57cb-4f27-8bf1-8cadf524fc2b}" ma:sspId="ad4ba584-9f2e-4c1f-a403-05b05b3bfc09" ma:termSetId="ef65c028-b485-4826-ace0-e6ca04857ea0" ma:anchorId="2d6cdb2a-e191-4ee3-a7c5-b46afdb155e4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3910154b-12ea-4dcd-bebd-7986f904c7cd}" ma:internalName="TaxCatchAllLabel" ma:readOnly="true" ma:showField="CatchAllDataLabel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487619c60d4cdf829961d62f0a4c8b" ma:index="22" nillable="true" ma:taxonomy="true" ma:internalName="m5487619c60d4cdf829961d62f0a4c8b" ma:taxonomyFieldName="Determination_x0020_Activity" ma:displayName="Determination Activity" ma:default="16;#Revenue Proposal|f3980111-814c-44b7-9aa4-fe076fe6d80d" ma:fieldId="{65487619-c60d-4cdf-8299-61d62f0a4c8b}" ma:sspId="ad4ba584-9f2e-4c1f-a403-05b05b3bfc09" ma:termSetId="ef65c028-b485-4826-ace0-e6ca04857ea0" ma:anchorId="8c5389de-5c03-4935-a18a-40ceada24933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3910154b-12ea-4dcd-bebd-7986f904c7cd}" ma:internalName="TaxCatchAll" ma:showField="CatchAllData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1a554c53354888900e11ba3ff10e9e" ma:index="25" nillable="true" ma:taxonomy="true" ma:internalName="de1a554c53354888900e11ba3ff10e9e" ma:taxonomyFieldName="Determination_x0020_Category" ma:displayName="Determination Category" ma:default="55;#Supporting Documentation|54f61c4a-23b8-4acc-b5f4-9c145a97108c" ma:fieldId="{de1a554c-5335-4888-900e-11ba3ff10e9e}" ma:sspId="ad4ba584-9f2e-4c1f-a403-05b05b3bfc09" ma:termSetId="ef65c028-b485-4826-ace0-e6ca04857ea0" ma:anchorId="ef143162-b2b2-4c33-83f2-f70325f64e1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dde9-ebef-4e0b-9cde-c91850d92f2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nillable="true" ma:displayName="Document Status" ma:default="Draft" ma:format="RadioButtons" ma:internalName="Document_x0020_Status">
      <xsd:simpleType>
        <xsd:restriction base="dms:Choice">
          <xsd:enumeration value="Draft"/>
          <xsd:enumeration value="Final"/>
          <xsd:enumeration value="Superseded"/>
        </xsd:restriction>
      </xsd:simpleType>
    </xsd:element>
    <xsd:element name="Person_x0020_or_x0020_Group" ma:index="13" nillable="true" ma:displayName="Person or Group" ma:list="UserInfo" ma:SearchPeopleOnly="false" ma:SharePointGroup="0" ma:internalName="Person_x0020_or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4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Number xmlns="8f493e50-f4fa-4672-bec5-6587e791f720">R0002365121</Record_x0020_Number>
    <TaxCatchAll xmlns="8f493e50-f4fa-4672-bec5-6587e791f720">
      <Value>65</Value>
      <Value>59</Value>
      <Value>16</Value>
    </TaxCatchAll>
    <Business_x0020_Groups xmlns="8f493e50-f4fa-4672-bec5-6587e791f720">Operations</Business_x0020_Groups>
    <Person_x0020_or_x0020_Group xmlns="cdf0dde9-ebef-4e0b-9cde-c91850d92f2d">
      <UserInfo>
        <DisplayName>William Godwin</DisplayName>
        <AccountId>3592</AccountId>
        <AccountType/>
      </UserInfo>
    </Person_x0020_or_x0020_Group>
    <Published_x0020_Externally xmlns="8f493e50-f4fa-4672-bec5-6587e791f720">Yes</Published_x0020_Externally>
    <Document_x0020_Category xmlns="8f493e50-f4fa-4672-bec5-6587e791f720" xsi:nil="true"/>
    <de1a554c53354888900e11ba3ff10e9e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Models and Pricing Tariffs</TermName>
          <TermId xmlns="http://schemas.microsoft.com/office/infopath/2007/PartnerControls">2d578944-a888-48cf-9157-a3f07df87eae</TermId>
        </TermInfo>
      </Terms>
    </de1a554c53354888900e11ba3ff10e9e>
    <Attachment_x0020_Category xmlns="8f493e50-f4fa-4672-bec5-6587e791f720">Primary Attachment</Attachment_x0020_Category>
    <m5487619c60d4cdf829961d62f0a4c8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Revenue Proposal</TermName>
          <TermId xmlns="http://schemas.microsoft.com/office/infopath/2007/PartnerControls">f3980111-814c-44b7-9aa4-fe076fe6d80d</TermId>
        </TermInfo>
      </Terms>
    </m5487619c60d4cdf829961d62f0a4c8b>
    <Document_x0020_Status xmlns="cdf0dde9-ebef-4e0b-9cde-c91850d92f2d">Draft</Document_x0020_Status>
    <Confidential1 xmlns="8f493e50-f4fa-4672-bec5-6587e791f720">No</Confidential1>
    <Attachment_x0020_ID xmlns="8f493e50-f4fa-4672-bec5-6587e791f720" xsi:nil="true"/>
    <d515513357cb4f278bf18cadf524fc2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057fc33d-fae5-41b9-87e5-dc1e3aa504ba</TermId>
        </TermInfo>
      </Terms>
    </d515513357cb4f278bf18cadf524fc2b>
  </documentManagement>
</p:properties>
</file>

<file path=customXml/itemProps1.xml><?xml version="1.0" encoding="utf-8"?>
<ds:datastoreItem xmlns:ds="http://schemas.openxmlformats.org/officeDocument/2006/customXml" ds:itemID="{FFE2F6CE-1DF0-4E9F-A53C-2006F4D5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93e50-f4fa-4672-bec5-6587e791f720"/>
    <ds:schemaRef ds:uri="cdf0dde9-ebef-4e0b-9cde-c91850d92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43B0A-1560-4EEA-84B1-095E5E1A5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customXml/itemProps4.xml><?xml version="1.0" encoding="utf-8"?>
<ds:datastoreItem xmlns:ds="http://schemas.openxmlformats.org/officeDocument/2006/customXml" ds:itemID="{7F7D60B2-3A6A-43D6-ADDA-D4839F2B309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5E472E08-CC30-4362-88AA-B9EC68F20F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493e50-f4fa-4672-bec5-6587e791f720"/>
    <ds:schemaRef ds:uri="http://purl.org/dc/elements/1.1/"/>
    <ds:schemaRef ds:uri="http://schemas.microsoft.com/office/2006/metadata/properties"/>
    <ds:schemaRef ds:uri="cdf0dde9-ebef-4e0b-9cde-c91850d92f2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Final Decision tables</vt:lpstr>
      <vt:lpstr>STPIS inputs</vt:lpstr>
      <vt:lpstr>Target adjustments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 Altai</dc:creator>
  <cp:lastModifiedBy>Alaia Guido</cp:lastModifiedBy>
  <dcterms:created xsi:type="dcterms:W3CDTF">2021-10-04T03:52:19Z</dcterms:created>
  <dcterms:modified xsi:type="dcterms:W3CDTF">2026-04-21T23:18:38Z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0x01010001E02CCC3410964E993CCD35D068A93E020400959CD9CB7D29F2488657205585980DC8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{813152b7-69c2-464f-b7a1-05afac6a8a9a}</vt:lpwstr>
  </property>
  <property fmtid="{D5CDD505-2E9C-101B-9397-08002B2CF9AE}" pid="5" name="RecordPoint_ActiveItemListId">
    <vt:lpwstr>{cdf0dde9-ebef-4e0b-9cde-c91850d92f2d}</vt:lpwstr>
  </property>
  <property fmtid="{D5CDD505-2E9C-101B-9397-08002B2CF9AE}" pid="6" name="RecordPoint_ActiveItemUniqueId">
    <vt:lpwstr>{54e45a2b-5305-435a-b38e-cdb4050c6290}</vt:lpwstr>
  </property>
  <property fmtid="{D5CDD505-2E9C-101B-9397-08002B2CF9AE}" pid="7" name="RecordPoint_ActiveItemWebId">
    <vt:lpwstr>{0e6c1e0d-ce9b-4acb-bd7f-e21f20d4c138}</vt:lpwstr>
  </property>
  <property fmtid="{D5CDD505-2E9C-101B-9397-08002B2CF9AE}" pid="8" name="AP Year">
    <vt:lpwstr/>
  </property>
  <property fmtid="{D5CDD505-2E9C-101B-9397-08002B2CF9AE}" pid="9" name="Primary Audience">
    <vt:lpwstr/>
  </property>
  <property fmtid="{D5CDD505-2E9C-101B-9397-08002B2CF9AE}" pid="10" name="Network">
    <vt:lpwstr>65;#Transmission|057fc33d-fae5-41b9-87e5-dc1e3aa504ba</vt:lpwstr>
  </property>
  <property fmtid="{D5CDD505-2E9C-101B-9397-08002B2CF9AE}" pid="11" name="AP Category">
    <vt:lpwstr/>
  </property>
  <property fmtid="{D5CDD505-2E9C-101B-9397-08002B2CF9AE}" pid="12" name="AP Other">
    <vt:lpwstr/>
  </property>
  <property fmtid="{D5CDD505-2E9C-101B-9397-08002B2CF9AE}" pid="13" name="RecordPoint_RecordNumberSubmitted">
    <vt:lpwstr>R0002365121</vt:lpwstr>
  </property>
  <property fmtid="{D5CDD505-2E9C-101B-9397-08002B2CF9AE}" pid="14" name="RecordPoint_SubmissionCompleted">
    <vt:lpwstr>2023-01-24T08:50:08.3374086+11:00</vt:lpwstr>
  </property>
  <property fmtid="{D5CDD505-2E9C-101B-9397-08002B2CF9AE}" pid="15" name="Determination Category">
    <vt:lpwstr>59;#Models and Pricing Tariffs|2d578944-a888-48cf-9157-a3f07df87eae</vt:lpwstr>
  </property>
  <property fmtid="{D5CDD505-2E9C-101B-9397-08002B2CF9AE}" pid="16" name="Determination Activity">
    <vt:lpwstr>16;#Revenue Proposal|f3980111-814c-44b7-9aa4-fe076fe6d80d</vt:lpwstr>
  </property>
  <property fmtid="{D5CDD505-2E9C-101B-9397-08002B2CF9AE}" pid="17" name="RecordPoint_SubmissionDate">
    <vt:lpwstr/>
  </property>
  <property fmtid="{D5CDD505-2E9C-101B-9397-08002B2CF9AE}" pid="18" name="RecordPoint_RecordFormat">
    <vt:lpwstr/>
  </property>
  <property fmtid="{D5CDD505-2E9C-101B-9397-08002B2CF9AE}" pid="19" name="RecordPoint_ActiveItemMoved">
    <vt:lpwstr/>
  </property>
  <property fmtid="{D5CDD505-2E9C-101B-9397-08002B2CF9AE}" pid="20" name="MSIP_Label_d9d5a995-dfdf-4407-9a97-edbbc68c9f53_Enabled">
    <vt:lpwstr>true</vt:lpwstr>
  </property>
  <property fmtid="{D5CDD505-2E9C-101B-9397-08002B2CF9AE}" pid="21" name="MSIP_Label_d9d5a995-dfdf-4407-9a97-edbbc68c9f53_SetDate">
    <vt:lpwstr>2024-06-25T23:38:38Z</vt:lpwstr>
  </property>
  <property fmtid="{D5CDD505-2E9C-101B-9397-08002B2CF9AE}" pid="22" name="MSIP_Label_d9d5a995-dfdf-4407-9a97-edbbc68c9f53_Method">
    <vt:lpwstr>Privileged</vt:lpwstr>
  </property>
  <property fmtid="{D5CDD505-2E9C-101B-9397-08002B2CF9AE}" pid="23" name="MSIP_Label_d9d5a995-dfdf-4407-9a97-edbbc68c9f53_Name">
    <vt:lpwstr>OFFICIAL</vt:lpwstr>
  </property>
  <property fmtid="{D5CDD505-2E9C-101B-9397-08002B2CF9AE}" pid="24" name="MSIP_Label_d9d5a995-dfdf-4407-9a97-edbbc68c9f53_SiteId">
    <vt:lpwstr>b33e9e1a-e443-4edd-9789-24bed26d38d6</vt:lpwstr>
  </property>
  <property fmtid="{D5CDD505-2E9C-101B-9397-08002B2CF9AE}" pid="25" name="MSIP_Label_d9d5a995-dfdf-4407-9a97-edbbc68c9f53_ActionId">
    <vt:lpwstr>191e0bff-8823-4239-aab0-3c23069629cb</vt:lpwstr>
  </property>
  <property fmtid="{D5CDD505-2E9C-101B-9397-08002B2CF9AE}" pid="26" name="MSIP_Label_d9d5a995-dfdf-4407-9a97-edbbc68c9f53_ContentBits">
    <vt:lpwstr>0</vt:lpwstr>
  </property>
</Properties>
</file>