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ink/ink1.xml" ContentType="application/inkml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hidePivotFieldList="1"/>
  <mc:AlternateContent xmlns:mc="http://schemas.openxmlformats.org/markup-compatibility/2006">
    <mc:Choice Requires="x15">
      <x15ac:absPath xmlns:x15ac="http://schemas.microsoft.com/office/spreadsheetml/2010/11/ac" url="C:\Users\aguid\AppData\Roaming\iManage\Work\Recent\AER25010617 - Monitoring team - Powercor 2026-31 Determination\"/>
    </mc:Choice>
  </mc:AlternateContent>
  <xr:revisionPtr revIDLastSave="0" documentId="8_{4EA6E3B9-B12B-4F74-A4BF-427B3B7A9C70}" xr6:coauthVersionLast="47" xr6:coauthVersionMax="47" xr10:uidLastSave="{00000000-0000-0000-0000-000000000000}"/>
  <bookViews>
    <workbookView xWindow="-120" yWindow="-120" windowWidth="38640" windowHeight="21120" xr2:uid="{303A3AA0-47C2-467F-9CC6-226B472106E1}"/>
  </bookViews>
  <sheets>
    <sheet name="Cover" sheetId="20" r:id="rId1"/>
    <sheet name="Output | Final Decision tables" sheetId="19" r:id="rId2"/>
    <sheet name="STPIS inputs" sheetId="21" r:id="rId3"/>
    <sheet name="Target adjustments" sheetId="23" r:id="rId4"/>
    <sheet name="Annual performance and targets" sheetId="17" r:id="rId5"/>
    <sheet name="Incentive rates calc" sheetId="14" r:id="rId6"/>
    <sheet name="Change log" sheetId="22" state="hidden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28" i="17" l="1"/>
  <c r="T17" i="17"/>
  <c r="R21" i="17"/>
  <c r="R20" i="17"/>
  <c r="R19" i="17"/>
  <c r="R30" i="17" s="1"/>
  <c r="I19" i="17"/>
  <c r="I20" i="17"/>
  <c r="I21" i="17"/>
  <c r="Z31" i="17"/>
  <c r="Z32" i="17"/>
  <c r="Z30" i="17"/>
  <c r="Q31" i="17"/>
  <c r="Q32" i="17"/>
  <c r="Q30" i="17"/>
  <c r="H31" i="17"/>
  <c r="H32" i="17"/>
  <c r="H33" i="17"/>
  <c r="H30" i="17"/>
  <c r="B2" i="19" l="1"/>
  <c r="AA20" i="17" l="1"/>
  <c r="AA19" i="17"/>
  <c r="AA21" i="17" l="1"/>
  <c r="Y8" i="17"/>
  <c r="Y30" i="17" s="1"/>
  <c r="Y9" i="17"/>
  <c r="Y31" i="17" s="1"/>
  <c r="Y10" i="17"/>
  <c r="Y32" i="17" s="1"/>
  <c r="P8" i="17"/>
  <c r="P9" i="17"/>
  <c r="P10" i="17"/>
  <c r="G8" i="17"/>
  <c r="G9" i="17"/>
  <c r="G10" i="17"/>
  <c r="G11" i="17"/>
  <c r="G33" i="17" s="1"/>
  <c r="G24" i="23"/>
  <c r="I5" i="21" l="1"/>
  <c r="H5" i="21"/>
  <c r="G5" i="21"/>
  <c r="F5" i="21"/>
  <c r="E5" i="21"/>
  <c r="D5" i="21" l="1"/>
  <c r="D11" i="17"/>
  <c r="D33" i="17" s="1"/>
  <c r="E11" i="17"/>
  <c r="E33" i="17" s="1"/>
  <c r="F11" i="17"/>
  <c r="F33" i="17" s="1"/>
  <c r="C11" i="17"/>
  <c r="C33" i="17" s="1"/>
  <c r="I33" i="17" s="1"/>
  <c r="D12" i="19"/>
  <c r="D18" i="19" s="1"/>
  <c r="E12" i="19"/>
  <c r="E18" i="19" s="1"/>
  <c r="C12" i="19"/>
  <c r="C18" i="19" s="1"/>
  <c r="I11" i="17" l="1"/>
  <c r="H11" i="17"/>
  <c r="V10" i="17"/>
  <c r="V32" i="17" s="1"/>
  <c r="W10" i="17"/>
  <c r="W32" i="17" s="1"/>
  <c r="X10" i="17"/>
  <c r="X32" i="17" s="1"/>
  <c r="U10" i="17"/>
  <c r="U32" i="17" s="1"/>
  <c r="V9" i="17"/>
  <c r="V31" i="17" s="1"/>
  <c r="W9" i="17"/>
  <c r="W31" i="17" s="1"/>
  <c r="X9" i="17"/>
  <c r="X31" i="17" s="1"/>
  <c r="U9" i="17"/>
  <c r="U31" i="17" s="1"/>
  <c r="AA31" i="17" s="1"/>
  <c r="V8" i="17"/>
  <c r="V30" i="17" s="1"/>
  <c r="W8" i="17"/>
  <c r="W30" i="17" s="1"/>
  <c r="X8" i="17"/>
  <c r="X30" i="17" s="1"/>
  <c r="U8" i="17"/>
  <c r="U30" i="17" s="1"/>
  <c r="M10" i="17"/>
  <c r="N10" i="17"/>
  <c r="O10" i="17"/>
  <c r="L10" i="17"/>
  <c r="M9" i="17"/>
  <c r="N9" i="17"/>
  <c r="O9" i="17"/>
  <c r="L9" i="17"/>
  <c r="M8" i="17"/>
  <c r="N8" i="17"/>
  <c r="O8" i="17"/>
  <c r="L8" i="17"/>
  <c r="D10" i="17"/>
  <c r="E10" i="17"/>
  <c r="F10" i="17"/>
  <c r="C10" i="17"/>
  <c r="D9" i="17"/>
  <c r="E9" i="17"/>
  <c r="F9" i="17"/>
  <c r="C9" i="17"/>
  <c r="E8" i="17"/>
  <c r="F8" i="17"/>
  <c r="D8" i="17"/>
  <c r="C8" i="17"/>
  <c r="AA30" i="17" l="1"/>
  <c r="AA32" i="17"/>
  <c r="Q10" i="17"/>
  <c r="Z10" i="17"/>
  <c r="AA10" i="17"/>
  <c r="R10" i="17"/>
  <c r="F8" i="21"/>
  <c r="F6" i="14" s="1"/>
  <c r="E28" i="19"/>
  <c r="F4" i="14"/>
  <c r="F5" i="14"/>
  <c r="F7" i="14"/>
  <c r="F11" i="14"/>
  <c r="E31" i="23"/>
  <c r="E36" i="23" s="1"/>
  <c r="B10" i="17"/>
  <c r="K10" i="17" s="1"/>
  <c r="B9" i="17"/>
  <c r="B20" i="17" s="1"/>
  <c r="B31" i="17" s="1"/>
  <c r="B8" i="17"/>
  <c r="B19" i="17" s="1"/>
  <c r="B30" i="17" s="1"/>
  <c r="A70" i="23"/>
  <c r="F7" i="21"/>
  <c r="F10" i="21" s="1"/>
  <c r="K8" i="17" l="1"/>
  <c r="K19" i="17" s="1"/>
  <c r="K30" i="17" s="1"/>
  <c r="D25" i="19"/>
  <c r="F10" i="14"/>
  <c r="E15" i="19" s="1"/>
  <c r="B21" i="17"/>
  <c r="B32" i="17" s="1"/>
  <c r="H10" i="17"/>
  <c r="I10" i="17"/>
  <c r="T10" i="17"/>
  <c r="T21" i="17" s="1"/>
  <c r="T32" i="17" s="1"/>
  <c r="K21" i="17"/>
  <c r="K32" i="17" s="1"/>
  <c r="T8" i="17"/>
  <c r="T19" i="17" s="1"/>
  <c r="T30" i="17" s="1"/>
  <c r="K9" i="17"/>
  <c r="K20" i="17" l="1"/>
  <c r="K31" i="17" s="1"/>
  <c r="T9" i="17"/>
  <c r="T20" i="17" s="1"/>
  <c r="T31" i="17" s="1"/>
  <c r="D7" i="14" l="1"/>
  <c r="C24" i="23" l="1"/>
  <c r="AA8" i="17" l="1"/>
  <c r="AA9" i="17"/>
  <c r="Z9" i="17"/>
  <c r="Z8" i="17" l="1"/>
  <c r="E24" i="23" l="1"/>
  <c r="D36" i="23" l="1"/>
  <c r="C36" i="23"/>
  <c r="D31" i="23"/>
  <c r="C31" i="23"/>
  <c r="E7" i="21" l="1"/>
  <c r="E10" i="21" s="1"/>
  <c r="D7" i="21"/>
  <c r="D10" i="21" s="1"/>
  <c r="A69" i="23"/>
  <c r="A68" i="23"/>
  <c r="E11" i="14"/>
  <c r="D11" i="14"/>
  <c r="E4" i="14"/>
  <c r="D4" i="14"/>
  <c r="F24" i="23" l="1"/>
  <c r="D28" i="19" l="1"/>
  <c r="C28" i="19"/>
  <c r="E8" i="21"/>
  <c r="D8" i="21"/>
  <c r="D24" i="23"/>
  <c r="H24" i="23" l="1"/>
  <c r="R9" i="17"/>
  <c r="R8" i="17"/>
  <c r="I9" i="17"/>
  <c r="I8" i="17"/>
  <c r="D27" i="23" l="1"/>
  <c r="D29" i="23" s="1"/>
  <c r="C38" i="23" l="1"/>
  <c r="C39" i="23" s="1"/>
  <c r="G30" i="17" s="1"/>
  <c r="E38" i="23"/>
  <c r="E39" i="23" s="1"/>
  <c r="G32" i="17" s="1"/>
  <c r="D38" i="23"/>
  <c r="D39" i="23" s="1"/>
  <c r="G31" i="17" s="1"/>
  <c r="D28" i="23"/>
  <c r="D33" i="23" s="1"/>
  <c r="D34" i="23" s="1"/>
  <c r="P31" i="17" s="1"/>
  <c r="M31" i="17" l="1"/>
  <c r="N31" i="17"/>
  <c r="O31" i="17"/>
  <c r="L31" i="17"/>
  <c r="D31" i="17"/>
  <c r="E31" i="17"/>
  <c r="F31" i="17"/>
  <c r="C31" i="17"/>
  <c r="D32" i="17"/>
  <c r="E32" i="17"/>
  <c r="F32" i="17"/>
  <c r="E30" i="17"/>
  <c r="F30" i="17"/>
  <c r="C30" i="17"/>
  <c r="I30" i="17" s="1"/>
  <c r="D30" i="17"/>
  <c r="C33" i="23"/>
  <c r="C34" i="23" s="1"/>
  <c r="P30" i="17" s="1"/>
  <c r="E33" i="23"/>
  <c r="E34" i="23" s="1"/>
  <c r="P32" i="17" s="1"/>
  <c r="I31" i="17" l="1"/>
  <c r="R31" i="17"/>
  <c r="C32" i="17"/>
  <c r="I32" i="17" s="1"/>
  <c r="L32" i="17"/>
  <c r="O32" i="17"/>
  <c r="N32" i="17"/>
  <c r="M32" i="17"/>
  <c r="L30" i="17"/>
  <c r="O30" i="17"/>
  <c r="M30" i="17"/>
  <c r="N30" i="17"/>
  <c r="R32" i="17" l="1"/>
  <c r="B8" i="21"/>
  <c r="E6" i="14"/>
  <c r="D6" i="14"/>
  <c r="D5" i="14"/>
  <c r="E5" i="14"/>
  <c r="D13" i="21"/>
  <c r="Q8" i="17"/>
  <c r="Q9" i="17"/>
  <c r="H8" i="17"/>
  <c r="H9" i="17"/>
  <c r="F9" i="14" l="1"/>
  <c r="E13" i="19" s="1"/>
  <c r="D12" i="14"/>
  <c r="C29" i="19" s="1"/>
  <c r="F12" i="14"/>
  <c r="E12" i="14"/>
  <c r="D29" i="19" s="1"/>
  <c r="E7" i="14"/>
  <c r="D13" i="14"/>
  <c r="E29" i="19" l="1"/>
  <c r="F13" i="14"/>
  <c r="E19" i="19" s="1"/>
  <c r="F8" i="14"/>
  <c r="D10" i="14"/>
  <c r="C15" i="19" s="1"/>
  <c r="E10" i="14"/>
  <c r="D15" i="19" s="1"/>
  <c r="E13" i="14"/>
  <c r="C19" i="19"/>
  <c r="F14" i="14" l="1"/>
  <c r="E20" i="19" s="1"/>
  <c r="E14" i="19"/>
  <c r="D8" i="14"/>
  <c r="C14" i="19" s="1"/>
  <c r="E8" i="14"/>
  <c r="D14" i="19" s="1"/>
  <c r="D9" i="14"/>
  <c r="E9" i="14"/>
  <c r="D13" i="19" s="1"/>
  <c r="D19" i="19"/>
  <c r="F15" i="14" l="1"/>
  <c r="E21" i="19" s="1"/>
  <c r="C13" i="19"/>
  <c r="D14" i="14"/>
  <c r="E14" i="14"/>
  <c r="E15" i="14" s="1"/>
  <c r="D15" i="14" l="1"/>
  <c r="C21" i="19" s="1"/>
  <c r="C20" i="19"/>
  <c r="D20" i="19"/>
  <c r="D21" i="19"/>
</calcChain>
</file>

<file path=xl/sharedStrings.xml><?xml version="1.0" encoding="utf-8"?>
<sst xmlns="http://schemas.openxmlformats.org/spreadsheetml/2006/main" count="271" uniqueCount="156">
  <si>
    <t>Classification</t>
  </si>
  <si>
    <t>Urban</t>
  </si>
  <si>
    <t>R</t>
  </si>
  <si>
    <t>Average unplanned SAIFI target</t>
  </si>
  <si>
    <t>Average unplanned SAIDI target</t>
  </si>
  <si>
    <t>CPI</t>
  </si>
  <si>
    <t>SAIFI</t>
  </si>
  <si>
    <t>SAIDI</t>
  </si>
  <si>
    <t>2020/21</t>
  </si>
  <si>
    <t>2021/22</t>
  </si>
  <si>
    <t>2022/23</t>
  </si>
  <si>
    <t>Annual compliance actual</t>
  </si>
  <si>
    <t>Draft decision</t>
  </si>
  <si>
    <t>Final decision</t>
  </si>
  <si>
    <t>Decision</t>
  </si>
  <si>
    <t>Feeders classifications</t>
  </si>
  <si>
    <t>STPIS Targets and incentive rates</t>
  </si>
  <si>
    <t>Incentive rates calculation</t>
  </si>
  <si>
    <t>SAIDI Incentive rates</t>
  </si>
  <si>
    <t>SAIFI Incentive rates</t>
  </si>
  <si>
    <t>Electricity Distribution Network Service Provider</t>
  </si>
  <si>
    <t>Service Target Performance Incentive Scheme</t>
  </si>
  <si>
    <t>Inputs</t>
  </si>
  <si>
    <t>ABS</t>
  </si>
  <si>
    <t>Historical STPIS performance and adjustments</t>
  </si>
  <si>
    <t>Log normal</t>
  </si>
  <si>
    <t>2026-27</t>
  </si>
  <si>
    <t>2027-28</t>
  </si>
  <si>
    <t>2028-29</t>
  </si>
  <si>
    <t>Value of customer reliablity ($/MWh)</t>
  </si>
  <si>
    <t>SAIDI (minutes)</t>
  </si>
  <si>
    <t>SAIFI  (interruptions)</t>
  </si>
  <si>
    <t>Changelog (to detail completion of inputs, and any changes to inputs)</t>
  </si>
  <si>
    <t>Cell range</t>
  </si>
  <si>
    <t>Description</t>
  </si>
  <si>
    <t>Changed format of decision tables tab</t>
  </si>
  <si>
    <t>Contents</t>
  </si>
  <si>
    <t>Output | Decision tables</t>
  </si>
  <si>
    <t>STPIS inputs</t>
  </si>
  <si>
    <t>Annual performance and targets</t>
  </si>
  <si>
    <t>Incentive rates calculations</t>
  </si>
  <si>
    <t>Incentive rate attributes</t>
  </si>
  <si>
    <t>C18 to F18; C19 to F19</t>
  </si>
  <si>
    <t>C23-F23</t>
  </si>
  <si>
    <t>Output decision tables incentive rates calculation divided value by 100. This was removed as the value is also in percentage form</t>
  </si>
  <si>
    <t>Output decision tables, fixed VCR not being escalated.</t>
  </si>
  <si>
    <t>Date</t>
  </si>
  <si>
    <t>VCR ($/MWh)</t>
  </si>
  <si>
    <t>Average annual energy consumption by network type (MWh)</t>
  </si>
  <si>
    <t>Average smoothed revenue requirement ($)</t>
  </si>
  <si>
    <t>Average</t>
  </si>
  <si>
    <t>Adjustments</t>
  </si>
  <si>
    <t>VCR</t>
  </si>
  <si>
    <t>Inflation</t>
  </si>
  <si>
    <t>Provides output including incentive rates, targets and VCR by feeders type.</t>
  </si>
  <si>
    <t>Network type weighting</t>
  </si>
  <si>
    <t>2029-30</t>
  </si>
  <si>
    <t>2023/24</t>
  </si>
  <si>
    <t>Incentive rate</t>
  </si>
  <si>
    <t>Target</t>
  </si>
  <si>
    <t>Telephone answering (calls answered in 30 seconds)</t>
  </si>
  <si>
    <r>
      <rPr>
        <i/>
        <sz val="8"/>
        <rFont val="Arial"/>
        <family val="2"/>
      </rPr>
      <t xml:space="preserve">ir - </t>
    </r>
    <r>
      <rPr>
        <sz val="8"/>
        <rFont val="Arial"/>
        <family val="2"/>
      </rPr>
      <t>SAIDI</t>
    </r>
  </si>
  <si>
    <r>
      <rPr>
        <i/>
        <sz val="8"/>
        <rFont val="Arial"/>
        <family val="2"/>
      </rPr>
      <t>ir -</t>
    </r>
    <r>
      <rPr>
        <sz val="8"/>
        <rFont val="Arial"/>
        <family val="2"/>
      </rPr>
      <t xml:space="preserve"> SAIFI</t>
    </r>
  </si>
  <si>
    <r>
      <t>VCR</t>
    </r>
    <r>
      <rPr>
        <vertAlign val="subscript"/>
        <sz val="8"/>
        <color theme="1"/>
        <rFont val="Arial"/>
        <family val="2"/>
      </rPr>
      <t>n</t>
    </r>
  </si>
  <si>
    <r>
      <t>C</t>
    </r>
    <r>
      <rPr>
        <vertAlign val="subscript"/>
        <sz val="8"/>
        <color theme="1"/>
        <rFont val="Arial"/>
        <family val="2"/>
      </rPr>
      <t>n</t>
    </r>
  </si>
  <si>
    <r>
      <t>SAIFI</t>
    </r>
    <r>
      <rPr>
        <vertAlign val="subscript"/>
        <sz val="8"/>
        <color theme="1"/>
        <rFont val="Arial"/>
        <family val="2"/>
      </rPr>
      <t>n</t>
    </r>
  </si>
  <si>
    <r>
      <t>SAIDI</t>
    </r>
    <r>
      <rPr>
        <vertAlign val="subscript"/>
        <sz val="8"/>
        <color theme="1"/>
        <rFont val="Arial"/>
        <family val="2"/>
      </rPr>
      <t>n</t>
    </r>
  </si>
  <si>
    <r>
      <t>w</t>
    </r>
    <r>
      <rPr>
        <vertAlign val="subscript"/>
        <sz val="8"/>
        <color theme="1"/>
        <rFont val="Arial"/>
        <family val="2"/>
      </rPr>
      <t>n</t>
    </r>
  </si>
  <si>
    <t>Measure</t>
  </si>
  <si>
    <t>Unplanned SAIDI - urban</t>
  </si>
  <si>
    <t>Unplanned SAIDI - short rural</t>
  </si>
  <si>
    <t>Unplanned SAIDI - long rural</t>
  </si>
  <si>
    <t>Unplanned SAIFI - urban</t>
  </si>
  <si>
    <t>Unplanned SAIFI - short rural</t>
  </si>
  <si>
    <t>Unplanned SAIFI - long rural</t>
  </si>
  <si>
    <t>performance over the cap</t>
  </si>
  <si>
    <t>SAIDI Incentive rates in current regulatory period</t>
  </si>
  <si>
    <t>SAIFI Incentive rates in current regulatory period</t>
  </si>
  <si>
    <t>Source</t>
  </si>
  <si>
    <t>2024/25</t>
  </si>
  <si>
    <t>5 Year Average MWH</t>
  </si>
  <si>
    <t>2026-31</t>
  </si>
  <si>
    <t>AER Decision STPIS for 2026-31</t>
  </si>
  <si>
    <t>STPIS Incentive rates for 2026-31 period</t>
  </si>
  <si>
    <t>Inputs average smoothed revenues, average annual energy consumptions, CPI and network feeders type.</t>
  </si>
  <si>
    <t>Calculates incentive rates by STPIS parameters and network feeder types.</t>
  </si>
  <si>
    <t>Legend</t>
  </si>
  <si>
    <t>Calculated figure</t>
  </si>
  <si>
    <t>Data Input</t>
  </si>
  <si>
    <t>2030-31</t>
  </si>
  <si>
    <t>SAIDI - Adj required to 2026-31 RCP reliability targets due to R@R</t>
  </si>
  <si>
    <t>SAIFI - Adj required to 2026-31 RCP reliability targets due to R@R</t>
  </si>
  <si>
    <t>AER, Value of customer reliability review, final report, December 2024. September 2024 CPI used.</t>
  </si>
  <si>
    <t>AER, Value of customer reliability review, final report, December 2024.</t>
  </si>
  <si>
    <t>DNSP</t>
  </si>
  <si>
    <t>Unplanned MAIFI - urban</t>
  </si>
  <si>
    <t>Unplanned MAIFI - short rural</t>
  </si>
  <si>
    <t>Unplanned MAIFI - long rural</t>
  </si>
  <si>
    <t>SAIDI adjustment</t>
  </si>
  <si>
    <t>SAIFI adjustment</t>
  </si>
  <si>
    <t>Backcasted data (Actual)</t>
  </si>
  <si>
    <t>Forecast Energy Consumption by Network Type</t>
  </si>
  <si>
    <t>Network type</t>
  </si>
  <si>
    <t>sum of the raw s-factors for the reliability of supply parameters</t>
  </si>
  <si>
    <t>reliability cap</t>
  </si>
  <si>
    <t>ADDITIONAL NOTES</t>
  </si>
  <si>
    <t>Adj required to 2026-31 RCP reliability targets due to R@R cap for 2021-26 SAIDI</t>
  </si>
  <si>
    <t>Adj required to 2026-31 RCP reliability targets due to R@R cap for 2021-26 SAIFI</t>
  </si>
  <si>
    <t>2021-26 AER Final decision</t>
  </si>
  <si>
    <t>%above cap excluding telephone answering</t>
  </si>
  <si>
    <t xml:space="preserve">STPIS </t>
  </si>
  <si>
    <t>STPIS Explanatory Statement (pg. 3)</t>
  </si>
  <si>
    <t>SAIDI proportion for incentive rate (60%)</t>
  </si>
  <si>
    <t>SAIFI proportion for incentive rate (40%)</t>
  </si>
  <si>
    <t>MAIFI</t>
  </si>
  <si>
    <t>Average unplanned MAIFI target</t>
  </si>
  <si>
    <t>Value of Customer Reliability (VCR) for VIC ($/MWh)</t>
  </si>
  <si>
    <t>Linked Input</t>
  </si>
  <si>
    <t>Beta Method (Major Event Day Threshold calculation)</t>
  </si>
  <si>
    <t>Revenue at Risk (STPIS) ±</t>
  </si>
  <si>
    <t>MAIFI Incentive rates (8% of the incentive rate for SAIFI)</t>
  </si>
  <si>
    <t>Service Target Performance Incentive Scheme v2 (13 December 2018)</t>
  </si>
  <si>
    <t>DNSP Proposal</t>
  </si>
  <si>
    <t>Powercor</t>
  </si>
  <si>
    <t>Short Rural</t>
  </si>
  <si>
    <t>Long Rural</t>
  </si>
  <si>
    <t>Table 20: Regional VCR</t>
  </si>
  <si>
    <t>Telephone Answering</t>
  </si>
  <si>
    <t xml:space="preserve">Telephone Answering </t>
  </si>
  <si>
    <t>Customer service component</t>
  </si>
  <si>
    <t>(Extract of STPIS version 2.0)</t>
  </si>
  <si>
    <t>2021H1</t>
  </si>
  <si>
    <t>Revenue Smoothing ($ Real 2025-26)</t>
  </si>
  <si>
    <t>STPIS reliability targets for 2026-31 period</t>
  </si>
  <si>
    <t>(5 years - 2020/21 to 2024/25)</t>
  </si>
  <si>
    <t>Did not exceed revenue at risk</t>
  </si>
  <si>
    <t>AER PTRM Outputs</t>
  </si>
  <si>
    <t>Telephone Answering (customer service)</t>
  </si>
  <si>
    <t>Performance Target Adjustments (clause 3.2.1 of the STPIS)</t>
  </si>
  <si>
    <t>Revenue at Risk - Appendix F (right)</t>
  </si>
  <si>
    <t>Expected reliability improvements associated with expenditure programs</t>
  </si>
  <si>
    <t>MAIFI adjustment</t>
  </si>
  <si>
    <t>Maintain REFCL reliability</t>
  </si>
  <si>
    <t>5 year Average</t>
  </si>
  <si>
    <t>Powercor response to AER information request #081</t>
  </si>
  <si>
    <t>Target adjustments</t>
  </si>
  <si>
    <t>Calculates performance target adjustments</t>
  </si>
  <si>
    <t>Calculates performance targets for each network feeder type for the upcoming regulatory control period (based on historical performance and if applicable, any performance target adjustments)</t>
  </si>
  <si>
    <t>▪ s-factor annual compliance (actual) 
▪ Annual information orders</t>
  </si>
  <si>
    <t>s-factor - annual compliance review</t>
  </si>
  <si>
    <t xml:space="preserve">BAN003-WND024 | Long Rural </t>
  </si>
  <si>
    <t xml:space="preserve">BAN003-BMH003 | Long Rural </t>
  </si>
  <si>
    <t>MAIFI / MAIFIe (interruptions)</t>
  </si>
  <si>
    <r>
      <rPr>
        <i/>
        <sz val="8"/>
        <rFont val="Arial"/>
        <family val="2"/>
      </rPr>
      <t>ir -</t>
    </r>
    <r>
      <rPr>
        <sz val="8"/>
        <rFont val="Arial"/>
        <family val="2"/>
      </rPr>
      <t xml:space="preserve"> MAIFI / MAIFIe</t>
    </r>
  </si>
  <si>
    <t>MAIFI / MAIFIe</t>
  </si>
  <si>
    <t xml:space="preserve">VCR values has been escalated to the December 2024 quarter.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</si>
</sst>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2">
    <numFmt numFmtId="164" formatCode="&quot;$&quot;#,##0_);\(&quot;$&quot;#,##0\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0.000"/>
    <numFmt numFmtId="168" formatCode="0.0000"/>
    <numFmt numFmtId="169" formatCode="_-* #,##0.00000000000000_-;\-* #,##0.00000000000000_-;_-* &quot;-&quot;??_-;_-@_-"/>
    <numFmt numFmtId="170" formatCode="_-* #,##0.000000000000000_-;\-* #,##0.000000000000000_-;_-* &quot;-&quot;??_-;_-@_-"/>
    <numFmt numFmtId="171" formatCode="_-* #,##0_-;\-* #,##0_-;_-* &quot;-&quot;??_-;_-@_-"/>
    <numFmt numFmtId="172" formatCode="_-* #,##0.0_-;\-* #,##0.0_-;_-* &quot;-&quot;??_-;_-@_-"/>
    <numFmt numFmtId="173" formatCode="_(* #,##0.0_);_(* \(#,##0.0\);_(* &quot;-&quot;??_);_(@_)"/>
    <numFmt numFmtId="174" formatCode="_(&quot;$&quot;* #,##0_);_(&quot;$&quot;* \(#,##0\);_(&quot;$&quot;* &quot;-&quot;??_);_(@_)"/>
    <numFmt numFmtId="175" formatCode="#,##0.0000"/>
    <numFmt numFmtId="176" formatCode="0.00;\-0.00;\-;@"/>
    <numFmt numFmtId="177" formatCode="0.0000%"/>
    <numFmt numFmtId="178" formatCode="0.00000%"/>
    <numFmt numFmtId="179" formatCode="0.0000000;\-0.0000000;\-;@"/>
    <numFmt numFmtId="180" formatCode="0.0000000"/>
    <numFmt numFmtId="181" formatCode="_(* #,##0_);_(* \(#,##0\);_(* &quot;-&quot;??_);_(@_)"/>
    <numFmt numFmtId="182" formatCode="0.0%"/>
    <numFmt numFmtId="183" formatCode="0.000%"/>
    <numFmt numFmtId="184" formatCode="0.0000;\-0.0000;\-;@"/>
    <numFmt numFmtId="185" formatCode="0.0"/>
  </numFmts>
  <fonts count="4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0"/>
      <name val="Arial"/>
      <family val="2"/>
    </font>
    <font>
      <b/>
      <sz val="16"/>
      <color rgb="FFFFFFFF"/>
      <name val="Arial"/>
      <family val="2"/>
    </font>
    <font>
      <u/>
      <sz val="10"/>
      <color indexed="12"/>
      <name val="Arial"/>
      <family val="2"/>
    </font>
    <font>
      <b/>
      <sz val="8"/>
      <color theme="1"/>
      <name val="Arial"/>
      <family val="2"/>
    </font>
    <font>
      <sz val="36"/>
      <name val="Arial"/>
      <family val="2"/>
    </font>
    <font>
      <sz val="26"/>
      <name val="Arial"/>
      <family val="2"/>
    </font>
    <font>
      <b/>
      <sz val="42"/>
      <name val="Arial"/>
      <family val="2"/>
    </font>
    <font>
      <b/>
      <sz val="16"/>
      <name val="Arial"/>
      <family val="2"/>
    </font>
    <font>
      <sz val="8"/>
      <name val="Arial"/>
      <family val="2"/>
    </font>
    <font>
      <sz val="8"/>
      <color theme="1"/>
      <name val="Calibri"/>
      <family val="2"/>
      <scheme val="minor"/>
    </font>
    <font>
      <sz val="8"/>
      <name val="TimesNewRoman"/>
    </font>
    <font>
      <b/>
      <sz val="36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color indexed="8"/>
      <name val="Arial"/>
      <family val="2"/>
    </font>
    <font>
      <i/>
      <sz val="8"/>
      <color indexed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sz val="12"/>
      <color theme="1"/>
      <name val="Calibri"/>
      <family val="2"/>
      <scheme val="minor"/>
    </font>
    <font>
      <sz val="11"/>
      <color theme="1"/>
      <name val="Arial"/>
      <family val="2"/>
    </font>
    <font>
      <sz val="8"/>
      <color theme="1"/>
      <name val="Arial"/>
      <family val="2"/>
    </font>
    <font>
      <i/>
      <sz val="8"/>
      <color theme="1"/>
      <name val="Arial"/>
      <family val="2"/>
    </font>
    <font>
      <i/>
      <sz val="8"/>
      <color rgb="FF0070C0"/>
      <name val="Arial"/>
      <family val="2"/>
    </font>
    <font>
      <sz val="8"/>
      <color rgb="FFFF0000"/>
      <name val="Arial"/>
      <family val="2"/>
    </font>
    <font>
      <sz val="8"/>
      <color rgb="FF0070C0"/>
      <name val="Arial"/>
      <family val="2"/>
    </font>
    <font>
      <i/>
      <sz val="8"/>
      <name val="Arial"/>
      <family val="2"/>
    </font>
    <font>
      <vertAlign val="subscript"/>
      <sz val="8"/>
      <color theme="1"/>
      <name val="Arial"/>
      <family val="2"/>
    </font>
    <font>
      <b/>
      <sz val="8"/>
      <color theme="0"/>
      <name val="Arial"/>
      <family val="2"/>
    </font>
    <font>
      <sz val="11"/>
      <color theme="0"/>
      <name val="Calibri"/>
      <family val="2"/>
      <scheme val="minor"/>
    </font>
    <font>
      <b/>
      <sz val="10"/>
      <name val="Helvetica"/>
      <family val="2"/>
    </font>
    <font>
      <sz val="10"/>
      <color theme="4"/>
      <name val="Helvetica"/>
      <family val="2"/>
    </font>
    <font>
      <sz val="10"/>
      <color theme="4"/>
      <name val="Calibri"/>
      <family val="2"/>
      <scheme val="minor"/>
    </font>
    <font>
      <sz val="8"/>
      <color theme="4"/>
      <name val="Arial"/>
      <family val="2"/>
    </font>
    <font>
      <sz val="8"/>
      <name val="Calibri"/>
      <family val="2"/>
      <scheme val="minor"/>
    </font>
    <font>
      <i/>
      <sz val="8"/>
      <color rgb="FF002060"/>
      <name val="Arial"/>
      <family val="2"/>
    </font>
    <font>
      <sz val="7"/>
      <name val="Arial"/>
      <family val="2"/>
    </font>
    <font>
      <i/>
      <sz val="10"/>
      <name val="Calibri"/>
      <family val="2"/>
      <scheme val="minor"/>
    </font>
    <font>
      <i/>
      <u/>
      <sz val="8"/>
      <color theme="10"/>
      <name val="Calibri"/>
      <family val="2"/>
      <scheme val="minor"/>
    </font>
    <font>
      <b/>
      <sz val="10"/>
      <color theme="1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808080"/>
        <bgColor rgb="FF000000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</patternFill>
    </fill>
    <fill>
      <patternFill patternType="solid">
        <fgColor theme="3"/>
        <bgColor indexed="64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auto="1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/>
      <right style="thin">
        <color theme="0" tint="-0.249977111117893"/>
      </right>
      <top/>
      <bottom/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2">
    <xf numFmtId="0" fontId="0" fillId="0" borderId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3" fillId="3" borderId="2">
      <alignment vertical="center"/>
    </xf>
    <xf numFmtId="0" fontId="4" fillId="4" borderId="0">
      <alignment horizontal="left" vertical="center"/>
      <protection locked="0"/>
    </xf>
    <xf numFmtId="0" fontId="2" fillId="0" borderId="0"/>
    <xf numFmtId="0" fontId="5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165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33" fillId="11" borderId="0" applyNumberFormat="0" applyBorder="0" applyAlignment="0" applyProtection="0"/>
    <xf numFmtId="0" fontId="34" fillId="0" borderId="0" applyFill="0" applyBorder="0">
      <alignment horizontal="left" vertical="center"/>
    </xf>
    <xf numFmtId="0" fontId="35" fillId="14" borderId="6">
      <alignment horizontal="left" vertical="center"/>
      <protection locked="0"/>
    </xf>
    <xf numFmtId="0" fontId="36" fillId="14" borderId="6">
      <alignment horizontal="left" vertical="center"/>
      <protection locked="0"/>
    </xf>
  </cellStyleXfs>
  <cellXfs count="227">
    <xf numFmtId="0" fontId="0" fillId="0" borderId="0" xfId="0"/>
    <xf numFmtId="0" fontId="0" fillId="7" borderId="3" xfId="0" applyFill="1" applyBorder="1"/>
    <xf numFmtId="0" fontId="0" fillId="7" borderId="0" xfId="0" applyFill="1"/>
    <xf numFmtId="0" fontId="0" fillId="7" borderId="4" xfId="0" applyFill="1" applyBorder="1"/>
    <xf numFmtId="0" fontId="0" fillId="8" borderId="5" xfId="0" applyFill="1" applyBorder="1"/>
    <xf numFmtId="0" fontId="14" fillId="7" borderId="0" xfId="0" applyFont="1" applyFill="1"/>
    <xf numFmtId="0" fontId="10" fillId="7" borderId="0" xfId="0" applyFont="1" applyFill="1"/>
    <xf numFmtId="0" fontId="6" fillId="7" borderId="5" xfId="9" applyFont="1" applyFill="1" applyBorder="1"/>
    <xf numFmtId="0" fontId="18" fillId="7" borderId="5" xfId="9" applyFont="1" applyFill="1" applyBorder="1" applyAlignment="1">
      <alignment vertical="center"/>
    </xf>
    <xf numFmtId="171" fontId="16" fillId="0" borderId="0" xfId="9" applyNumberFormat="1" applyFont="1"/>
    <xf numFmtId="171" fontId="11" fillId="0" borderId="0" xfId="12" applyNumberFormat="1" applyFont="1" applyAlignment="1" applyProtection="1"/>
    <xf numFmtId="171" fontId="17" fillId="0" borderId="0" xfId="9" applyNumberFormat="1" applyFont="1"/>
    <xf numFmtId="172" fontId="17" fillId="0" borderId="0" xfId="9" applyNumberFormat="1" applyFont="1"/>
    <xf numFmtId="0" fontId="17" fillId="0" borderId="0" xfId="9" applyFont="1"/>
    <xf numFmtId="0" fontId="17" fillId="0" borderId="0" xfId="9" applyFont="1" applyAlignment="1">
      <alignment wrapText="1"/>
    </xf>
    <xf numFmtId="171" fontId="19" fillId="0" borderId="4" xfId="12" applyNumberFormat="1" applyFont="1" applyBorder="1" applyAlignment="1" applyProtection="1"/>
    <xf numFmtId="171" fontId="20" fillId="0" borderId="4" xfId="9" applyNumberFormat="1" applyFont="1" applyBorder="1"/>
    <xf numFmtId="171" fontId="17" fillId="0" borderId="4" xfId="9" applyNumberFormat="1" applyFont="1" applyBorder="1"/>
    <xf numFmtId="172" fontId="17" fillId="0" borderId="4" xfId="9" applyNumberFormat="1" applyFont="1" applyBorder="1"/>
    <xf numFmtId="0" fontId="17" fillId="0" borderId="4" xfId="9" applyFont="1" applyBorder="1"/>
    <xf numFmtId="171" fontId="16" fillId="0" borderId="0" xfId="9" quotePrefix="1" applyNumberFormat="1" applyFont="1"/>
    <xf numFmtId="0" fontId="2" fillId="7" borderId="5" xfId="9" applyFill="1" applyBorder="1" applyAlignment="1">
      <alignment horizontal="center" vertical="center"/>
    </xf>
    <xf numFmtId="0" fontId="18" fillId="7" borderId="5" xfId="9" applyFont="1" applyFill="1" applyBorder="1" applyAlignment="1">
      <alignment horizontal="center" vertical="center"/>
    </xf>
    <xf numFmtId="0" fontId="2" fillId="7" borderId="5" xfId="9" applyFill="1" applyBorder="1" applyAlignment="1">
      <alignment horizontal="center" vertical="center" wrapText="1"/>
    </xf>
    <xf numFmtId="165" fontId="18" fillId="7" borderId="5" xfId="9" applyNumberFormat="1" applyFont="1" applyFill="1" applyBorder="1" applyAlignment="1">
      <alignment horizontal="center" vertical="center" wrapText="1"/>
    </xf>
    <xf numFmtId="0" fontId="21" fillId="7" borderId="5" xfId="9" applyFont="1" applyFill="1" applyBorder="1" applyAlignment="1">
      <alignment horizontal="left" vertical="center" indent="1"/>
    </xf>
    <xf numFmtId="14" fontId="11" fillId="0" borderId="0" xfId="12" applyNumberFormat="1" applyFont="1" applyAlignment="1" applyProtection="1"/>
    <xf numFmtId="0" fontId="2" fillId="7" borderId="5" xfId="9" applyFill="1" applyBorder="1"/>
    <xf numFmtId="0" fontId="2" fillId="6" borderId="0" xfId="9" applyFill="1" applyAlignment="1">
      <alignment wrapText="1"/>
    </xf>
    <xf numFmtId="0" fontId="2" fillId="6" borderId="0" xfId="9" applyFill="1"/>
    <xf numFmtId="0" fontId="2" fillId="0" borderId="0" xfId="9"/>
    <xf numFmtId="0" fontId="24" fillId="0" borderId="0" xfId="0" applyFont="1"/>
    <xf numFmtId="0" fontId="6" fillId="7" borderId="0" xfId="9" applyFont="1" applyFill="1" applyAlignment="1">
      <alignment vertical="center"/>
    </xf>
    <xf numFmtId="0" fontId="25" fillId="0" borderId="0" xfId="0" applyFont="1" applyAlignment="1">
      <alignment vertical="center"/>
    </xf>
    <xf numFmtId="0" fontId="25" fillId="0" borderId="1" xfId="0" applyFont="1" applyBorder="1" applyAlignment="1">
      <alignment vertical="center"/>
    </xf>
    <xf numFmtId="0" fontId="6" fillId="10" borderId="0" xfId="0" applyFont="1" applyFill="1" applyAlignment="1">
      <alignment vertical="center"/>
    </xf>
    <xf numFmtId="0" fontId="26" fillId="10" borderId="0" xfId="0" applyFont="1" applyFill="1" applyAlignment="1">
      <alignment vertical="center"/>
    </xf>
    <xf numFmtId="0" fontId="25" fillId="10" borderId="0" xfId="0" applyFont="1" applyFill="1" applyAlignment="1">
      <alignment vertical="center"/>
    </xf>
    <xf numFmtId="171" fontId="25" fillId="10" borderId="0" xfId="0" applyNumberFormat="1" applyFont="1" applyFill="1" applyAlignment="1">
      <alignment vertical="center"/>
    </xf>
    <xf numFmtId="0" fontId="6" fillId="0" borderId="0" xfId="0" applyFont="1" applyAlignment="1">
      <alignment vertical="center"/>
    </xf>
    <xf numFmtId="166" fontId="25" fillId="0" borderId="0" xfId="1" applyFont="1" applyAlignment="1">
      <alignment vertical="center"/>
    </xf>
    <xf numFmtId="17" fontId="25" fillId="10" borderId="1" xfId="0" applyNumberFormat="1" applyFont="1" applyFill="1" applyBorder="1" applyAlignment="1">
      <alignment horizontal="left" vertical="center"/>
    </xf>
    <xf numFmtId="0" fontId="27" fillId="10" borderId="0" xfId="0" applyFont="1" applyFill="1" applyAlignment="1">
      <alignment horizontal="left" vertical="center"/>
    </xf>
    <xf numFmtId="0" fontId="25" fillId="0" borderId="0" xfId="0" applyFont="1"/>
    <xf numFmtId="0" fontId="6" fillId="7" borderId="0" xfId="9" applyFont="1" applyFill="1" applyAlignment="1">
      <alignment horizontal="center" vertical="center"/>
    </xf>
    <xf numFmtId="0" fontId="6" fillId="7" borderId="5" xfId="9" applyFont="1" applyFill="1" applyBorder="1" applyAlignment="1">
      <alignment vertical="center"/>
    </xf>
    <xf numFmtId="0" fontId="6" fillId="9" borderId="1" xfId="0" applyFont="1" applyFill="1" applyBorder="1" applyAlignment="1">
      <alignment horizontal="left" vertical="center"/>
    </xf>
    <xf numFmtId="0" fontId="28" fillId="0" borderId="0" xfId="0" applyFont="1" applyAlignment="1">
      <alignment vertical="center"/>
    </xf>
    <xf numFmtId="166" fontId="28" fillId="0" borderId="0" xfId="1" applyFont="1" applyAlignment="1">
      <alignment vertical="center"/>
    </xf>
    <xf numFmtId="0" fontId="6" fillId="2" borderId="1" xfId="0" applyFont="1" applyFill="1" applyBorder="1" applyAlignment="1">
      <alignment horizontal="left" vertical="center"/>
    </xf>
    <xf numFmtId="0" fontId="2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166" fontId="6" fillId="2" borderId="1" xfId="1" applyFont="1" applyFill="1" applyBorder="1" applyAlignment="1">
      <alignment horizontal="left" vertical="center"/>
    </xf>
    <xf numFmtId="0" fontId="6" fillId="5" borderId="1" xfId="0" applyFont="1" applyFill="1" applyBorder="1"/>
    <xf numFmtId="167" fontId="6" fillId="5" borderId="1" xfId="0" applyNumberFormat="1" applyFont="1" applyFill="1" applyBorder="1"/>
    <xf numFmtId="0" fontId="29" fillId="0" borderId="0" xfId="0" applyFont="1"/>
    <xf numFmtId="0" fontId="25" fillId="0" borderId="1" xfId="0" applyFont="1" applyBorder="1" applyAlignment="1">
      <alignment horizontal="left" vertical="center" indent="1"/>
    </xf>
    <xf numFmtId="0" fontId="25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 indent="2"/>
    </xf>
    <xf numFmtId="0" fontId="11" fillId="0" borderId="1" xfId="0" applyFont="1" applyBorder="1" applyAlignment="1">
      <alignment horizontal="left" vertical="center" indent="1"/>
    </xf>
    <xf numFmtId="0" fontId="11" fillId="0" borderId="0" xfId="0" applyFont="1" applyAlignment="1">
      <alignment horizontal="left" vertical="center" indent="1"/>
    </xf>
    <xf numFmtId="168" fontId="25" fillId="10" borderId="0" xfId="0" applyNumberFormat="1" applyFont="1" applyFill="1" applyAlignment="1">
      <alignment horizontal="center" vertical="center"/>
    </xf>
    <xf numFmtId="0" fontId="25" fillId="0" borderId="1" xfId="0" applyFont="1" applyBorder="1" applyAlignment="1">
      <alignment horizontal="left" vertical="center" indent="2"/>
    </xf>
    <xf numFmtId="0" fontId="6" fillId="7" borderId="0" xfId="9" applyFont="1" applyFill="1" applyAlignment="1">
      <alignment horizontal="center"/>
    </xf>
    <xf numFmtId="0" fontId="6" fillId="7" borderId="0" xfId="9" applyFont="1" applyFill="1"/>
    <xf numFmtId="0" fontId="32" fillId="10" borderId="0" xfId="9" applyFont="1" applyFill="1" applyAlignment="1">
      <alignment vertical="center"/>
    </xf>
    <xf numFmtId="168" fontId="25" fillId="0" borderId="0" xfId="0" applyNumberFormat="1" applyFont="1"/>
    <xf numFmtId="167" fontId="25" fillId="0" borderId="0" xfId="0" applyNumberFormat="1" applyFont="1"/>
    <xf numFmtId="0" fontId="32" fillId="13" borderId="0" xfId="0" applyFont="1" applyFill="1" applyProtection="1">
      <protection locked="0"/>
    </xf>
    <xf numFmtId="176" fontId="37" fillId="14" borderId="7" xfId="20" applyNumberFormat="1" applyFont="1" applyBorder="1" applyAlignment="1">
      <alignment horizontal="center" vertical="center"/>
      <protection locked="0"/>
    </xf>
    <xf numFmtId="10" fontId="37" fillId="14" borderId="7" xfId="11" applyNumberFormat="1" applyFont="1" applyFill="1" applyBorder="1" applyAlignment="1" applyProtection="1">
      <alignment horizontal="center" vertical="center"/>
      <protection locked="0"/>
    </xf>
    <xf numFmtId="168" fontId="37" fillId="14" borderId="7" xfId="20" applyNumberFormat="1" applyFont="1" applyBorder="1" applyAlignment="1">
      <alignment horizontal="center" vertical="center"/>
      <protection locked="0"/>
    </xf>
    <xf numFmtId="167" fontId="37" fillId="14" borderId="7" xfId="20" applyNumberFormat="1" applyFont="1" applyBorder="1" applyAlignment="1">
      <alignment horizontal="center" vertical="center"/>
      <protection locked="0"/>
    </xf>
    <xf numFmtId="177" fontId="37" fillId="14" borderId="7" xfId="11" applyNumberFormat="1" applyFont="1" applyFill="1" applyBorder="1" applyAlignment="1" applyProtection="1">
      <alignment horizontal="center" vertical="center"/>
      <protection locked="0"/>
    </xf>
    <xf numFmtId="167" fontId="25" fillId="5" borderId="1" xfId="0" applyNumberFormat="1" applyFont="1" applyFill="1" applyBorder="1"/>
    <xf numFmtId="0" fontId="37" fillId="14" borderId="6" xfId="21" applyFont="1">
      <alignment horizontal="left" vertical="center"/>
      <protection locked="0"/>
    </xf>
    <xf numFmtId="0" fontId="37" fillId="14" borderId="7" xfId="11" applyNumberFormat="1" applyFont="1" applyFill="1" applyBorder="1" applyAlignment="1" applyProtection="1">
      <alignment horizontal="center" vertical="center"/>
      <protection locked="0"/>
    </xf>
    <xf numFmtId="168" fontId="25" fillId="15" borderId="1" xfId="0" applyNumberFormat="1" applyFont="1" applyFill="1" applyBorder="1" applyAlignment="1">
      <alignment horizontal="center" vertical="center"/>
    </xf>
    <xf numFmtId="3" fontId="25" fillId="15" borderId="1" xfId="2" applyNumberFormat="1" applyFont="1" applyFill="1" applyBorder="1" applyAlignment="1">
      <alignment horizontal="center" vertical="center"/>
    </xf>
    <xf numFmtId="2" fontId="25" fillId="14" borderId="1" xfId="1" applyNumberFormat="1" applyFont="1" applyFill="1" applyBorder="1" applyAlignment="1">
      <alignment horizontal="center" vertical="center"/>
    </xf>
    <xf numFmtId="10" fontId="25" fillId="14" borderId="1" xfId="0" applyNumberFormat="1" applyFont="1" applyFill="1" applyBorder="1" applyAlignment="1">
      <alignment horizontal="center" vertical="center"/>
    </xf>
    <xf numFmtId="0" fontId="25" fillId="14" borderId="1" xfId="0" applyFont="1" applyFill="1" applyBorder="1" applyAlignment="1">
      <alignment horizontal="center" vertical="center"/>
    </xf>
    <xf numFmtId="180" fontId="25" fillId="15" borderId="1" xfId="11" applyNumberFormat="1" applyFont="1" applyFill="1" applyBorder="1" applyAlignment="1">
      <alignment horizontal="center" vertical="center"/>
    </xf>
    <xf numFmtId="37" fontId="25" fillId="14" borderId="1" xfId="0" applyNumberFormat="1" applyFont="1" applyFill="1" applyBorder="1" applyAlignment="1">
      <alignment horizontal="center" vertical="center"/>
    </xf>
    <xf numFmtId="177" fontId="37" fillId="15" borderId="7" xfId="11" applyNumberFormat="1" applyFont="1" applyFill="1" applyBorder="1" applyAlignment="1" applyProtection="1">
      <alignment horizontal="center" vertical="center"/>
      <protection locked="0"/>
    </xf>
    <xf numFmtId="178" fontId="37" fillId="15" borderId="7" xfId="11" applyNumberFormat="1" applyFont="1" applyFill="1" applyBorder="1" applyAlignment="1" applyProtection="1">
      <alignment horizontal="center" vertical="center"/>
      <protection locked="0"/>
    </xf>
    <xf numFmtId="10" fontId="37" fillId="15" borderId="7" xfId="11" applyNumberFormat="1" applyFont="1" applyFill="1" applyBorder="1" applyAlignment="1" applyProtection="1">
      <alignment horizontal="center" vertical="center"/>
      <protection locked="0"/>
    </xf>
    <xf numFmtId="179" fontId="37" fillId="15" borderId="7" xfId="20" applyNumberFormat="1" applyFont="1" applyFill="1" applyBorder="1" applyAlignment="1">
      <alignment horizontal="center" vertical="center"/>
      <protection locked="0"/>
    </xf>
    <xf numFmtId="0" fontId="39" fillId="10" borderId="0" xfId="0" applyFont="1" applyFill="1" applyAlignment="1">
      <alignment horizontal="left" vertical="center"/>
    </xf>
    <xf numFmtId="181" fontId="37" fillId="14" borderId="7" xfId="1" applyNumberFormat="1" applyFont="1" applyFill="1" applyBorder="1" applyAlignment="1" applyProtection="1">
      <alignment horizontal="center" vertical="center"/>
      <protection locked="0"/>
    </xf>
    <xf numFmtId="0" fontId="25" fillId="10" borderId="0" xfId="0" applyFont="1" applyFill="1"/>
    <xf numFmtId="0" fontId="29" fillId="10" borderId="0" xfId="0" applyFont="1" applyFill="1"/>
    <xf numFmtId="177" fontId="37" fillId="10" borderId="0" xfId="11" applyNumberFormat="1" applyFont="1" applyFill="1" applyBorder="1" applyAlignment="1" applyProtection="1">
      <alignment horizontal="center" vertical="center"/>
      <protection locked="0"/>
    </xf>
    <xf numFmtId="164" fontId="25" fillId="14" borderId="1" xfId="0" applyNumberFormat="1" applyFont="1" applyFill="1" applyBorder="1" applyAlignment="1">
      <alignment horizontal="center" vertical="center"/>
    </xf>
    <xf numFmtId="177" fontId="11" fillId="9" borderId="7" xfId="11" applyNumberFormat="1" applyFont="1" applyFill="1" applyBorder="1" applyAlignment="1" applyProtection="1">
      <alignment horizontal="center" vertical="center" wrapText="1"/>
      <protection locked="0"/>
    </xf>
    <xf numFmtId="0" fontId="11" fillId="10" borderId="0" xfId="0" applyFont="1" applyFill="1"/>
    <xf numFmtId="176" fontId="37" fillId="10" borderId="0" xfId="20" applyNumberFormat="1" applyFont="1" applyFill="1" applyBorder="1" applyAlignment="1">
      <alignment horizontal="center" vertical="center"/>
      <protection locked="0"/>
    </xf>
    <xf numFmtId="10" fontId="37" fillId="10" borderId="0" xfId="11" applyNumberFormat="1" applyFont="1" applyFill="1" applyBorder="1" applyAlignment="1" applyProtection="1">
      <alignment horizontal="center" vertical="center"/>
      <protection locked="0"/>
    </xf>
    <xf numFmtId="178" fontId="37" fillId="10" borderId="0" xfId="11" applyNumberFormat="1" applyFont="1" applyFill="1" applyBorder="1" applyAlignment="1" applyProtection="1">
      <alignment horizontal="center" vertical="center"/>
      <protection locked="0"/>
    </xf>
    <xf numFmtId="179" fontId="37" fillId="10" borderId="0" xfId="20" applyNumberFormat="1" applyFont="1" applyFill="1" applyBorder="1" applyAlignment="1">
      <alignment horizontal="center" vertical="center"/>
      <protection locked="0"/>
    </xf>
    <xf numFmtId="0" fontId="6" fillId="16" borderId="0" xfId="9" applyFont="1" applyFill="1" applyAlignment="1">
      <alignment horizontal="center" vertical="center"/>
    </xf>
    <xf numFmtId="0" fontId="25" fillId="16" borderId="0" xfId="0" applyFont="1" applyFill="1"/>
    <xf numFmtId="168" fontId="25" fillId="17" borderId="1" xfId="0" applyNumberFormat="1" applyFont="1" applyFill="1" applyBorder="1" applyAlignment="1">
      <alignment horizontal="center" vertical="center"/>
    </xf>
    <xf numFmtId="168" fontId="25" fillId="10" borderId="0" xfId="0" applyNumberFormat="1" applyFont="1" applyFill="1" applyAlignment="1">
      <alignment vertical="center"/>
    </xf>
    <xf numFmtId="0" fontId="25" fillId="10" borderId="0" xfId="0" applyFont="1" applyFill="1" applyAlignment="1">
      <alignment horizontal="center"/>
    </xf>
    <xf numFmtId="0" fontId="25" fillId="10" borderId="12" xfId="0" applyFont="1" applyFill="1" applyBorder="1"/>
    <xf numFmtId="0" fontId="25" fillId="10" borderId="13" xfId="0" applyFont="1" applyFill="1" applyBorder="1"/>
    <xf numFmtId="0" fontId="25" fillId="10" borderId="14" xfId="0" applyFont="1" applyFill="1" applyBorder="1" applyAlignment="1">
      <alignment horizontal="left" vertical="center" indent="1"/>
    </xf>
    <xf numFmtId="0" fontId="25" fillId="10" borderId="15" xfId="0" applyFont="1" applyFill="1" applyBorder="1" applyAlignment="1">
      <alignment horizontal="left" vertical="center" indent="1"/>
    </xf>
    <xf numFmtId="3" fontId="37" fillId="14" borderId="7" xfId="20" applyNumberFormat="1" applyFont="1" applyBorder="1" applyAlignment="1">
      <alignment horizontal="center" vertical="center"/>
      <protection locked="0"/>
    </xf>
    <xf numFmtId="0" fontId="25" fillId="17" borderId="0" xfId="0" applyFont="1" applyFill="1" applyAlignment="1">
      <alignment vertical="center"/>
    </xf>
    <xf numFmtId="0" fontId="25" fillId="15" borderId="12" xfId="0" applyFont="1" applyFill="1" applyBorder="1" applyAlignment="1">
      <alignment vertical="center"/>
    </xf>
    <xf numFmtId="0" fontId="25" fillId="10" borderId="14" xfId="0" applyFont="1" applyFill="1" applyBorder="1" applyAlignment="1">
      <alignment vertical="center"/>
    </xf>
    <xf numFmtId="0" fontId="6" fillId="10" borderId="0" xfId="0" applyFont="1" applyFill="1" applyAlignment="1">
      <alignment horizontal="left" vertical="center" indent="1"/>
    </xf>
    <xf numFmtId="0" fontId="25" fillId="10" borderId="14" xfId="0" applyFont="1" applyFill="1" applyBorder="1"/>
    <xf numFmtId="0" fontId="6" fillId="10" borderId="0" xfId="0" applyFont="1" applyFill="1"/>
    <xf numFmtId="0" fontId="26" fillId="10" borderId="0" xfId="0" applyFont="1" applyFill="1"/>
    <xf numFmtId="168" fontId="25" fillId="10" borderId="0" xfId="0" applyNumberFormat="1" applyFont="1" applyFill="1"/>
    <xf numFmtId="0" fontId="25" fillId="10" borderId="0" xfId="0" applyFont="1" applyFill="1" applyAlignment="1">
      <alignment horizontal="center" vertical="center"/>
    </xf>
    <xf numFmtId="0" fontId="0" fillId="10" borderId="0" xfId="0" applyFill="1"/>
    <xf numFmtId="0" fontId="9" fillId="10" borderId="0" xfId="0" applyFont="1" applyFill="1"/>
    <xf numFmtId="0" fontId="8" fillId="10" borderId="0" xfId="0" applyFont="1" applyFill="1"/>
    <xf numFmtId="0" fontId="10" fillId="10" borderId="0" xfId="0" applyFont="1" applyFill="1" applyAlignment="1">
      <alignment horizontal="right" vertical="center"/>
    </xf>
    <xf numFmtId="0" fontId="10" fillId="10" borderId="0" xfId="0" applyFont="1" applyFill="1" applyAlignment="1">
      <alignment horizontal="left" vertical="center"/>
    </xf>
    <xf numFmtId="0" fontId="2" fillId="10" borderId="0" xfId="0" applyFont="1" applyFill="1"/>
    <xf numFmtId="0" fontId="7" fillId="10" borderId="0" xfId="0" applyFont="1" applyFill="1"/>
    <xf numFmtId="0" fontId="8" fillId="10" borderId="0" xfId="0" applyFont="1" applyFill="1" applyAlignment="1">
      <alignment vertical="center"/>
    </xf>
    <xf numFmtId="0" fontId="11" fillId="10" borderId="4" xfId="0" applyFont="1" applyFill="1" applyBorder="1"/>
    <xf numFmtId="0" fontId="11" fillId="10" borderId="3" xfId="0" applyFont="1" applyFill="1" applyBorder="1" applyAlignment="1">
      <alignment horizontal="left"/>
    </xf>
    <xf numFmtId="17" fontId="11" fillId="10" borderId="3" xfId="0" quotePrefix="1" applyNumberFormat="1" applyFont="1" applyFill="1" applyBorder="1"/>
    <xf numFmtId="0" fontId="11" fillId="10" borderId="3" xfId="0" applyFont="1" applyFill="1" applyBorder="1"/>
    <xf numFmtId="0" fontId="2" fillId="10" borderId="0" xfId="0" applyFont="1" applyFill="1" applyAlignment="1">
      <alignment vertical="center"/>
    </xf>
    <xf numFmtId="0" fontId="11" fillId="10" borderId="0" xfId="0" quotePrefix="1" applyFont="1" applyFill="1" applyAlignment="1">
      <alignment horizontal="left"/>
    </xf>
    <xf numFmtId="0" fontId="11" fillId="10" borderId="0" xfId="0" quotePrefix="1" applyFont="1" applyFill="1"/>
    <xf numFmtId="0" fontId="22" fillId="10" borderId="0" xfId="0" applyFont="1" applyFill="1"/>
    <xf numFmtId="0" fontId="11" fillId="10" borderId="0" xfId="0" applyFont="1" applyFill="1" applyAlignment="1">
      <alignment horizontal="left"/>
    </xf>
    <xf numFmtId="0" fontId="11" fillId="10" borderId="0" xfId="0" applyFont="1" applyFill="1" applyAlignment="1">
      <alignment horizontal="left" vertical="center"/>
    </xf>
    <xf numFmtId="0" fontId="11" fillId="10" borderId="0" xfId="0" applyFont="1" applyFill="1" applyAlignment="1">
      <alignment vertical="center"/>
    </xf>
    <xf numFmtId="0" fontId="22" fillId="10" borderId="0" xfId="0" applyFont="1" applyFill="1" applyAlignment="1">
      <alignment horizontal="left" vertical="center" indent="1"/>
    </xf>
    <xf numFmtId="0" fontId="13" fillId="10" borderId="0" xfId="0" applyFont="1" applyFill="1" applyAlignment="1">
      <alignment vertical="center"/>
    </xf>
    <xf numFmtId="0" fontId="11" fillId="10" borderId="0" xfId="0" quotePrefix="1" applyFont="1" applyFill="1" applyAlignment="1">
      <alignment horizontal="left" vertical="center"/>
    </xf>
    <xf numFmtId="17" fontId="11" fillId="10" borderId="0" xfId="0" quotePrefix="1" applyNumberFormat="1" applyFont="1" applyFill="1" applyAlignment="1">
      <alignment vertical="center"/>
    </xf>
    <xf numFmtId="0" fontId="13" fillId="10" borderId="0" xfId="0" applyFont="1" applyFill="1"/>
    <xf numFmtId="0" fontId="12" fillId="10" borderId="0" xfId="0" applyFont="1" applyFill="1"/>
    <xf numFmtId="0" fontId="23" fillId="10" borderId="0" xfId="0" applyFont="1" applyFill="1"/>
    <xf numFmtId="17" fontId="11" fillId="10" borderId="0" xfId="0" quotePrefix="1" applyNumberFormat="1" applyFont="1" applyFill="1"/>
    <xf numFmtId="0" fontId="2" fillId="10" borderId="0" xfId="0" applyFont="1" applyFill="1" applyAlignment="1">
      <alignment horizontal="left"/>
    </xf>
    <xf numFmtId="0" fontId="2" fillId="10" borderId="0" xfId="9" applyFill="1" applyAlignment="1">
      <alignment horizontal="center" vertical="center" wrapText="1"/>
    </xf>
    <xf numFmtId="0" fontId="2" fillId="10" borderId="0" xfId="9" applyFill="1" applyAlignment="1">
      <alignment horizontal="center" vertical="center"/>
    </xf>
    <xf numFmtId="10" fontId="25" fillId="10" borderId="0" xfId="0" applyNumberFormat="1" applyFont="1" applyFill="1" applyAlignment="1">
      <alignment vertical="center"/>
    </xf>
    <xf numFmtId="0" fontId="25" fillId="10" borderId="0" xfId="0" applyFont="1" applyFill="1" applyAlignment="1">
      <alignment horizontal="right" vertical="center"/>
    </xf>
    <xf numFmtId="166" fontId="25" fillId="10" borderId="0" xfId="1" applyFont="1" applyFill="1" applyAlignment="1">
      <alignment vertical="center"/>
    </xf>
    <xf numFmtId="173" fontId="25" fillId="10" borderId="0" xfId="0" applyNumberFormat="1" applyFont="1" applyFill="1" applyAlignment="1">
      <alignment horizontal="right"/>
    </xf>
    <xf numFmtId="173" fontId="11" fillId="10" borderId="0" xfId="15" applyNumberFormat="1" applyFont="1" applyFill="1" applyBorder="1" applyAlignment="1">
      <alignment horizontal="right"/>
    </xf>
    <xf numFmtId="174" fontId="25" fillId="10" borderId="0" xfId="2" applyNumberFormat="1" applyFont="1" applyFill="1"/>
    <xf numFmtId="164" fontId="25" fillId="10" borderId="0" xfId="0" applyNumberFormat="1" applyFont="1" applyFill="1" applyAlignment="1">
      <alignment vertical="center"/>
    </xf>
    <xf numFmtId="164" fontId="25" fillId="15" borderId="1" xfId="0" applyNumberFormat="1" applyFont="1" applyFill="1" applyBorder="1" applyAlignment="1">
      <alignment horizontal="center" vertical="center"/>
    </xf>
    <xf numFmtId="3" fontId="25" fillId="17" borderId="1" xfId="0" applyNumberFormat="1" applyFont="1" applyFill="1" applyBorder="1" applyAlignment="1">
      <alignment horizontal="center" vertical="center"/>
    </xf>
    <xf numFmtId="178" fontId="37" fillId="17" borderId="7" xfId="11" applyNumberFormat="1" applyFont="1" applyFill="1" applyBorder="1" applyAlignment="1" applyProtection="1">
      <alignment horizontal="center" vertical="center"/>
      <protection locked="0"/>
    </xf>
    <xf numFmtId="166" fontId="25" fillId="10" borderId="0" xfId="0" applyNumberFormat="1" applyFont="1" applyFill="1" applyAlignment="1">
      <alignment horizontal="center"/>
    </xf>
    <xf numFmtId="166" fontId="25" fillId="10" borderId="0" xfId="0" applyNumberFormat="1" applyFont="1" applyFill="1"/>
    <xf numFmtId="170" fontId="25" fillId="10" borderId="0" xfId="0" applyNumberFormat="1" applyFont="1" applyFill="1"/>
    <xf numFmtId="169" fontId="25" fillId="10" borderId="0" xfId="0" applyNumberFormat="1" applyFont="1" applyFill="1"/>
    <xf numFmtId="168" fontId="25" fillId="17" borderId="1" xfId="11" applyNumberFormat="1" applyFont="1" applyFill="1" applyBorder="1" applyAlignment="1">
      <alignment horizontal="center" vertical="center"/>
    </xf>
    <xf numFmtId="3" fontId="25" fillId="17" borderId="1" xfId="1" applyNumberFormat="1" applyFont="1" applyFill="1" applyBorder="1" applyAlignment="1">
      <alignment horizontal="center" vertical="center"/>
    </xf>
    <xf numFmtId="3" fontId="25" fillId="17" borderId="1" xfId="2" applyNumberFormat="1" applyFont="1" applyFill="1" applyBorder="1" applyAlignment="1">
      <alignment horizontal="center" vertical="center"/>
    </xf>
    <xf numFmtId="175" fontId="25" fillId="17" borderId="1" xfId="0" applyNumberFormat="1" applyFont="1" applyFill="1" applyBorder="1" applyAlignment="1">
      <alignment horizontal="center" vertical="center"/>
    </xf>
    <xf numFmtId="168" fontId="11" fillId="17" borderId="1" xfId="0" applyNumberFormat="1" applyFont="1" applyFill="1" applyBorder="1" applyAlignment="1">
      <alignment horizontal="center" vertical="center"/>
    </xf>
    <xf numFmtId="0" fontId="11" fillId="10" borderId="0" xfId="9" applyFont="1" applyFill="1" applyProtection="1">
      <protection locked="0"/>
    </xf>
    <xf numFmtId="177" fontId="19" fillId="10" borderId="0" xfId="15" applyNumberFormat="1" applyFont="1" applyFill="1" applyBorder="1" applyProtection="1"/>
    <xf numFmtId="4" fontId="19" fillId="10" borderId="4" xfId="19" quotePrefix="1" applyNumberFormat="1" applyFont="1" applyFill="1" applyBorder="1" applyAlignment="1">
      <alignment horizontal="center" wrapText="1"/>
    </xf>
    <xf numFmtId="3" fontId="37" fillId="10" borderId="7" xfId="20" applyNumberFormat="1" applyFont="1" applyFill="1" applyBorder="1" applyAlignment="1">
      <alignment horizontal="center" vertical="center"/>
      <protection locked="0"/>
    </xf>
    <xf numFmtId="177" fontId="19" fillId="10" borderId="8" xfId="15" applyNumberFormat="1" applyFont="1" applyFill="1" applyBorder="1" applyProtection="1"/>
    <xf numFmtId="4" fontId="19" fillId="10" borderId="4" xfId="19" applyNumberFormat="1" applyFont="1" applyFill="1" applyBorder="1" applyAlignment="1">
      <alignment horizontal="center" wrapText="1"/>
    </xf>
    <xf numFmtId="0" fontId="19" fillId="10" borderId="1" xfId="19" applyFont="1" applyFill="1" applyBorder="1" applyAlignment="1">
      <alignment horizontal="center" vertical="center" wrapText="1"/>
    </xf>
    <xf numFmtId="0" fontId="32" fillId="16" borderId="0" xfId="9" applyFont="1" applyFill="1" applyAlignment="1">
      <alignment vertical="center"/>
    </xf>
    <xf numFmtId="0" fontId="6" fillId="10" borderId="0" xfId="9" applyFont="1" applyFill="1" applyAlignment="1">
      <alignment vertical="center"/>
    </xf>
    <xf numFmtId="0" fontId="11" fillId="10" borderId="0" xfId="0" applyFont="1" applyFill="1" applyProtection="1">
      <protection locked="0"/>
    </xf>
    <xf numFmtId="0" fontId="11" fillId="10" borderId="0" xfId="9" applyFont="1" applyFill="1" applyAlignment="1" applyProtection="1">
      <alignment wrapText="1"/>
      <protection locked="0"/>
    </xf>
    <xf numFmtId="0" fontId="6" fillId="2" borderId="17" xfId="0" applyFont="1" applyFill="1" applyBorder="1" applyAlignment="1">
      <alignment horizontal="center" vertical="center"/>
    </xf>
    <xf numFmtId="3" fontId="25" fillId="10" borderId="0" xfId="0" applyNumberFormat="1" applyFont="1" applyFill="1" applyAlignment="1">
      <alignment horizontal="center" vertical="center"/>
    </xf>
    <xf numFmtId="182" fontId="25" fillId="14" borderId="1" xfId="11" applyNumberFormat="1" applyFont="1" applyFill="1" applyBorder="1" applyAlignment="1">
      <alignment horizontal="center" vertical="center"/>
    </xf>
    <xf numFmtId="177" fontId="37" fillId="17" borderId="7" xfId="11" applyNumberFormat="1" applyFont="1" applyFill="1" applyBorder="1" applyAlignment="1" applyProtection="1">
      <alignment horizontal="center" vertical="center"/>
      <protection locked="0"/>
    </xf>
    <xf numFmtId="0" fontId="6" fillId="10" borderId="0" xfId="9" applyFont="1" applyFill="1"/>
    <xf numFmtId="0" fontId="6" fillId="10" borderId="0" xfId="0" applyFont="1" applyFill="1" applyAlignment="1">
      <alignment horizontal="center" vertical="center"/>
    </xf>
    <xf numFmtId="3" fontId="25" fillId="10" borderId="0" xfId="1" applyNumberFormat="1" applyFont="1" applyFill="1" applyBorder="1" applyAlignment="1">
      <alignment horizontal="center" vertical="center"/>
    </xf>
    <xf numFmtId="3" fontId="25" fillId="10" borderId="0" xfId="2" applyNumberFormat="1" applyFont="1" applyFill="1" applyBorder="1" applyAlignment="1">
      <alignment horizontal="center" vertical="center"/>
    </xf>
    <xf numFmtId="175" fontId="25" fillId="10" borderId="0" xfId="0" applyNumberFormat="1" applyFont="1" applyFill="1" applyAlignment="1">
      <alignment horizontal="center" vertical="center"/>
    </xf>
    <xf numFmtId="168" fontId="25" fillId="10" borderId="0" xfId="11" applyNumberFormat="1" applyFont="1" applyFill="1" applyBorder="1" applyAlignment="1">
      <alignment horizontal="center" vertical="center"/>
    </xf>
    <xf numFmtId="0" fontId="15" fillId="10" borderId="0" xfId="12" applyFill="1"/>
    <xf numFmtId="17" fontId="28" fillId="10" borderId="1" xfId="0" applyNumberFormat="1" applyFont="1" applyFill="1" applyBorder="1" applyAlignment="1">
      <alignment horizontal="left" vertical="center"/>
    </xf>
    <xf numFmtId="0" fontId="25" fillId="10" borderId="0" xfId="0" applyFont="1" applyFill="1" applyAlignment="1">
      <alignment horizontal="right"/>
    </xf>
    <xf numFmtId="9" fontId="25" fillId="10" borderId="0" xfId="0" applyNumberFormat="1" applyFont="1" applyFill="1" applyAlignment="1">
      <alignment horizontal="left"/>
    </xf>
    <xf numFmtId="0" fontId="28" fillId="10" borderId="0" xfId="0" applyFont="1" applyFill="1" applyAlignment="1">
      <alignment vertical="center"/>
    </xf>
    <xf numFmtId="0" fontId="25" fillId="10" borderId="1" xfId="0" applyFont="1" applyFill="1" applyBorder="1" applyAlignment="1">
      <alignment vertical="center"/>
    </xf>
    <xf numFmtId="0" fontId="41" fillId="10" borderId="0" xfId="12" applyFont="1" applyFill="1" applyAlignment="1">
      <alignment horizontal="left" vertical="center"/>
    </xf>
    <xf numFmtId="183" fontId="25" fillId="14" borderId="1" xfId="11" applyNumberFormat="1" applyFont="1" applyFill="1" applyBorder="1" applyAlignment="1">
      <alignment horizontal="center" vertical="center"/>
    </xf>
    <xf numFmtId="184" fontId="37" fillId="14" borderId="7" xfId="20" applyNumberFormat="1" applyFont="1" applyBorder="1" applyAlignment="1">
      <alignment horizontal="center" vertical="center"/>
      <protection locked="0"/>
    </xf>
    <xf numFmtId="10" fontId="25" fillId="17" borderId="1" xfId="11" applyNumberFormat="1" applyFont="1" applyFill="1" applyBorder="1" applyAlignment="1">
      <alignment horizontal="center" vertical="center"/>
    </xf>
    <xf numFmtId="0" fontId="42" fillId="10" borderId="18" xfId="12" applyFont="1" applyFill="1" applyBorder="1" applyAlignment="1">
      <alignment horizontal="center" vertical="center" wrapText="1"/>
    </xf>
    <xf numFmtId="0" fontId="32" fillId="10" borderId="0" xfId="0" applyFont="1" applyFill="1" applyAlignment="1" applyProtection="1">
      <alignment wrapText="1"/>
      <protection locked="0"/>
    </xf>
    <xf numFmtId="0" fontId="19" fillId="18" borderId="0" xfId="0" applyFont="1" applyFill="1" applyProtection="1">
      <protection locked="0"/>
    </xf>
    <xf numFmtId="0" fontId="6" fillId="10" borderId="4" xfId="0" applyFont="1" applyFill="1" applyBorder="1"/>
    <xf numFmtId="177" fontId="11" fillId="9" borderId="0" xfId="11" applyNumberFormat="1" applyFont="1" applyFill="1" applyBorder="1" applyAlignment="1" applyProtection="1">
      <alignment horizontal="center" vertical="center" wrapText="1"/>
      <protection locked="0"/>
    </xf>
    <xf numFmtId="0" fontId="25" fillId="10" borderId="0" xfId="0" applyFont="1" applyFill="1" applyAlignment="1">
      <alignment horizontal="left" indent="2"/>
    </xf>
    <xf numFmtId="168" fontId="25" fillId="19" borderId="1" xfId="0" applyNumberFormat="1" applyFont="1" applyFill="1" applyBorder="1" applyAlignment="1">
      <alignment horizontal="center" vertical="center"/>
    </xf>
    <xf numFmtId="168" fontId="25" fillId="19" borderId="1" xfId="1" applyNumberFormat="1" applyFont="1" applyFill="1" applyBorder="1" applyAlignment="1">
      <alignment horizontal="center" vertical="center"/>
    </xf>
    <xf numFmtId="0" fontId="25" fillId="10" borderId="0" xfId="0" applyFont="1" applyFill="1" applyAlignment="1">
      <alignment horizontal="left"/>
    </xf>
    <xf numFmtId="0" fontId="43" fillId="10" borderId="0" xfId="0" applyFont="1" applyFill="1"/>
    <xf numFmtId="0" fontId="15" fillId="10" borderId="0" xfId="12" applyFill="1" applyAlignment="1">
      <alignment vertical="center"/>
    </xf>
    <xf numFmtId="185" fontId="25" fillId="14" borderId="1" xfId="0" applyNumberFormat="1" applyFont="1" applyFill="1" applyBorder="1" applyAlignment="1">
      <alignment horizontal="center" vertical="center"/>
    </xf>
    <xf numFmtId="168" fontId="37" fillId="14" borderId="7" xfId="11" applyNumberFormat="1" applyFont="1" applyFill="1" applyBorder="1" applyAlignment="1" applyProtection="1">
      <alignment horizontal="center" vertical="center"/>
      <protection locked="0"/>
    </xf>
    <xf numFmtId="168" fontId="6" fillId="10" borderId="4" xfId="0" applyNumberFormat="1" applyFont="1" applyFill="1" applyBorder="1"/>
    <xf numFmtId="177" fontId="11" fillId="9" borderId="10" xfId="11" applyNumberFormat="1" applyFont="1" applyFill="1" applyBorder="1" applyAlignment="1" applyProtection="1">
      <alignment horizontal="center" vertical="center" wrapText="1"/>
      <protection locked="0"/>
    </xf>
    <xf numFmtId="177" fontId="11" fillId="9" borderId="9" xfId="11" applyNumberFormat="1" applyFont="1" applyFill="1" applyBorder="1" applyAlignment="1" applyProtection="1">
      <alignment horizontal="center" vertical="center" wrapText="1"/>
      <protection locked="0"/>
    </xf>
    <xf numFmtId="177" fontId="11" fillId="9" borderId="11" xfId="11" applyNumberFormat="1" applyFont="1" applyFill="1" applyBorder="1" applyAlignment="1" applyProtection="1">
      <alignment horizontal="center" vertical="center" wrapText="1"/>
      <protection locked="0"/>
    </xf>
    <xf numFmtId="0" fontId="25" fillId="10" borderId="0" xfId="0" applyFont="1" applyFill="1" applyAlignment="1">
      <alignment horizontal="left" vertical="center"/>
    </xf>
    <xf numFmtId="0" fontId="6" fillId="10" borderId="4" xfId="0" applyFont="1" applyFill="1" applyBorder="1" applyAlignment="1">
      <alignment horizontal="center"/>
    </xf>
    <xf numFmtId="0" fontId="32" fillId="12" borderId="0" xfId="18" applyFont="1" applyFill="1" applyBorder="1" applyAlignment="1">
      <alignment horizontal="left" vertical="center"/>
    </xf>
    <xf numFmtId="0" fontId="32" fillId="13" borderId="0" xfId="0" applyFont="1" applyFill="1" applyAlignment="1" applyProtection="1">
      <alignment horizontal="left"/>
      <protection locked="0"/>
    </xf>
    <xf numFmtId="177" fontId="11" fillId="9" borderId="3" xfId="11" applyNumberFormat="1" applyFont="1" applyFill="1" applyBorder="1" applyAlignment="1" applyProtection="1">
      <alignment horizontal="center" vertical="center" wrapText="1"/>
      <protection locked="0"/>
    </xf>
    <xf numFmtId="177" fontId="11" fillId="9" borderId="0" xfId="11" applyNumberFormat="1" applyFont="1" applyFill="1" applyBorder="1" applyAlignment="1" applyProtection="1">
      <alignment horizontal="center" vertical="center" wrapText="1"/>
      <protection locked="0"/>
    </xf>
    <xf numFmtId="167" fontId="11" fillId="9" borderId="3" xfId="20" applyNumberFormat="1" applyFont="1" applyFill="1" applyBorder="1" applyAlignment="1">
      <alignment horizontal="center" vertical="center" wrapText="1"/>
      <protection locked="0"/>
    </xf>
    <xf numFmtId="167" fontId="11" fillId="9" borderId="0" xfId="20" applyNumberFormat="1" applyFont="1" applyFill="1" applyBorder="1" applyAlignment="1">
      <alignment horizontal="center" vertical="center" wrapText="1"/>
      <protection locked="0"/>
    </xf>
    <xf numFmtId="177" fontId="40" fillId="9" borderId="16" xfId="11" applyNumberFormat="1" applyFont="1" applyFill="1" applyBorder="1" applyAlignment="1" applyProtection="1">
      <alignment horizontal="center" vertical="center" wrapText="1"/>
      <protection locked="0"/>
    </xf>
    <xf numFmtId="177" fontId="40" fillId="9" borderId="7" xfId="11" applyNumberFormat="1" applyFont="1" applyFill="1" applyBorder="1" applyAlignment="1" applyProtection="1">
      <alignment horizontal="center" vertical="center" wrapText="1"/>
      <protection locked="0"/>
    </xf>
    <xf numFmtId="180" fontId="28" fillId="10" borderId="19" xfId="11" applyNumberFormat="1" applyFont="1" applyFill="1" applyBorder="1" applyAlignment="1">
      <alignment horizontal="left" vertical="center" wrapText="1"/>
    </xf>
  </cellXfs>
  <cellStyles count="22">
    <cellStyle name="Accent1" xfId="18" builtinId="29"/>
    <cellStyle name="Comma" xfId="1" builtinId="3"/>
    <cellStyle name="Comma 2" xfId="3" xr:uid="{00000000-0005-0000-0000-000002000000}"/>
    <cellStyle name="Comma 2 2" xfId="14" xr:uid="{A62E1EA3-D681-47C9-BB06-520808197D59}"/>
    <cellStyle name="Comma 3" xfId="5" xr:uid="{00000000-0005-0000-0000-000003000000}"/>
    <cellStyle name="Comma 4" xfId="17" xr:uid="{ABBA96B8-F2EC-4EE9-B975-7A7B9A95F4A9}"/>
    <cellStyle name="Comma 81" xfId="16" xr:uid="{718DF1FF-E755-431E-B842-A3271CCB78C3}"/>
    <cellStyle name="Currency" xfId="2" builtinId="4"/>
    <cellStyle name="Currency 2" xfId="4" xr:uid="{00000000-0005-0000-0000-000005000000}"/>
    <cellStyle name="Currency 3" xfId="6" xr:uid="{00000000-0005-0000-0000-000006000000}"/>
    <cellStyle name="Currency 4" xfId="13" xr:uid="{9C62F3F8-8686-4759-BF8F-68C168C9DD84}"/>
    <cellStyle name="dms_1" xfId="7" xr:uid="{00000000-0005-0000-0000-000007000000}"/>
    <cellStyle name="Heading 3 Output" xfId="19" xr:uid="{C795EC3A-1A5C-4F7B-BCE2-649EC05005B5}"/>
    <cellStyle name="Heading 4 Assumptions" xfId="21" xr:uid="{B2849BF5-89A5-40E0-ADC9-E1424ACC8789}"/>
    <cellStyle name="Heading 4 Assumptions 2" xfId="20" xr:uid="{830AD566-F633-41E2-8ABD-B9233B4EF1AF}"/>
    <cellStyle name="Hyperlink" xfId="12" builtinId="8"/>
    <cellStyle name="Hyperlink 2" xfId="10" xr:uid="{00000000-0005-0000-0000-000009000000}"/>
    <cellStyle name="Normal" xfId="0" builtinId="0"/>
    <cellStyle name="Normal 2" xfId="9" xr:uid="{00000000-0005-0000-0000-00000B000000}"/>
    <cellStyle name="Percent" xfId="11" builtinId="5"/>
    <cellStyle name="Percent 2" xfId="15" xr:uid="{1A0322E6-0478-4101-AFA6-7E9703E2AD34}"/>
    <cellStyle name="RIN_TB2" xfId="8" xr:uid="{00000000-0005-0000-0000-00000D000000}"/>
  </cellStyles>
  <dxfs count="0"/>
  <tableStyles count="0" defaultTableStyle="TableStyleMedium2" defaultPivotStyle="PivotStyleLight16"/>
  <colors>
    <mruColors>
      <color rgb="FFFFCC99"/>
      <color rgb="FFFF00FF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4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png"/><Relationship Id="rId3" Type="http://schemas.openxmlformats.org/officeDocument/2006/relationships/customXml" Target="../ink/ink1.xml"/><Relationship Id="rId7" Type="http://schemas.openxmlformats.org/officeDocument/2006/relationships/image" Target="../media/image8.png"/><Relationship Id="rId2" Type="http://schemas.openxmlformats.org/officeDocument/2006/relationships/image" Target="../media/image6.png"/><Relationship Id="rId1" Type="http://schemas.openxmlformats.org/officeDocument/2006/relationships/image" Target="../media/image5.png"/><Relationship Id="rId9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22414</xdr:colOff>
      <xdr:row>5</xdr:row>
      <xdr:rowOff>145677</xdr:rowOff>
    </xdr:from>
    <xdr:to>
      <xdr:col>6</xdr:col>
      <xdr:colOff>65154</xdr:colOff>
      <xdr:row>9</xdr:row>
      <xdr:rowOff>33618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2FDD9A3E-11DA-4213-874F-580BE3D665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2649" y="1568824"/>
          <a:ext cx="2586476" cy="11990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173935</xdr:colOff>
      <xdr:row>1</xdr:row>
      <xdr:rowOff>27333</xdr:rowOff>
    </xdr:from>
    <xdr:to>
      <xdr:col>12</xdr:col>
      <xdr:colOff>200987</xdr:colOff>
      <xdr:row>6</xdr:row>
      <xdr:rowOff>16321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B5DAF90-717A-89BF-1B24-4E20AF88F4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411739" y="176420"/>
          <a:ext cx="1865791" cy="73442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11148</xdr:colOff>
      <xdr:row>2</xdr:row>
      <xdr:rowOff>29944</xdr:rowOff>
    </xdr:from>
    <xdr:to>
      <xdr:col>18</xdr:col>
      <xdr:colOff>494078</xdr:colOff>
      <xdr:row>40</xdr:row>
      <xdr:rowOff>124891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8153C9D-61D4-4293-B797-BA583F00A6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46302" y="323021"/>
          <a:ext cx="4131737" cy="6474676"/>
        </a:xfrm>
        <a:prstGeom prst="rect">
          <a:avLst/>
        </a:prstGeom>
        <a:ln>
          <a:solidFill>
            <a:schemeClr val="bg1">
              <a:lumMod val="85000"/>
            </a:schemeClr>
          </a:solidFill>
        </a:ln>
      </xdr:spPr>
    </xdr:pic>
    <xdr:clientData/>
  </xdr:twoCellAnchor>
  <xdr:twoCellAnchor editAs="oneCell">
    <xdr:from>
      <xdr:col>18</xdr:col>
      <xdr:colOff>571499</xdr:colOff>
      <xdr:row>2</xdr:row>
      <xdr:rowOff>47840</xdr:rowOff>
    </xdr:from>
    <xdr:to>
      <xdr:col>25</xdr:col>
      <xdr:colOff>574054</xdr:colOff>
      <xdr:row>40</xdr:row>
      <xdr:rowOff>123090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E1110CB-0A20-4DC2-A15E-7B52FF5D162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b="7652"/>
        <a:stretch/>
      </xdr:blipFill>
      <xdr:spPr>
        <a:xfrm>
          <a:off x="15855461" y="340917"/>
          <a:ext cx="4259498" cy="6454979"/>
        </a:xfrm>
        <a:prstGeom prst="rect">
          <a:avLst/>
        </a:prstGeom>
        <a:ln>
          <a:solidFill>
            <a:schemeClr val="bg1">
              <a:lumMod val="85000"/>
            </a:schemeClr>
          </a:solidFill>
        </a:ln>
      </xdr:spPr>
    </xdr:pic>
    <xdr:clientData/>
  </xdr:twoCellAnchor>
  <xdr:twoCellAnchor editAs="oneCell">
    <xdr:from>
      <xdr:col>8</xdr:col>
      <xdr:colOff>4853</xdr:colOff>
      <xdr:row>3</xdr:row>
      <xdr:rowOff>0</xdr:rowOff>
    </xdr:from>
    <xdr:to>
      <xdr:col>10</xdr:col>
      <xdr:colOff>418701</xdr:colOff>
      <xdr:row>7</xdr:row>
      <xdr:rowOff>47482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C209EC9-8082-2B9A-2931-5F5DFE4AE4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132288" y="427270"/>
          <a:ext cx="1639673" cy="65466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26268</xdr:colOff>
      <xdr:row>2</xdr:row>
      <xdr:rowOff>82923</xdr:rowOff>
    </xdr:from>
    <xdr:to>
      <xdr:col>13</xdr:col>
      <xdr:colOff>239356</xdr:colOff>
      <xdr:row>40</xdr:row>
      <xdr:rowOff>31439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7B4A697-0F48-34F1-C1BA-2BD7F90D83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13168" y="416298"/>
          <a:ext cx="3965938" cy="5377766"/>
        </a:xfrm>
        <a:prstGeom prst="rect">
          <a:avLst/>
        </a:prstGeom>
        <a:ln>
          <a:solidFill>
            <a:schemeClr val="bg1">
              <a:lumMod val="85000"/>
            </a:schemeClr>
          </a:solidFill>
        </a:ln>
      </xdr:spPr>
    </xdr:pic>
    <xdr:clientData/>
  </xdr:twoCellAnchor>
  <xdr:twoCellAnchor editAs="oneCell">
    <xdr:from>
      <xdr:col>7</xdr:col>
      <xdr:colOff>5064</xdr:colOff>
      <xdr:row>41</xdr:row>
      <xdr:rowOff>2231</xdr:rowOff>
    </xdr:from>
    <xdr:to>
      <xdr:col>13</xdr:col>
      <xdr:colOff>220731</xdr:colOff>
      <xdr:row>48</xdr:row>
      <xdr:rowOff>82732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AD1E6CC-FEFC-43DE-9E50-A1AD419C46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491964" y="5907731"/>
          <a:ext cx="3968517" cy="1080626"/>
        </a:xfrm>
        <a:prstGeom prst="rect">
          <a:avLst/>
        </a:prstGeom>
        <a:ln>
          <a:solidFill>
            <a:schemeClr val="bg1">
              <a:lumMod val="85000"/>
            </a:schemeClr>
          </a:solidFill>
        </a:ln>
      </xdr:spPr>
    </xdr:pic>
    <xdr:clientData/>
  </xdr:twoCellAnchor>
  <xdr:twoCellAnchor editAs="oneCell">
    <xdr:from>
      <xdr:col>7</xdr:col>
      <xdr:colOff>97096</xdr:colOff>
      <xdr:row>41</xdr:row>
      <xdr:rowOff>72783</xdr:rowOff>
    </xdr:from>
    <xdr:to>
      <xdr:col>7</xdr:col>
      <xdr:colOff>444856</xdr:colOff>
      <xdr:row>41</xdr:row>
      <xdr:rowOff>99783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">
          <xdr14:nvContentPartPr>
            <xdr14:cNvPr id="6" name="Ink 5">
              <a:extLst>
                <a:ext uri="{FF2B5EF4-FFF2-40B4-BE49-F238E27FC236}">
                  <a16:creationId xmlns:a16="http://schemas.microsoft.com/office/drawing/2014/main" id="{7252EE38-2228-FEE3-F522-3745E14060E3}"/>
                </a:ext>
              </a:extLst>
            </xdr14:cNvPr>
            <xdr14:cNvContentPartPr/>
          </xdr14:nvContentPartPr>
          <xdr14:nvPr macro=""/>
          <xdr14:xfrm>
            <a:off x="9583996" y="5978283"/>
            <a:ext cx="347760" cy="27000"/>
          </xdr14:xfrm>
        </xdr:contentPart>
      </mc:Choice>
      <mc:Fallback xmlns="">
        <xdr:pic>
          <xdr:nvPicPr>
            <xdr:cNvPr id="6" name="Ink 5">
              <a:extLst>
                <a:ext uri="{FF2B5EF4-FFF2-40B4-BE49-F238E27FC236}">
                  <a16:creationId xmlns:a16="http://schemas.microsoft.com/office/drawing/2014/main" id="{7252EE38-2228-FEE3-F522-3745E14060E3}"/>
                </a:ext>
              </a:extLst>
            </xdr:cNvPr>
            <xdr:cNvPicPr/>
          </xdr:nvPicPr>
          <xdr:blipFill>
            <a:blip xmlns:r="http://schemas.openxmlformats.org/officeDocument/2006/relationships" r:embed="rId7"/>
            <a:stretch>
              <a:fillRect/>
            </a:stretch>
          </xdr:blipFill>
          <xdr:spPr>
            <a:xfrm>
              <a:off x="10213200" y="5534640"/>
              <a:ext cx="455400" cy="24264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3</xdr:col>
      <xdr:colOff>71437</xdr:colOff>
      <xdr:row>16</xdr:row>
      <xdr:rowOff>53578</xdr:rowOff>
    </xdr:from>
    <xdr:to>
      <xdr:col>4</xdr:col>
      <xdr:colOff>565547</xdr:colOff>
      <xdr:row>21</xdr:row>
      <xdr:rowOff>34705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BEA6304D-CED5-5F9F-3058-17A8E0F227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5863828" y="2339578"/>
          <a:ext cx="1720453" cy="695502"/>
        </a:xfrm>
        <a:prstGeom prst="rect">
          <a:avLst/>
        </a:prstGeom>
      </xdr:spPr>
    </xdr:pic>
    <xdr:clientData/>
  </xdr:twoCellAnchor>
  <xdr:twoCellAnchor editAs="oneCell">
    <xdr:from>
      <xdr:col>7</xdr:col>
      <xdr:colOff>86052</xdr:colOff>
      <xdr:row>51</xdr:row>
      <xdr:rowOff>65690</xdr:rowOff>
    </xdr:from>
    <xdr:to>
      <xdr:col>13</xdr:col>
      <xdr:colOff>257175</xdr:colOff>
      <xdr:row>58</xdr:row>
      <xdr:rowOff>71066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4A5590F-BAD1-02FD-CE09-8900A21409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9572952" y="7399940"/>
          <a:ext cx="3923973" cy="1005501"/>
        </a:xfrm>
        <a:prstGeom prst="rect">
          <a:avLst/>
        </a:prstGeom>
        <a:ln>
          <a:solidFill>
            <a:schemeClr val="bg1">
              <a:lumMod val="85000"/>
            </a:schemeClr>
          </a:solidFill>
        </a:ln>
      </xdr:spPr>
    </xdr:pic>
    <xdr:clientData/>
  </xdr:twoCellAnchor>
</xdr:wsDr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5-05-09T02:00:40.466"/>
    </inkml:context>
    <inkml:brush xml:id="br0">
      <inkml:brushProperty name="width" value="0.3" units="cm"/>
      <inkml:brushProperty name="height" value="0.6" units="cm"/>
      <inkml:brushProperty name="color" value="#FFFC00"/>
      <inkml:brushProperty name="tip" value="rectangle"/>
      <inkml:brushProperty name="rasterOp" value="maskPen"/>
      <inkml:brushProperty name="ignorePressure" value="1"/>
    </inkml:brush>
  </inkml:definitions>
  <inkml:trace contextRef="#ctx0" brushRef="#br0">1 1,'43'2,"0"2,44 10,32 4,-18-1,-75-11,1-1,0-1,30 0,363-5,-405 1</inkml:trace>
</inkml: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aer.gov.au/system/files/2024-12/2024-12-18%20AER%20-%20Final%20report%20-%202024%20VCR%20review_0.pdf" TargetMode="External"/><Relationship Id="rId1" Type="http://schemas.openxmlformats.org/officeDocument/2006/relationships/hyperlink" Target="https://www.aer.gov.au/documents/2024-12-18-aer-final-report-2024-vcr-review" TargetMode="External"/><Relationship Id="rId4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aer.gov.au/documents/aer-service-target-performance-incentive-scheme-v-20-updated-13-december-20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53B215-1727-4D99-95E3-812EBC62DFF7}">
  <dimension ref="A1:AH32"/>
  <sheetViews>
    <sheetView tabSelected="1" workbookViewId="0">
      <selection activeCell="I33" sqref="I33"/>
    </sheetView>
  </sheetViews>
  <sheetFormatPr defaultColWidth="8.85546875" defaultRowHeight="15"/>
  <cols>
    <col min="1" max="4" width="9.140625" style="119" customWidth="1"/>
    <col min="5" max="5" width="11.140625" style="119" customWidth="1"/>
    <col min="6" max="7" width="8.85546875" style="119"/>
    <col min="8" max="8" width="7.140625" style="119" customWidth="1"/>
    <col min="9" max="12" width="8.85546875" style="119"/>
    <col min="13" max="13" width="10.5703125" style="119" bestFit="1" customWidth="1"/>
    <col min="14" max="16384" width="8.85546875" style="119"/>
  </cols>
  <sheetData>
    <row r="1" spans="1:34"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34" ht="46.5">
      <c r="C2" s="2"/>
      <c r="D2" s="2"/>
      <c r="E2" s="2"/>
      <c r="F2" s="2"/>
      <c r="G2" s="2"/>
      <c r="H2" s="2"/>
      <c r="I2" s="2"/>
      <c r="J2" s="5" t="s">
        <v>21</v>
      </c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 spans="1:34" ht="20.25">
      <c r="C3" s="2"/>
      <c r="D3" s="2"/>
      <c r="E3" s="2"/>
      <c r="F3" s="2"/>
      <c r="G3" s="2"/>
      <c r="H3" s="2"/>
      <c r="I3" s="2"/>
      <c r="J3" s="6" t="s">
        <v>20</v>
      </c>
      <c r="K3" s="2"/>
      <c r="L3" s="2"/>
      <c r="M3" s="2"/>
      <c r="N3" s="2"/>
      <c r="O3" s="2"/>
      <c r="P3" s="2"/>
      <c r="Q3" s="2"/>
      <c r="R3" s="2"/>
      <c r="S3" s="6" t="s">
        <v>123</v>
      </c>
      <c r="T3" s="2"/>
      <c r="U3" s="6" t="s">
        <v>81</v>
      </c>
      <c r="V3" s="2"/>
      <c r="W3" s="2"/>
      <c r="X3" s="2"/>
      <c r="Y3" s="2"/>
      <c r="Z3" s="2"/>
      <c r="AA3" s="2"/>
    </row>
    <row r="4" spans="1:34"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</row>
    <row r="5" spans="1:34"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</row>
    <row r="8" spans="1:34" ht="52.5">
      <c r="I8" s="120"/>
      <c r="J8" s="121"/>
    </row>
    <row r="9" spans="1:34" ht="20.25">
      <c r="L9" s="122"/>
      <c r="M9" s="123"/>
    </row>
    <row r="11" spans="1:34" ht="44.25">
      <c r="E11" s="124"/>
      <c r="F11" s="125"/>
      <c r="H11" s="126"/>
    </row>
    <row r="12" spans="1:34" s="124" customFormat="1" ht="12.75">
      <c r="C12" s="127"/>
      <c r="D12" s="127"/>
      <c r="E12" s="127"/>
      <c r="F12" s="127"/>
      <c r="G12" s="127"/>
      <c r="H12" s="127"/>
      <c r="I12" s="127"/>
      <c r="J12" s="127"/>
      <c r="K12" s="127"/>
      <c r="L12" s="127"/>
      <c r="M12" s="127"/>
      <c r="N12" s="127"/>
      <c r="O12" s="127"/>
      <c r="P12" s="127"/>
      <c r="Q12" s="127"/>
      <c r="R12" s="127"/>
      <c r="S12" s="127"/>
      <c r="T12" s="127"/>
      <c r="U12" s="127"/>
      <c r="V12" s="127"/>
      <c r="W12" s="127"/>
      <c r="X12" s="127"/>
      <c r="Y12" s="127"/>
      <c r="Z12" s="127"/>
      <c r="AA12" s="127"/>
    </row>
    <row r="13" spans="1:34" s="124" customFormat="1" ht="13.5" customHeight="1">
      <c r="D13" s="128"/>
      <c r="E13" s="129"/>
      <c r="F13" s="129"/>
      <c r="G13" s="130"/>
      <c r="H13" s="95"/>
      <c r="I13" s="95"/>
      <c r="J13" s="95"/>
      <c r="K13" s="95"/>
      <c r="L13" s="95"/>
      <c r="M13" s="95"/>
      <c r="N13" s="95"/>
      <c r="O13" s="95"/>
      <c r="P13" s="95"/>
      <c r="Q13" s="95"/>
      <c r="R13" s="95"/>
      <c r="S13" s="95"/>
      <c r="T13" s="95"/>
      <c r="U13" s="95"/>
      <c r="V13" s="95"/>
    </row>
    <row r="14" spans="1:34" s="148" customFormat="1" ht="18" customHeight="1">
      <c r="A14" s="124"/>
      <c r="B14" s="124"/>
      <c r="C14" s="25" t="s">
        <v>36</v>
      </c>
      <c r="D14" s="21"/>
      <c r="E14" s="21"/>
      <c r="F14" s="21"/>
      <c r="G14" s="21"/>
      <c r="H14" s="21"/>
      <c r="I14" s="21"/>
      <c r="J14" s="21"/>
      <c r="K14" s="21"/>
      <c r="L14" s="22"/>
      <c r="M14" s="22"/>
      <c r="N14" s="22"/>
      <c r="O14" s="22"/>
      <c r="P14" s="23"/>
      <c r="Q14" s="24"/>
      <c r="R14" s="23"/>
      <c r="S14" s="24"/>
      <c r="T14" s="23"/>
      <c r="U14" s="23"/>
      <c r="V14" s="23"/>
      <c r="W14" s="23"/>
      <c r="X14" s="23"/>
      <c r="Y14" s="23"/>
      <c r="Z14" s="23"/>
      <c r="AA14" s="23"/>
      <c r="AB14" s="124"/>
      <c r="AC14" s="124"/>
      <c r="AD14" s="147"/>
      <c r="AE14" s="147"/>
      <c r="AF14" s="147"/>
      <c r="AG14" s="147"/>
      <c r="AH14" s="147"/>
    </row>
    <row r="15" spans="1:34" s="124" customFormat="1" ht="12.75">
      <c r="D15" s="132"/>
      <c r="E15" s="133"/>
      <c r="F15" s="95"/>
      <c r="G15" s="95"/>
      <c r="H15" s="95"/>
      <c r="I15" s="95"/>
      <c r="J15" s="95"/>
      <c r="K15" s="95"/>
      <c r="L15" s="95"/>
      <c r="M15" s="95"/>
      <c r="N15" s="95"/>
      <c r="O15" s="95"/>
      <c r="P15" s="95"/>
      <c r="Q15" s="95"/>
      <c r="R15" s="95"/>
      <c r="S15" s="95"/>
      <c r="T15" s="95"/>
      <c r="U15" s="95"/>
      <c r="V15" s="95"/>
    </row>
    <row r="16" spans="1:34" s="124" customFormat="1">
      <c r="C16" s="134"/>
      <c r="D16" s="135"/>
      <c r="E16" s="95"/>
      <c r="F16" s="95"/>
      <c r="G16" s="95"/>
      <c r="H16" s="95"/>
      <c r="I16" s="95"/>
      <c r="J16" s="95"/>
      <c r="K16" s="95"/>
      <c r="L16" s="95"/>
      <c r="M16" s="95"/>
      <c r="N16" s="95"/>
      <c r="O16" s="95"/>
      <c r="P16" s="95"/>
      <c r="Q16" s="95"/>
      <c r="R16" s="95"/>
      <c r="S16" s="95"/>
      <c r="T16" s="95"/>
      <c r="U16" s="95"/>
      <c r="V16" s="95"/>
    </row>
    <row r="17" spans="3:22" s="131" customFormat="1" ht="23.25" customHeight="1">
      <c r="C17" s="209" t="s">
        <v>37</v>
      </c>
      <c r="D17" s="136"/>
      <c r="E17" s="137"/>
      <c r="F17" s="137"/>
      <c r="G17" s="137"/>
      <c r="H17" s="138" t="s">
        <v>54</v>
      </c>
      <c r="I17" s="137"/>
      <c r="J17" s="137"/>
      <c r="K17" s="137"/>
      <c r="L17" s="137"/>
      <c r="M17" s="137"/>
      <c r="N17" s="137"/>
      <c r="O17" s="137"/>
      <c r="P17" s="137"/>
      <c r="Q17" s="137"/>
      <c r="R17" s="137"/>
      <c r="S17" s="137"/>
      <c r="T17" s="137"/>
      <c r="U17" s="137"/>
      <c r="V17" s="137"/>
    </row>
    <row r="18" spans="3:22" s="131" customFormat="1" ht="23.25" customHeight="1">
      <c r="C18" s="209" t="s">
        <v>38</v>
      </c>
      <c r="D18" s="136"/>
      <c r="E18" s="139"/>
      <c r="F18" s="137"/>
      <c r="G18" s="137"/>
      <c r="H18" s="138" t="s">
        <v>84</v>
      </c>
      <c r="I18" s="137"/>
      <c r="J18" s="137"/>
      <c r="K18" s="137"/>
      <c r="L18" s="137"/>
      <c r="M18" s="137"/>
      <c r="N18" s="137"/>
      <c r="O18" s="137"/>
      <c r="P18" s="137"/>
      <c r="Q18" s="137"/>
      <c r="R18" s="137"/>
      <c r="S18" s="137"/>
      <c r="T18" s="137"/>
      <c r="U18" s="137"/>
      <c r="V18" s="137"/>
    </row>
    <row r="19" spans="3:22" s="131" customFormat="1" ht="23.25" customHeight="1">
      <c r="C19" s="209" t="s">
        <v>145</v>
      </c>
      <c r="D19" s="136"/>
      <c r="E19" s="139"/>
      <c r="F19" s="137"/>
      <c r="G19" s="137"/>
      <c r="H19" s="138" t="s">
        <v>146</v>
      </c>
      <c r="I19" s="137"/>
      <c r="J19" s="137"/>
      <c r="K19" s="137"/>
      <c r="L19" s="137"/>
      <c r="M19" s="137"/>
      <c r="N19" s="137"/>
      <c r="O19" s="137"/>
      <c r="P19" s="137"/>
      <c r="Q19" s="137"/>
      <c r="R19" s="137"/>
      <c r="S19" s="137"/>
      <c r="T19" s="137"/>
      <c r="U19" s="137"/>
      <c r="V19" s="137"/>
    </row>
    <row r="20" spans="3:22" s="131" customFormat="1" ht="23.25" customHeight="1">
      <c r="C20" s="209" t="s">
        <v>39</v>
      </c>
      <c r="D20" s="140"/>
      <c r="E20" s="141"/>
      <c r="F20" s="137"/>
      <c r="G20" s="137"/>
      <c r="H20" s="138" t="s">
        <v>147</v>
      </c>
      <c r="I20" s="137"/>
      <c r="J20" s="137"/>
      <c r="K20" s="137"/>
      <c r="L20" s="137"/>
      <c r="M20" s="137"/>
      <c r="N20" s="137"/>
      <c r="O20" s="137"/>
      <c r="P20" s="137"/>
      <c r="Q20" s="137"/>
      <c r="R20" s="137"/>
      <c r="S20" s="137"/>
      <c r="T20" s="137"/>
      <c r="U20" s="137"/>
      <c r="V20" s="137"/>
    </row>
    <row r="21" spans="3:22" s="131" customFormat="1" ht="23.25" customHeight="1">
      <c r="C21" s="209" t="s">
        <v>40</v>
      </c>
      <c r="D21" s="136"/>
      <c r="E21" s="137"/>
      <c r="F21" s="137"/>
      <c r="G21" s="137"/>
      <c r="H21" s="138" t="s">
        <v>85</v>
      </c>
      <c r="I21" s="137"/>
      <c r="J21" s="137"/>
      <c r="K21" s="137"/>
      <c r="L21" s="137"/>
      <c r="M21" s="137"/>
      <c r="N21" s="137"/>
      <c r="O21" s="137"/>
      <c r="P21" s="137"/>
      <c r="Q21" s="137"/>
      <c r="R21" s="137"/>
      <c r="S21" s="137"/>
      <c r="T21" s="137"/>
      <c r="U21" s="137"/>
      <c r="V21" s="137"/>
    </row>
    <row r="22" spans="3:22" s="124" customFormat="1">
      <c r="C22" s="134"/>
      <c r="D22" s="135"/>
      <c r="E22" s="142"/>
      <c r="F22" s="95"/>
      <c r="G22" s="95"/>
      <c r="H22" s="95"/>
      <c r="I22" s="95"/>
      <c r="J22" s="95"/>
      <c r="K22" s="95"/>
      <c r="L22" s="95"/>
      <c r="M22" s="95"/>
      <c r="N22" s="95"/>
      <c r="O22" s="95"/>
      <c r="P22" s="95"/>
      <c r="Q22" s="95"/>
      <c r="R22" s="95"/>
      <c r="S22" s="95"/>
      <c r="T22" s="95"/>
      <c r="U22" s="95"/>
      <c r="V22" s="95"/>
    </row>
    <row r="23" spans="3:22" s="124" customFormat="1">
      <c r="C23" s="134"/>
      <c r="D23" s="143"/>
      <c r="E23" s="143"/>
      <c r="F23" s="143"/>
      <c r="G23" s="95"/>
      <c r="H23" s="143"/>
      <c r="I23" s="143"/>
      <c r="J23" s="143"/>
      <c r="K23" s="143"/>
      <c r="L23" s="143"/>
      <c r="M23" s="143"/>
      <c r="N23" s="143"/>
      <c r="O23" s="143"/>
      <c r="P23" s="143"/>
      <c r="Q23" s="143"/>
      <c r="R23" s="143"/>
      <c r="S23" s="143"/>
      <c r="T23" s="143"/>
      <c r="U23" s="95"/>
      <c r="V23" s="95"/>
    </row>
    <row r="24" spans="3:22" ht="15.75">
      <c r="C24" s="144"/>
      <c r="D24" s="143"/>
      <c r="E24" s="143"/>
      <c r="F24" s="143"/>
      <c r="G24" s="95"/>
      <c r="H24" s="143"/>
      <c r="I24" s="143"/>
      <c r="J24" s="143"/>
      <c r="K24" s="143"/>
      <c r="L24" s="143"/>
      <c r="M24" s="143"/>
      <c r="N24" s="143"/>
      <c r="O24" s="143"/>
      <c r="P24" s="143"/>
      <c r="Q24" s="143"/>
      <c r="R24" s="143"/>
      <c r="S24" s="143"/>
      <c r="T24" s="143"/>
      <c r="U24" s="143"/>
      <c r="V24" s="143"/>
    </row>
    <row r="25" spans="3:22" ht="15.75">
      <c r="C25" s="144"/>
      <c r="D25" s="143"/>
      <c r="E25" s="143"/>
      <c r="F25" s="143"/>
      <c r="G25" s="143"/>
      <c r="H25" s="143"/>
      <c r="I25" s="143"/>
      <c r="J25" s="143"/>
      <c r="K25" s="143"/>
      <c r="L25" s="143"/>
      <c r="M25" s="143"/>
      <c r="N25" s="143"/>
      <c r="O25" s="143"/>
      <c r="P25" s="143"/>
      <c r="Q25" s="143"/>
      <c r="R25" s="143"/>
      <c r="S25" s="143"/>
      <c r="T25" s="143"/>
      <c r="U25" s="143"/>
      <c r="V25" s="143"/>
    </row>
    <row r="26" spans="3:22">
      <c r="D26" s="132"/>
      <c r="E26" s="145"/>
      <c r="F26" s="95"/>
      <c r="G26" s="95"/>
      <c r="H26" s="95"/>
      <c r="I26" s="143"/>
      <c r="J26" s="143"/>
      <c r="K26" s="143"/>
      <c r="L26" s="143"/>
      <c r="M26" s="143"/>
      <c r="N26" s="143"/>
      <c r="O26" s="143"/>
      <c r="P26" s="143"/>
      <c r="Q26" s="143"/>
      <c r="R26" s="143"/>
      <c r="S26" s="143"/>
      <c r="T26" s="143"/>
      <c r="U26" s="143"/>
      <c r="V26" s="143"/>
    </row>
    <row r="27" spans="3:22">
      <c r="D27" s="135"/>
      <c r="E27" s="95"/>
      <c r="F27" s="95"/>
      <c r="G27" s="95"/>
      <c r="H27" s="95"/>
      <c r="I27" s="143"/>
      <c r="J27" s="143"/>
      <c r="K27" s="143"/>
      <c r="L27" s="143"/>
      <c r="M27" s="143"/>
      <c r="N27" s="143"/>
      <c r="O27" s="143"/>
      <c r="P27" s="143"/>
      <c r="Q27" s="143"/>
      <c r="R27" s="143"/>
      <c r="S27" s="143"/>
      <c r="T27" s="143"/>
      <c r="U27" s="143"/>
      <c r="V27" s="143"/>
    </row>
    <row r="28" spans="3:22">
      <c r="D28" s="135"/>
      <c r="E28" s="95"/>
      <c r="F28" s="95"/>
      <c r="G28" s="95"/>
      <c r="H28" s="95"/>
      <c r="I28" s="143"/>
      <c r="J28" s="143"/>
      <c r="K28" s="143"/>
      <c r="L28" s="143"/>
      <c r="M28" s="143"/>
      <c r="N28" s="143"/>
      <c r="O28" s="143"/>
      <c r="P28" s="143"/>
      <c r="Q28" s="143"/>
      <c r="R28" s="143"/>
      <c r="S28" s="143"/>
      <c r="T28" s="143"/>
      <c r="U28" s="143"/>
      <c r="V28" s="143"/>
    </row>
    <row r="29" spans="3:22">
      <c r="D29" s="143"/>
      <c r="E29" s="143"/>
      <c r="F29" s="143"/>
      <c r="G29" s="143"/>
      <c r="H29" s="143"/>
      <c r="I29" s="143"/>
      <c r="J29" s="143"/>
      <c r="K29" s="143"/>
      <c r="L29" s="143"/>
      <c r="M29" s="143"/>
      <c r="N29" s="143"/>
      <c r="O29" s="143"/>
      <c r="P29" s="143"/>
      <c r="Q29" s="143"/>
      <c r="R29" s="143"/>
      <c r="S29" s="143"/>
      <c r="T29" s="143"/>
      <c r="U29" s="143"/>
      <c r="V29" s="143"/>
    </row>
    <row r="30" spans="3:22">
      <c r="D30" s="132"/>
      <c r="E30" s="145"/>
      <c r="F30" s="95"/>
      <c r="G30" s="95"/>
      <c r="H30" s="95"/>
      <c r="I30" s="143"/>
      <c r="J30" s="143"/>
      <c r="K30" s="143"/>
      <c r="L30" s="143"/>
      <c r="M30" s="143"/>
      <c r="N30" s="143"/>
      <c r="O30" s="143"/>
      <c r="P30" s="143"/>
      <c r="Q30" s="143"/>
      <c r="R30" s="143"/>
      <c r="S30" s="143"/>
      <c r="T30" s="143"/>
      <c r="U30" s="143"/>
      <c r="V30" s="143"/>
    </row>
    <row r="31" spans="3:22">
      <c r="D31" s="146"/>
      <c r="E31" s="124"/>
      <c r="F31" s="124"/>
      <c r="G31" s="124"/>
      <c r="H31" s="124"/>
    </row>
    <row r="32" spans="3:22">
      <c r="D32" s="146"/>
      <c r="E32" s="124"/>
      <c r="F32" s="124"/>
      <c r="G32" s="124"/>
      <c r="H32" s="124"/>
    </row>
  </sheetData>
  <hyperlinks>
    <hyperlink ref="C17" location="'Output | Final Decision tables'!A1" display="Output | Decision tables" xr:uid="{672C25E1-6E75-4E0B-A85C-CCDAB0223800}"/>
    <hyperlink ref="C18" location="'STPIS inputs'!A1" display="STPIS inputs" xr:uid="{B177C3D9-5880-494B-9D4C-F58BF4285284}"/>
    <hyperlink ref="C20" location="'Annual performance and targets'!A1" display="Annual performance and targets" xr:uid="{E5D20C0B-C496-463C-9A36-A7E8C9693B62}"/>
    <hyperlink ref="C21" location="'Incentive rates calc'!A1" display="Incentive rates calculations" xr:uid="{15870546-0A90-4BB3-906E-574CEE21D747}"/>
    <hyperlink ref="C19" location="'Target adjustments'!A1" display="Target adjustments" xr:uid="{6F4366B6-D588-4334-8208-8B89E0574E72}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F566ED-6B37-4FA9-B94A-9EFEBC037457}">
  <sheetPr>
    <tabColor theme="5" tint="-0.249977111117893"/>
  </sheetPr>
  <dimension ref="B1:J33"/>
  <sheetViews>
    <sheetView zoomScale="130" zoomScaleNormal="130" workbookViewId="0">
      <selection activeCell="C46" sqref="C46"/>
    </sheetView>
  </sheetViews>
  <sheetFormatPr defaultColWidth="9.140625" defaultRowHeight="11.25"/>
  <cols>
    <col min="1" max="1" width="9.140625" style="90"/>
    <col min="2" max="2" width="52.5703125" style="90" customWidth="1"/>
    <col min="3" max="3" width="26" style="104" customWidth="1"/>
    <col min="4" max="6" width="18.42578125" style="90" customWidth="1"/>
    <col min="7" max="7" width="7" style="90" customWidth="1"/>
    <col min="8" max="8" width="9.42578125" style="90" customWidth="1"/>
    <col min="9" max="9" width="15.42578125" style="90" customWidth="1"/>
    <col min="10" max="10" width="9.5703125" style="90" bestFit="1" customWidth="1"/>
    <col min="11" max="12" width="12.42578125" style="90" bestFit="1" customWidth="1"/>
    <col min="13" max="16384" width="9.140625" style="90"/>
  </cols>
  <sheetData>
    <row r="1" spans="2:10" ht="12.6" customHeight="1"/>
    <row r="2" spans="2:10" ht="12.6" customHeight="1">
      <c r="B2" s="208" t="str">
        <f>Cover!S3</f>
        <v>Powercor</v>
      </c>
    </row>
    <row r="3" spans="2:10" ht="12.6" customHeight="1">
      <c r="B3" s="32" t="s">
        <v>82</v>
      </c>
      <c r="C3" s="32"/>
      <c r="D3" s="32"/>
      <c r="E3" s="32"/>
      <c r="F3" s="32"/>
      <c r="H3" s="105"/>
      <c r="I3" s="105"/>
    </row>
    <row r="4" spans="2:10" ht="13.5" customHeight="1">
      <c r="G4" s="114"/>
      <c r="H4" s="113" t="s">
        <v>86</v>
      </c>
      <c r="I4" s="106"/>
    </row>
    <row r="5" spans="2:10" s="37" customFormat="1" ht="12.6" customHeight="1">
      <c r="B5" s="56" t="s">
        <v>119</v>
      </c>
      <c r="C5" s="181">
        <v>0.05</v>
      </c>
      <c r="D5" s="33"/>
      <c r="G5" s="112"/>
      <c r="H5" s="109"/>
      <c r="I5" s="107" t="s">
        <v>88</v>
      </c>
    </row>
    <row r="6" spans="2:10" s="37" customFormat="1" ht="12.6" customHeight="1">
      <c r="B6" s="56" t="s">
        <v>118</v>
      </c>
      <c r="C6" s="79">
        <v>2.8</v>
      </c>
      <c r="D6" s="80" t="s">
        <v>25</v>
      </c>
      <c r="G6" s="112"/>
      <c r="H6" s="110"/>
      <c r="I6" s="107" t="s">
        <v>117</v>
      </c>
    </row>
    <row r="7" spans="2:10" s="37" customFormat="1" ht="12.6" customHeight="1">
      <c r="B7" s="56" t="s">
        <v>15</v>
      </c>
      <c r="C7" s="81" t="s">
        <v>1</v>
      </c>
      <c r="D7" s="81" t="s">
        <v>124</v>
      </c>
      <c r="E7" s="81" t="s">
        <v>125</v>
      </c>
      <c r="G7" s="112"/>
      <c r="H7" s="111"/>
      <c r="I7" s="108" t="s">
        <v>87</v>
      </c>
    </row>
    <row r="8" spans="2:10" s="37" customFormat="1" ht="12.6" customHeight="1">
      <c r="B8" s="115"/>
      <c r="C8" s="104"/>
      <c r="D8" s="90"/>
      <c r="E8" s="90"/>
      <c r="F8" s="90"/>
      <c r="G8" s="90"/>
      <c r="I8" s="90"/>
    </row>
    <row r="9" spans="2:10" ht="12.6" customHeight="1">
      <c r="B9" s="32" t="s">
        <v>16</v>
      </c>
      <c r="C9" s="32"/>
      <c r="D9" s="32"/>
      <c r="E9" s="32"/>
      <c r="F9" s="32"/>
      <c r="H9" s="37"/>
      <c r="I9" s="37"/>
    </row>
    <row r="10" spans="2:10" s="37" customFormat="1" ht="12.6" customHeight="1">
      <c r="B10" s="90"/>
      <c r="C10" s="104"/>
      <c r="D10" s="90"/>
      <c r="E10" s="90"/>
      <c r="F10" s="90"/>
      <c r="H10" s="90"/>
      <c r="I10" s="90"/>
    </row>
    <row r="11" spans="2:10" ht="12.6" customHeight="1">
      <c r="B11" s="36" t="s">
        <v>133</v>
      </c>
      <c r="C11" s="36"/>
      <c r="D11" s="36"/>
      <c r="E11" s="36"/>
      <c r="G11" s="36"/>
      <c r="H11" s="36"/>
    </row>
    <row r="12" spans="2:10" s="36" customFormat="1" ht="12.6" customHeight="1">
      <c r="B12" s="51" t="s">
        <v>0</v>
      </c>
      <c r="C12" s="51" t="str">
        <f>C7</f>
        <v>Urban</v>
      </c>
      <c r="D12" s="51" t="str">
        <f>D7</f>
        <v>Short Rural</v>
      </c>
      <c r="E12" s="51" t="str">
        <f>E7</f>
        <v>Long Rural</v>
      </c>
      <c r="F12" s="37"/>
      <c r="H12" s="37"/>
      <c r="I12" s="37"/>
    </row>
    <row r="13" spans="2:10" s="37" customFormat="1" ht="12.6" customHeight="1">
      <c r="B13" s="59" t="s">
        <v>30</v>
      </c>
      <c r="C13" s="102">
        <f>'Incentive rates calc'!D9</f>
        <v>57.179999264937202</v>
      </c>
      <c r="D13" s="102">
        <f>'Incentive rates calc'!E9</f>
        <v>92.571962199085831</v>
      </c>
      <c r="E13" s="102">
        <f>'Incentive rates calc'!F9</f>
        <v>204.7206929069747</v>
      </c>
      <c r="H13" s="103"/>
      <c r="I13" s="103"/>
    </row>
    <row r="14" spans="2:10" s="37" customFormat="1" ht="12.6" customHeight="1">
      <c r="B14" s="59" t="s">
        <v>31</v>
      </c>
      <c r="C14" s="102">
        <f>'Incentive rates calc'!D8</f>
        <v>0.71786619485809566</v>
      </c>
      <c r="D14" s="102">
        <f>'Incentive rates calc'!E8</f>
        <v>1.001863533993228</v>
      </c>
      <c r="E14" s="102">
        <f>'Incentive rates calc'!F8</f>
        <v>2.0869703811609748</v>
      </c>
      <c r="G14" s="103"/>
      <c r="H14" s="103"/>
      <c r="I14" s="103"/>
      <c r="J14" s="103"/>
    </row>
    <row r="15" spans="2:10" s="37" customFormat="1" ht="12.6" customHeight="1">
      <c r="B15" s="59" t="s">
        <v>152</v>
      </c>
      <c r="C15" s="102">
        <f>'Incentive rates calc'!D10</f>
        <v>1.0901593129799998</v>
      </c>
      <c r="D15" s="102">
        <f>'Incentive rates calc'!E10</f>
        <v>1.7177912092599998</v>
      </c>
      <c r="E15" s="102">
        <f>'Incentive rates calc'!F10</f>
        <v>2.7813508300409455</v>
      </c>
      <c r="G15" s="103"/>
      <c r="H15" s="103"/>
      <c r="I15" s="103"/>
    </row>
    <row r="16" spans="2:10" s="37" customFormat="1" ht="12.6" customHeight="1">
      <c r="B16" s="90"/>
      <c r="C16" s="90"/>
      <c r="D16" s="90"/>
      <c r="E16" s="90"/>
      <c r="F16" s="90"/>
      <c r="G16" s="103"/>
      <c r="H16" s="90"/>
      <c r="I16" s="90"/>
    </row>
    <row r="17" spans="2:9" ht="12.6" customHeight="1">
      <c r="B17" s="36" t="s">
        <v>83</v>
      </c>
      <c r="C17" s="36"/>
      <c r="D17" s="36"/>
      <c r="E17" s="36"/>
      <c r="F17" s="36"/>
      <c r="H17" s="36"/>
      <c r="I17" s="36"/>
    </row>
    <row r="18" spans="2:9" s="36" customFormat="1" ht="12.6" customHeight="1">
      <c r="B18" s="51" t="s">
        <v>0</v>
      </c>
      <c r="C18" s="51" t="str">
        <f>C12</f>
        <v>Urban</v>
      </c>
      <c r="D18" s="51" t="str">
        <f t="shared" ref="D18:E18" si="0">D12</f>
        <v>Short Rural</v>
      </c>
      <c r="E18" s="51" t="str">
        <f t="shared" si="0"/>
        <v>Long Rural</v>
      </c>
      <c r="F18" s="37"/>
      <c r="H18" s="37"/>
      <c r="I18" s="37"/>
    </row>
    <row r="19" spans="2:9" s="37" customFormat="1" ht="12.6" customHeight="1">
      <c r="B19" s="58" t="s">
        <v>61</v>
      </c>
      <c r="C19" s="163">
        <f>'Incentive rates calc'!$D$13</f>
        <v>2.1893511537020467E-2</v>
      </c>
      <c r="D19" s="163">
        <f>'Incentive rates calc'!$E$13</f>
        <v>2.0074695802451123E-2</v>
      </c>
      <c r="E19" s="163">
        <f>'Incentive rates calc'!F13</f>
        <v>1.3406135787453005E-2</v>
      </c>
      <c r="F19" s="193"/>
    </row>
    <row r="20" spans="2:9" s="37" customFormat="1" ht="12.6" customHeight="1">
      <c r="B20" s="58" t="s">
        <v>62</v>
      </c>
      <c r="C20" s="163">
        <f>'Incentive rates calc'!$D$14</f>
        <v>1.1625852492294317</v>
      </c>
      <c r="D20" s="163">
        <f>'Incentive rates calc'!$E$14</f>
        <v>1.2365982111859246</v>
      </c>
      <c r="E20" s="163">
        <f>'Incentive rates calc'!F14</f>
        <v>0.8767137385328253</v>
      </c>
      <c r="F20" s="193"/>
    </row>
    <row r="21" spans="2:9" s="37" customFormat="1" ht="12.6" customHeight="1">
      <c r="B21" s="58" t="s">
        <v>153</v>
      </c>
      <c r="C21" s="163">
        <f>'Incentive rates calc'!D15</f>
        <v>9.3006819938354537E-2</v>
      </c>
      <c r="D21" s="163">
        <f>'Incentive rates calc'!E15</f>
        <v>9.8927856894873975E-2</v>
      </c>
      <c r="E21" s="163">
        <f>'Incentive rates calc'!F15</f>
        <v>7.0137099082626025E-2</v>
      </c>
      <c r="F21" s="193"/>
    </row>
    <row r="22" spans="2:9" s="37" customFormat="1" ht="12.6" customHeight="1">
      <c r="B22" s="60"/>
      <c r="C22" s="61"/>
      <c r="D22" s="61"/>
    </row>
    <row r="23" spans="2:9" s="37" customFormat="1" ht="12.6" customHeight="1">
      <c r="B23" s="36" t="s">
        <v>129</v>
      </c>
      <c r="C23" s="36"/>
      <c r="D23" s="36"/>
    </row>
    <row r="24" spans="2:9" s="37" customFormat="1" ht="12.6" customHeight="1">
      <c r="B24" s="51"/>
      <c r="C24" s="51" t="s">
        <v>58</v>
      </c>
      <c r="D24" s="51" t="s">
        <v>59</v>
      </c>
    </row>
    <row r="25" spans="2:9" s="37" customFormat="1" ht="33.75" customHeight="1">
      <c r="B25" s="62" t="s">
        <v>60</v>
      </c>
      <c r="C25" s="196">
        <v>-4.0000000000000002E-4</v>
      </c>
      <c r="D25" s="198">
        <f>'Annual performance and targets'!I33</f>
        <v>0.87615594783896689</v>
      </c>
    </row>
    <row r="26" spans="2:9" s="37" customFormat="1" ht="31.5" customHeight="1"/>
    <row r="27" spans="2:9" s="37" customFormat="1" ht="12.6" customHeight="1">
      <c r="B27" s="36" t="s">
        <v>29</v>
      </c>
      <c r="C27" s="36"/>
      <c r="D27" s="36"/>
      <c r="E27" s="36"/>
      <c r="G27" s="36"/>
      <c r="H27" s="36"/>
    </row>
    <row r="28" spans="2:9" s="36" customFormat="1" ht="12.6" customHeight="1">
      <c r="B28" s="51"/>
      <c r="C28" s="51" t="str">
        <f>C18</f>
        <v>Urban</v>
      </c>
      <c r="D28" s="51" t="str">
        <f>D18</f>
        <v>Short Rural</v>
      </c>
      <c r="E28" s="51" t="str">
        <f>E18</f>
        <v>Long Rural</v>
      </c>
      <c r="G28" s="37"/>
      <c r="H28" s="37"/>
    </row>
    <row r="29" spans="2:9" s="37" customFormat="1" ht="12.6" customHeight="1">
      <c r="B29" s="62" t="s">
        <v>52</v>
      </c>
      <c r="C29" s="78">
        <f>'STPIS inputs'!D11*(1+'Incentive rates calc'!D12)</f>
        <v>35857.167505391808</v>
      </c>
      <c r="D29" s="78">
        <f>'STPIS inputs'!E11*(1+'Incentive rates calc'!E12)</f>
        <v>35857.167505391808</v>
      </c>
      <c r="E29" s="78">
        <f>'STPIS inputs'!F11*(1+'Incentive rates calc'!F12)</f>
        <v>35857.167505391808</v>
      </c>
    </row>
    <row r="30" spans="2:9" s="37" customFormat="1" ht="12.6" customHeight="1">
      <c r="B30" s="90"/>
      <c r="C30" s="90"/>
      <c r="D30" s="90"/>
      <c r="E30" s="90"/>
      <c r="G30" s="90"/>
      <c r="H30" s="90"/>
    </row>
    <row r="31" spans="2:9" ht="12.6" customHeight="1">
      <c r="B31" s="116"/>
      <c r="C31" s="90"/>
    </row>
    <row r="32" spans="2:9">
      <c r="C32" s="117"/>
      <c r="D32" s="117"/>
    </row>
    <row r="33" spans="4:4">
      <c r="D33" s="117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7AA40C-20A3-41B6-BBD9-EB70B5ADD831}">
  <dimension ref="B1:K20"/>
  <sheetViews>
    <sheetView zoomScale="190" zoomScaleNormal="190" workbookViewId="0">
      <selection activeCell="C11" sqref="C11"/>
    </sheetView>
  </sheetViews>
  <sheetFormatPr defaultColWidth="9.140625" defaultRowHeight="11.25"/>
  <cols>
    <col min="1" max="1" width="5.42578125" style="90" customWidth="1"/>
    <col min="2" max="2" width="61.140625" style="90" bestFit="1" customWidth="1"/>
    <col min="3" max="3" width="21.7109375" style="90" customWidth="1"/>
    <col min="4" max="9" width="20.85546875" style="90" customWidth="1"/>
    <col min="10" max="16384" width="9.140625" style="90"/>
  </cols>
  <sheetData>
    <row r="1" spans="2:11" ht="12.6" customHeight="1"/>
    <row r="2" spans="2:11" s="37" customFormat="1" ht="12.6" customHeight="1">
      <c r="B2" s="32" t="s">
        <v>22</v>
      </c>
      <c r="C2" s="32"/>
      <c r="D2" s="175"/>
      <c r="E2" s="175"/>
      <c r="F2" s="175"/>
      <c r="G2" s="175"/>
      <c r="H2" s="175"/>
      <c r="I2" s="175"/>
    </row>
    <row r="3" spans="2:11" s="37" customFormat="1" ht="12.6" customHeight="1">
      <c r="B3" s="176"/>
      <c r="C3" s="176"/>
      <c r="D3" s="65"/>
      <c r="E3" s="65"/>
      <c r="F3" s="65"/>
      <c r="G3" s="65"/>
      <c r="H3" s="65"/>
      <c r="I3" s="65"/>
    </row>
    <row r="4" spans="2:11" s="37" customFormat="1" ht="12.6" customHeight="1">
      <c r="C4" s="51" t="s">
        <v>78</v>
      </c>
      <c r="D4" s="51" t="s">
        <v>50</v>
      </c>
      <c r="E4" s="51" t="s">
        <v>26</v>
      </c>
      <c r="F4" s="51" t="s">
        <v>27</v>
      </c>
      <c r="G4" s="51" t="s">
        <v>28</v>
      </c>
      <c r="H4" s="51" t="s">
        <v>56</v>
      </c>
      <c r="I4" s="51" t="s">
        <v>89</v>
      </c>
    </row>
    <row r="5" spans="2:11" s="37" customFormat="1" ht="12.6" customHeight="1">
      <c r="B5" s="34" t="s">
        <v>132</v>
      </c>
      <c r="C5" s="57" t="s">
        <v>136</v>
      </c>
      <c r="D5" s="156">
        <f>AVERAGE(E5:I5)</f>
        <v>984877038.54761291</v>
      </c>
      <c r="E5" s="93">
        <f>913.728957713115*10^6</f>
        <v>913728957.7131151</v>
      </c>
      <c r="F5" s="93">
        <f>947.993793627357*10^6</f>
        <v>947993793.62735701</v>
      </c>
      <c r="G5" s="93">
        <f>983.543560888383*10^6</f>
        <v>983543560.88838303</v>
      </c>
      <c r="H5" s="93">
        <f>1020.4264444217*10^6</f>
        <v>1020426444.4217</v>
      </c>
      <c r="I5" s="93">
        <f>1058.69243608751*10^6</f>
        <v>1058692436.08751</v>
      </c>
      <c r="K5" s="155"/>
    </row>
    <row r="6" spans="2:11" s="37" customFormat="1" ht="12.6" customHeight="1">
      <c r="B6" s="35"/>
      <c r="C6" s="35"/>
      <c r="D6" s="36"/>
      <c r="I6" s="38"/>
    </row>
    <row r="7" spans="2:11" s="37" customFormat="1" ht="12.6" customHeight="1">
      <c r="B7" s="39"/>
      <c r="C7" s="179" t="s">
        <v>78</v>
      </c>
      <c r="D7" s="179" t="str">
        <f>'Output | Final Decision tables'!C7</f>
        <v>Urban</v>
      </c>
      <c r="E7" s="179" t="str">
        <f>'Output | Final Decision tables'!D7</f>
        <v>Short Rural</v>
      </c>
      <c r="F7" s="179" t="str">
        <f>'Output | Final Decision tables'!E7</f>
        <v>Long Rural</v>
      </c>
    </row>
    <row r="8" spans="2:11" s="37" customFormat="1" ht="12.6" customHeight="1">
      <c r="B8" s="34" t="str">
        <f>'Incentive rates calc'!B6</f>
        <v>Average annual energy consumption by network type (MWh)</v>
      </c>
      <c r="C8" s="57" t="s">
        <v>94</v>
      </c>
      <c r="D8" s="157">
        <f>'Target adjustments'!C68</f>
        <v>5271362.9901992371</v>
      </c>
      <c r="E8" s="157">
        <f>'Target adjustments'!C69</f>
        <v>4833441.5570390588</v>
      </c>
      <c r="F8" s="157">
        <f>'Target adjustments'!C70</f>
        <v>3227833.4113771273</v>
      </c>
    </row>
    <row r="9" spans="2:11" s="37" customFormat="1" ht="12.6" customHeight="1">
      <c r="B9" s="33"/>
      <c r="D9" s="180"/>
      <c r="E9" s="180"/>
      <c r="F9" s="180"/>
    </row>
    <row r="10" spans="2:11" s="37" customFormat="1" ht="12.6" customHeight="1">
      <c r="B10" s="149"/>
      <c r="C10" s="51" t="s">
        <v>78</v>
      </c>
      <c r="D10" s="179" t="str">
        <f>D7</f>
        <v>Urban</v>
      </c>
      <c r="E10" s="179" t="str">
        <f>E7</f>
        <v>Short Rural</v>
      </c>
      <c r="F10" s="179" t="str">
        <f>F7</f>
        <v>Long Rural</v>
      </c>
      <c r="G10" s="150"/>
    </row>
    <row r="11" spans="2:11" s="37" customFormat="1" ht="40.5" customHeight="1">
      <c r="B11" s="34" t="s">
        <v>47</v>
      </c>
      <c r="C11" s="199" t="s">
        <v>93</v>
      </c>
      <c r="D11" s="83">
        <v>35780</v>
      </c>
      <c r="E11" s="83">
        <v>35780</v>
      </c>
      <c r="F11" s="83">
        <v>35780</v>
      </c>
      <c r="G11" s="195" t="s">
        <v>126</v>
      </c>
      <c r="H11" s="42"/>
      <c r="I11" s="42"/>
      <c r="J11" s="42"/>
    </row>
    <row r="12" spans="2:11" s="37" customFormat="1" ht="12.6" customHeight="1"/>
    <row r="13" spans="2:11" s="37" customFormat="1" ht="12.6" customHeight="1">
      <c r="B13" s="34" t="s">
        <v>5</v>
      </c>
      <c r="C13" s="34"/>
      <c r="D13" s="77">
        <f>D17/D16-1</f>
        <v>2.1567217828901697E-3</v>
      </c>
    </row>
    <row r="14" spans="2:11" s="37" customFormat="1" ht="12.6" customHeight="1">
      <c r="D14" s="118"/>
      <c r="E14" s="151"/>
      <c r="F14" s="151"/>
      <c r="G14" s="151"/>
      <c r="H14" s="151"/>
    </row>
    <row r="15" spans="2:11" s="37" customFormat="1" ht="12.6" customHeight="1">
      <c r="B15" s="35" t="s">
        <v>23</v>
      </c>
      <c r="C15" s="35"/>
      <c r="D15" s="118"/>
    </row>
    <row r="16" spans="2:11" s="37" customFormat="1" ht="12.6" customHeight="1">
      <c r="B16" s="41">
        <v>45536</v>
      </c>
      <c r="C16" s="41"/>
      <c r="D16" s="81">
        <v>139.1</v>
      </c>
      <c r="E16" s="88" t="s">
        <v>92</v>
      </c>
    </row>
    <row r="17" spans="2:9" s="37" customFormat="1" ht="12.6" customHeight="1">
      <c r="B17" s="41">
        <v>45627</v>
      </c>
      <c r="C17" s="190"/>
      <c r="D17" s="210">
        <v>139.4</v>
      </c>
      <c r="E17" s="88" t="s">
        <v>155</v>
      </c>
    </row>
    <row r="18" spans="2:9" ht="12.6" customHeight="1"/>
    <row r="19" spans="2:9">
      <c r="E19" s="152"/>
      <c r="F19" s="153"/>
      <c r="G19" s="153"/>
      <c r="H19" s="153"/>
      <c r="I19" s="153"/>
    </row>
    <row r="20" spans="2:9">
      <c r="E20" s="154"/>
      <c r="F20" s="154"/>
      <c r="G20" s="154"/>
      <c r="H20" s="154"/>
      <c r="I20" s="154"/>
    </row>
  </sheetData>
  <hyperlinks>
    <hyperlink ref="C11" r:id="rId1" display="AER, Value of customer reliability review, final report, December 2024, p. 5 (Table 2 Business VCR values) and p. 62 (Table 20 NEM-wide and regional VCR)." xr:uid="{745CD5D6-6CFE-4211-9A51-C19CACF291EE}"/>
    <hyperlink ref="E16" r:id="rId2" display="https://www.aer.gov.au/system/files/2024-12/2024-12-18 AER - Final report - 2024 VCR review_0.pdf" xr:uid="{9D0E2D3A-0EBC-438A-B1AD-6F38BD0309A6}"/>
  </hyperlinks>
  <pageMargins left="0.7" right="0.7" top="0.75" bottom="0.75" header="0.3" footer="0.3"/>
  <pageSetup paperSize="9" orientation="portrait" r:id="rId3"/>
  <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AACECA-5806-416B-9FB7-A6F3110A0AC7}">
  <dimension ref="A2:M74"/>
  <sheetViews>
    <sheetView zoomScale="160" zoomScaleNormal="160" workbookViewId="0">
      <selection activeCell="C16" sqref="C16"/>
    </sheetView>
  </sheetViews>
  <sheetFormatPr defaultColWidth="9.140625" defaultRowHeight="11.25"/>
  <cols>
    <col min="1" max="1" width="57.42578125" style="90" customWidth="1"/>
    <col min="2" max="2" width="13" style="90" customWidth="1"/>
    <col min="3" max="3" width="12.28515625" style="90" customWidth="1"/>
    <col min="4" max="4" width="11.140625" style="90" bestFit="1" customWidth="1"/>
    <col min="5" max="5" width="10.5703125" style="90" bestFit="1" customWidth="1"/>
    <col min="6" max="6" width="12.28515625" style="90" customWidth="1"/>
    <col min="7" max="7" width="13.42578125" style="90" customWidth="1"/>
    <col min="8" max="8" width="12.28515625" style="90" customWidth="1"/>
    <col min="9" max="16384" width="9.140625" style="90"/>
  </cols>
  <sheetData>
    <row r="2" spans="1:13">
      <c r="A2" s="218" t="s">
        <v>100</v>
      </c>
      <c r="B2" s="218"/>
      <c r="C2" s="218"/>
      <c r="D2" s="218"/>
      <c r="E2" s="218"/>
      <c r="F2" s="218"/>
      <c r="G2" s="218"/>
      <c r="M2" s="90" t="s">
        <v>130</v>
      </c>
    </row>
    <row r="3" spans="1:13">
      <c r="A3" s="68" t="s">
        <v>68</v>
      </c>
      <c r="B3" s="170" t="s">
        <v>78</v>
      </c>
      <c r="C3" s="170" t="s">
        <v>8</v>
      </c>
      <c r="D3" s="173" t="s">
        <v>9</v>
      </c>
      <c r="E3" s="173" t="s">
        <v>10</v>
      </c>
      <c r="F3" s="170" t="s">
        <v>57</v>
      </c>
      <c r="G3" s="170" t="s">
        <v>79</v>
      </c>
    </row>
    <row r="4" spans="1:13" ht="15" customHeight="1">
      <c r="A4" s="177" t="s">
        <v>69</v>
      </c>
      <c r="B4" s="222" t="s">
        <v>148</v>
      </c>
      <c r="C4" s="71">
        <v>49.447921860000001</v>
      </c>
      <c r="D4" s="71">
        <v>47.073122669999997</v>
      </c>
      <c r="E4" s="71">
        <v>68.696457591420284</v>
      </c>
      <c r="F4" s="71">
        <v>55.999599775900002</v>
      </c>
      <c r="G4" s="197">
        <v>64.689494427365716</v>
      </c>
    </row>
    <row r="5" spans="1:13">
      <c r="A5" s="177" t="s">
        <v>70</v>
      </c>
      <c r="B5" s="223"/>
      <c r="C5" s="71">
        <v>97.233287410000003</v>
      </c>
      <c r="D5" s="71">
        <v>85.756576730000006</v>
      </c>
      <c r="E5" s="71">
        <v>91.847169511999994</v>
      </c>
      <c r="F5" s="71">
        <v>73.939346596500002</v>
      </c>
      <c r="G5" s="197">
        <v>114.23103074692915</v>
      </c>
    </row>
    <row r="6" spans="1:13">
      <c r="A6" s="177" t="s">
        <v>71</v>
      </c>
      <c r="B6" s="223"/>
      <c r="C6" s="71">
        <v>191.25000646999999</v>
      </c>
      <c r="D6" s="71">
        <v>197.48754559</v>
      </c>
      <c r="E6" s="71">
        <v>220.99249785340001</v>
      </c>
      <c r="F6" s="71">
        <v>175.21451544199999</v>
      </c>
      <c r="G6" s="197">
        <v>240.81638021376696</v>
      </c>
    </row>
    <row r="7" spans="1:13">
      <c r="A7" s="177"/>
      <c r="B7" s="223"/>
      <c r="C7" s="69"/>
      <c r="D7" s="69"/>
      <c r="E7" s="71"/>
      <c r="F7" s="71"/>
      <c r="G7" s="69"/>
    </row>
    <row r="8" spans="1:13">
      <c r="A8" s="177" t="s">
        <v>72</v>
      </c>
      <c r="B8" s="223"/>
      <c r="C8" s="71">
        <v>0.68003013000000001</v>
      </c>
      <c r="D8" s="71">
        <v>0.59736634</v>
      </c>
      <c r="E8" s="71">
        <v>0.82879923030000002</v>
      </c>
      <c r="F8" s="71">
        <v>0.69126710960000004</v>
      </c>
      <c r="G8" s="71">
        <v>0.7919681643904789</v>
      </c>
    </row>
    <row r="9" spans="1:13">
      <c r="A9" s="177" t="s">
        <v>73</v>
      </c>
      <c r="B9" s="223"/>
      <c r="C9" s="71">
        <v>1.2108124899999999</v>
      </c>
      <c r="D9" s="71">
        <v>0.96259782999999999</v>
      </c>
      <c r="E9" s="71">
        <v>0.99731520760000003</v>
      </c>
      <c r="F9" s="71">
        <v>0.79791329899999996</v>
      </c>
      <c r="G9" s="71">
        <v>1.0438788433661395</v>
      </c>
    </row>
    <row r="10" spans="1:13">
      <c r="A10" s="177" t="s">
        <v>74</v>
      </c>
      <c r="B10" s="223"/>
      <c r="C10" s="197">
        <v>2.2664301</v>
      </c>
      <c r="D10" s="197">
        <v>2.4597972100000001</v>
      </c>
      <c r="E10" s="71">
        <v>2.0387653110000001</v>
      </c>
      <c r="F10" s="71">
        <v>1.8125145089000001</v>
      </c>
      <c r="G10" s="197">
        <v>1.887386616464146</v>
      </c>
    </row>
    <row r="11" spans="1:13">
      <c r="A11" s="177"/>
      <c r="B11" s="223"/>
      <c r="C11" s="72"/>
      <c r="D11" s="72"/>
      <c r="E11" s="71"/>
      <c r="F11" s="71"/>
      <c r="G11" s="72"/>
    </row>
    <row r="12" spans="1:13">
      <c r="A12" s="177" t="s">
        <v>95</v>
      </c>
      <c r="B12" s="223"/>
      <c r="C12" s="197">
        <v>1.0473249899999999</v>
      </c>
      <c r="D12" s="197">
        <v>0.98404955000000005</v>
      </c>
      <c r="E12" s="71">
        <v>1.0555063390999999</v>
      </c>
      <c r="F12" s="71">
        <v>1.2510923357999999</v>
      </c>
      <c r="G12" s="71">
        <v>1.1128233499999995</v>
      </c>
    </row>
    <row r="13" spans="1:13">
      <c r="A13" s="177" t="s">
        <v>96</v>
      </c>
      <c r="B13" s="223"/>
      <c r="C13" s="197">
        <v>1.80247008</v>
      </c>
      <c r="D13" s="197">
        <v>1.7846813100000001</v>
      </c>
      <c r="E13" s="71">
        <v>1.6418328260999999</v>
      </c>
      <c r="F13" s="71">
        <v>1.5000647201999999</v>
      </c>
      <c r="G13" s="71">
        <v>1.85950711</v>
      </c>
    </row>
    <row r="14" spans="1:13">
      <c r="A14" s="177" t="s">
        <v>97</v>
      </c>
      <c r="B14" s="223"/>
      <c r="C14" s="197">
        <v>3.1707489099999999</v>
      </c>
      <c r="D14" s="197">
        <v>2.9043760500000002</v>
      </c>
      <c r="E14" s="71">
        <v>2.9081856038999998</v>
      </c>
      <c r="F14" s="71">
        <v>2.4480891066999999</v>
      </c>
      <c r="G14" s="71">
        <v>2.4581105199999991</v>
      </c>
    </row>
    <row r="15" spans="1:13">
      <c r="A15" s="177"/>
      <c r="B15" s="223"/>
      <c r="C15" s="69"/>
      <c r="D15" s="69"/>
      <c r="E15" s="71"/>
      <c r="F15" s="71"/>
      <c r="G15" s="69"/>
    </row>
    <row r="16" spans="1:13">
      <c r="A16" s="177" t="s">
        <v>137</v>
      </c>
      <c r="B16" s="223"/>
      <c r="C16" s="197">
        <v>0.8373483383154563</v>
      </c>
      <c r="D16" s="197">
        <v>0.88087101513875821</v>
      </c>
      <c r="E16" s="71">
        <v>0.8960715028060694</v>
      </c>
      <c r="F16" s="71">
        <v>0.87754988191977978</v>
      </c>
      <c r="G16" s="197">
        <v>0.88893900101477097</v>
      </c>
    </row>
    <row r="17" spans="1:11">
      <c r="C17" s="91"/>
    </row>
    <row r="19" spans="1:11">
      <c r="A19" s="218" t="s">
        <v>138</v>
      </c>
      <c r="B19" s="218"/>
      <c r="C19" s="218"/>
      <c r="D19" s="218"/>
      <c r="E19" s="218"/>
      <c r="F19" s="218"/>
      <c r="G19" s="218"/>
    </row>
    <row r="20" spans="1:11">
      <c r="A20" s="219" t="s">
        <v>139</v>
      </c>
      <c r="B20" s="219"/>
      <c r="C20" s="219"/>
      <c r="D20" s="219"/>
      <c r="E20" s="219"/>
      <c r="F20" s="219"/>
      <c r="G20" s="219"/>
    </row>
    <row r="21" spans="1:11">
      <c r="A21" s="200"/>
      <c r="B21" s="170" t="s">
        <v>78</v>
      </c>
      <c r="C21" s="170" t="s">
        <v>131</v>
      </c>
      <c r="D21" s="173" t="s">
        <v>9</v>
      </c>
      <c r="E21" s="173" t="s">
        <v>10</v>
      </c>
      <c r="F21" s="170" t="s">
        <v>57</v>
      </c>
      <c r="G21" s="170" t="s">
        <v>79</v>
      </c>
    </row>
    <row r="22" spans="1:11" ht="33.75">
      <c r="A22" s="178" t="s">
        <v>103</v>
      </c>
      <c r="B22" s="94" t="s">
        <v>149</v>
      </c>
      <c r="C22" s="73">
        <v>2.7251248805497084E-2</v>
      </c>
      <c r="D22" s="73">
        <v>2.5499999999999998E-2</v>
      </c>
      <c r="E22" s="73">
        <v>1.4323266111668308E-2</v>
      </c>
      <c r="F22" s="73">
        <v>4.38264685041765E-2</v>
      </c>
      <c r="G22" s="73">
        <v>6.5313711799654048E-3</v>
      </c>
    </row>
    <row r="23" spans="1:11">
      <c r="A23" s="168" t="s">
        <v>104</v>
      </c>
      <c r="B23" s="73"/>
      <c r="C23" s="182">
        <v>4.4999999999999998E-2</v>
      </c>
      <c r="D23" s="182">
        <v>4.4999999999999998E-2</v>
      </c>
      <c r="E23" s="182">
        <v>4.4999999999999998E-2</v>
      </c>
      <c r="F23" s="182">
        <v>4.4999999999999998E-2</v>
      </c>
      <c r="G23" s="182">
        <v>4.4999999999999998E-2</v>
      </c>
    </row>
    <row r="24" spans="1:11">
      <c r="A24" s="168" t="s">
        <v>75</v>
      </c>
      <c r="B24" s="73"/>
      <c r="C24" s="84">
        <f>IF(C22&gt;C23,C22-C23,0)</f>
        <v>0</v>
      </c>
      <c r="D24" s="84">
        <f t="shared" ref="D24:G24" si="0">IF(D22&gt;D23,D22-D23,0)</f>
        <v>0</v>
      </c>
      <c r="E24" s="84">
        <f>IF(E22&gt;E23,E22-E23,0)</f>
        <v>0</v>
      </c>
      <c r="F24" s="84">
        <f t="shared" si="0"/>
        <v>0</v>
      </c>
      <c r="G24" s="84">
        <f t="shared" si="0"/>
        <v>0</v>
      </c>
      <c r="H24" s="172">
        <f>SUM(C24:G24)</f>
        <v>0</v>
      </c>
      <c r="I24" s="91" t="s">
        <v>135</v>
      </c>
    </row>
    <row r="25" spans="1:11">
      <c r="A25" s="168"/>
      <c r="B25" s="92"/>
      <c r="C25" s="92"/>
      <c r="D25" s="92"/>
      <c r="E25" s="92"/>
      <c r="F25" s="92"/>
      <c r="G25" s="169"/>
    </row>
    <row r="26" spans="1:11">
      <c r="B26" s="170" t="s">
        <v>78</v>
      </c>
      <c r="F26" s="217" t="s">
        <v>105</v>
      </c>
      <c r="G26" s="217"/>
      <c r="H26" s="217"/>
      <c r="I26" s="217"/>
      <c r="J26" s="217"/>
      <c r="K26" s="217"/>
    </row>
    <row r="27" spans="1:11">
      <c r="A27" s="95" t="s">
        <v>109</v>
      </c>
      <c r="B27" s="94" t="s">
        <v>110</v>
      </c>
      <c r="C27" s="70"/>
      <c r="D27" s="158">
        <f>H24</f>
        <v>0</v>
      </c>
      <c r="E27" s="70"/>
      <c r="F27" s="91"/>
      <c r="G27" s="91"/>
      <c r="H27" s="91"/>
    </row>
    <row r="28" spans="1:11" ht="19.5" customHeight="1">
      <c r="A28" s="95" t="s">
        <v>112</v>
      </c>
      <c r="B28" s="224" t="s">
        <v>111</v>
      </c>
      <c r="C28" s="70"/>
      <c r="D28" s="85">
        <f>D27*0.6</f>
        <v>0</v>
      </c>
      <c r="E28" s="70"/>
    </row>
    <row r="29" spans="1:11" ht="19.5" customHeight="1">
      <c r="A29" s="95" t="s">
        <v>113</v>
      </c>
      <c r="B29" s="225"/>
      <c r="C29" s="70"/>
      <c r="D29" s="85">
        <f>D27*0.4</f>
        <v>0</v>
      </c>
      <c r="E29" s="70"/>
    </row>
    <row r="30" spans="1:11">
      <c r="A30" s="95"/>
      <c r="B30" s="96"/>
      <c r="C30" s="97"/>
      <c r="D30" s="98"/>
      <c r="E30" s="97"/>
    </row>
    <row r="31" spans="1:11">
      <c r="A31" s="201" t="s">
        <v>98</v>
      </c>
      <c r="B31" s="170" t="s">
        <v>78</v>
      </c>
      <c r="C31" s="173" t="str">
        <f>'Output | Final Decision tables'!C7</f>
        <v>Urban</v>
      </c>
      <c r="D31" s="173" t="str">
        <f>'Output | Final Decision tables'!D7</f>
        <v>Short Rural</v>
      </c>
      <c r="E31" s="170" t="str">
        <f>'Output | Final Decision tables'!E7</f>
        <v>Long Rural</v>
      </c>
    </row>
    <row r="32" spans="1:11" ht="22.5">
      <c r="A32" s="95" t="s">
        <v>76</v>
      </c>
      <c r="B32" s="94" t="s">
        <v>108</v>
      </c>
      <c r="C32" s="76">
        <v>3.0800000000000001E-2</v>
      </c>
      <c r="D32" s="76">
        <v>3.27E-2</v>
      </c>
      <c r="E32" s="76">
        <v>2.0199999999999999E-2</v>
      </c>
      <c r="F32" s="91"/>
    </row>
    <row r="33" spans="1:9">
      <c r="A33" s="95" t="s">
        <v>106</v>
      </c>
      <c r="B33" s="73"/>
      <c r="C33" s="86">
        <f>$D28*C$32/(SUM($C$32:$E$32))</f>
        <v>0</v>
      </c>
      <c r="D33" s="85">
        <f t="shared" ref="D33:E33" si="1">$D28*D$32/(SUM($C$32:$E$32))</f>
        <v>0</v>
      </c>
      <c r="E33" s="86">
        <f t="shared" si="1"/>
        <v>0</v>
      </c>
    </row>
    <row r="34" spans="1:9">
      <c r="A34" s="95" t="s">
        <v>90</v>
      </c>
      <c r="B34" s="73"/>
      <c r="C34" s="87">
        <f>(C33/C32*100)/4</f>
        <v>0</v>
      </c>
      <c r="D34" s="87">
        <f>(D33/D32*100)/4</f>
        <v>0</v>
      </c>
      <c r="E34" s="87">
        <f>(E33/E32*100)/4</f>
        <v>0</v>
      </c>
      <c r="F34" s="91" t="s">
        <v>134</v>
      </c>
      <c r="G34" s="91"/>
      <c r="H34" s="91"/>
    </row>
    <row r="35" spans="1:9">
      <c r="A35" s="95"/>
      <c r="B35" s="92"/>
      <c r="C35" s="99"/>
      <c r="D35" s="99"/>
      <c r="E35" s="99"/>
      <c r="F35" s="91"/>
      <c r="G35" s="91"/>
      <c r="H35" s="91"/>
    </row>
    <row r="36" spans="1:9">
      <c r="A36" s="201" t="s">
        <v>99</v>
      </c>
      <c r="B36" s="170" t="s">
        <v>78</v>
      </c>
      <c r="C36" s="173" t="str">
        <f>'Output | Final Decision tables'!C7</f>
        <v>Urban</v>
      </c>
      <c r="D36" s="173" t="str">
        <f>'Output | Final Decision tables'!D7</f>
        <v>Short Rural</v>
      </c>
      <c r="E36" s="170" t="str">
        <f>E31</f>
        <v>Long Rural</v>
      </c>
      <c r="F36" s="91"/>
      <c r="G36" s="91"/>
      <c r="H36" s="91"/>
    </row>
    <row r="37" spans="1:9" ht="22.5">
      <c r="A37" s="95" t="s">
        <v>77</v>
      </c>
      <c r="B37" s="94" t="s">
        <v>108</v>
      </c>
      <c r="C37" s="76">
        <v>1.7242</v>
      </c>
      <c r="D37" s="76">
        <v>1.9771000000000001</v>
      </c>
      <c r="E37" s="76">
        <v>1.6048</v>
      </c>
      <c r="F37" s="91"/>
    </row>
    <row r="38" spans="1:9">
      <c r="A38" s="95" t="s">
        <v>107</v>
      </c>
      <c r="B38" s="69"/>
      <c r="C38" s="86">
        <f>$D29*C$37/SUM($C$37:$E$37)</f>
        <v>0</v>
      </c>
      <c r="D38" s="85">
        <f t="shared" ref="D38:E38" si="2">$D29*D$37/SUM($C$37:$E$37)</f>
        <v>0</v>
      </c>
      <c r="E38" s="86">
        <f t="shared" si="2"/>
        <v>0</v>
      </c>
    </row>
    <row r="39" spans="1:9">
      <c r="A39" s="95" t="s">
        <v>91</v>
      </c>
      <c r="B39" s="69"/>
      <c r="C39" s="87">
        <f>(C38/C37*100)/4</f>
        <v>0</v>
      </c>
      <c r="D39" s="87">
        <f t="shared" ref="D39:E39" si="3">(D38/D37*100)/4</f>
        <v>0</v>
      </c>
      <c r="E39" s="87">
        <f t="shared" si="3"/>
        <v>0</v>
      </c>
      <c r="F39" s="91" t="s">
        <v>134</v>
      </c>
      <c r="G39" s="91"/>
      <c r="H39" s="91"/>
    </row>
    <row r="41" spans="1:9">
      <c r="A41" s="219" t="s">
        <v>140</v>
      </c>
      <c r="B41" s="219"/>
      <c r="C41" s="219"/>
      <c r="D41" s="219"/>
      <c r="E41" s="219"/>
      <c r="F41" s="219"/>
      <c r="G41" s="219"/>
      <c r="H41" s="219"/>
    </row>
    <row r="42" spans="1:9" s="115" customFormat="1">
      <c r="A42" s="202" t="s">
        <v>98</v>
      </c>
      <c r="B42" s="170" t="s">
        <v>78</v>
      </c>
      <c r="C42" s="202" t="s">
        <v>143</v>
      </c>
      <c r="D42" s="217" t="s">
        <v>105</v>
      </c>
      <c r="E42" s="217"/>
      <c r="F42" s="217"/>
      <c r="G42" s="217"/>
      <c r="H42" s="217"/>
    </row>
    <row r="43" spans="1:9">
      <c r="A43" s="90" t="s">
        <v>150</v>
      </c>
      <c r="B43" s="220" t="s">
        <v>144</v>
      </c>
      <c r="C43" s="211">
        <v>-0.14314501155588205</v>
      </c>
      <c r="D43" s="216" t="s">
        <v>125</v>
      </c>
      <c r="E43" s="216"/>
      <c r="F43" s="216"/>
      <c r="G43" s="216"/>
      <c r="H43" s="216"/>
      <c r="I43" s="216"/>
    </row>
    <row r="44" spans="1:9">
      <c r="A44" s="90" t="s">
        <v>151</v>
      </c>
      <c r="B44" s="221"/>
      <c r="C44" s="211">
        <v>-5.2791195302801429E-2</v>
      </c>
      <c r="D44" s="216"/>
      <c r="E44" s="216"/>
      <c r="F44" s="216"/>
      <c r="G44" s="216"/>
      <c r="H44" s="216"/>
      <c r="I44" s="216"/>
    </row>
    <row r="45" spans="1:9">
      <c r="A45" s="90" t="s">
        <v>142</v>
      </c>
      <c r="B45" s="221"/>
      <c r="C45" s="117"/>
    </row>
    <row r="46" spans="1:9">
      <c r="A46" s="204" t="s">
        <v>1</v>
      </c>
      <c r="B46" s="221"/>
      <c r="C46" s="211">
        <v>-1.32E-3</v>
      </c>
      <c r="D46" s="207" t="s">
        <v>1</v>
      </c>
    </row>
    <row r="47" spans="1:9">
      <c r="A47" s="204" t="s">
        <v>124</v>
      </c>
      <c r="B47" s="221"/>
      <c r="C47" s="211">
        <v>-2.9520000000000001E-2</v>
      </c>
      <c r="D47" s="207" t="s">
        <v>124</v>
      </c>
    </row>
    <row r="48" spans="1:9">
      <c r="A48" s="204" t="s">
        <v>125</v>
      </c>
      <c r="B48" s="221"/>
      <c r="C48" s="211">
        <v>-0.23555999999999999</v>
      </c>
      <c r="D48" s="207" t="s">
        <v>125</v>
      </c>
    </row>
    <row r="49" spans="1:9">
      <c r="B49" s="221"/>
      <c r="C49" s="117"/>
    </row>
    <row r="50" spans="1:9" s="115" customFormat="1">
      <c r="A50" s="202" t="s">
        <v>99</v>
      </c>
      <c r="B50" s="221"/>
      <c r="C50" s="212" t="s">
        <v>50</v>
      </c>
    </row>
    <row r="51" spans="1:9">
      <c r="A51" s="90" t="s">
        <v>150</v>
      </c>
      <c r="B51" s="221"/>
      <c r="C51" s="211">
        <v>-1.1883853664746054E-3</v>
      </c>
      <c r="D51" s="216" t="s">
        <v>125</v>
      </c>
      <c r="E51" s="216"/>
      <c r="F51" s="216"/>
      <c r="G51" s="216"/>
      <c r="H51" s="216"/>
      <c r="I51" s="216"/>
    </row>
    <row r="52" spans="1:9">
      <c r="A52" s="90" t="s">
        <v>151</v>
      </c>
      <c r="B52" s="221"/>
      <c r="C52" s="211">
        <v>-6.1998274538035102E-4</v>
      </c>
      <c r="D52" s="216"/>
      <c r="E52" s="216"/>
      <c r="F52" s="216"/>
      <c r="G52" s="216"/>
      <c r="H52" s="216"/>
      <c r="I52" s="216"/>
    </row>
    <row r="53" spans="1:9">
      <c r="A53" s="90" t="s">
        <v>142</v>
      </c>
      <c r="B53" s="221"/>
      <c r="C53" s="117"/>
    </row>
    <row r="54" spans="1:9">
      <c r="A54" s="204" t="s">
        <v>1</v>
      </c>
      <c r="B54" s="221"/>
      <c r="C54" s="211">
        <v>-2.0000000000000002E-5</v>
      </c>
      <c r="D54" s="207" t="s">
        <v>1</v>
      </c>
    </row>
    <row r="55" spans="1:9">
      <c r="A55" s="204" t="s">
        <v>124</v>
      </c>
      <c r="B55" s="221"/>
      <c r="C55" s="211">
        <v>-6.4000000000000005E-4</v>
      </c>
      <c r="D55" s="207" t="s">
        <v>124</v>
      </c>
    </row>
    <row r="56" spans="1:9">
      <c r="A56" s="204" t="s">
        <v>125</v>
      </c>
      <c r="B56" s="221"/>
      <c r="C56" s="211">
        <v>-4.2000000000000006E-3</v>
      </c>
      <c r="D56" s="207" t="s">
        <v>125</v>
      </c>
    </row>
    <row r="57" spans="1:9">
      <c r="B57" s="221"/>
      <c r="C57" s="117"/>
    </row>
    <row r="58" spans="1:9" s="115" customFormat="1">
      <c r="A58" s="202" t="s">
        <v>141</v>
      </c>
      <c r="B58" s="221"/>
      <c r="C58" s="212" t="s">
        <v>50</v>
      </c>
    </row>
    <row r="59" spans="1:9">
      <c r="A59" s="90" t="s">
        <v>150</v>
      </c>
      <c r="B59" s="221"/>
      <c r="C59" s="211">
        <v>2.07115114409398E-3</v>
      </c>
      <c r="D59" s="216" t="s">
        <v>125</v>
      </c>
      <c r="E59" s="216"/>
      <c r="F59" s="216"/>
      <c r="G59" s="216"/>
      <c r="H59" s="216"/>
      <c r="I59" s="216"/>
    </row>
    <row r="60" spans="1:9">
      <c r="A60" s="90" t="s">
        <v>151</v>
      </c>
      <c r="B60" s="221"/>
      <c r="C60" s="211">
        <v>1.0176407768516299E-3</v>
      </c>
      <c r="D60" s="216"/>
      <c r="E60" s="216"/>
      <c r="F60" s="216"/>
      <c r="G60" s="216"/>
      <c r="H60" s="216"/>
      <c r="I60" s="216"/>
    </row>
    <row r="61" spans="1:9">
      <c r="A61" s="90" t="s">
        <v>142</v>
      </c>
      <c r="B61" s="203"/>
      <c r="C61" s="117"/>
    </row>
    <row r="62" spans="1:9">
      <c r="A62" s="204" t="s">
        <v>1</v>
      </c>
      <c r="B62" s="203"/>
      <c r="C62" s="211">
        <v>0</v>
      </c>
      <c r="D62" s="207" t="s">
        <v>1</v>
      </c>
    </row>
    <row r="63" spans="1:9">
      <c r="A63" s="204" t="s">
        <v>124</v>
      </c>
      <c r="B63" s="203"/>
      <c r="C63" s="211">
        <v>8.0000000000000007E-5</v>
      </c>
      <c r="D63" s="207" t="s">
        <v>124</v>
      </c>
    </row>
    <row r="64" spans="1:9">
      <c r="A64" s="204" t="s">
        <v>125</v>
      </c>
      <c r="B64" s="203"/>
      <c r="C64" s="211">
        <v>3.6000000000000002E-4</v>
      </c>
      <c r="D64" s="207" t="s">
        <v>125</v>
      </c>
    </row>
    <row r="66" spans="1:8">
      <c r="A66" s="218" t="s">
        <v>101</v>
      </c>
      <c r="B66" s="218"/>
      <c r="C66" s="218"/>
      <c r="D66" s="218"/>
      <c r="E66" s="218"/>
      <c r="F66" s="218"/>
      <c r="G66" s="218"/>
    </row>
    <row r="67" spans="1:8" ht="21" customHeight="1">
      <c r="A67" s="68" t="s">
        <v>102</v>
      </c>
      <c r="B67" s="170" t="s">
        <v>78</v>
      </c>
      <c r="C67" s="174" t="s">
        <v>80</v>
      </c>
    </row>
    <row r="68" spans="1:8">
      <c r="A68" s="75" t="str">
        <f>'Output | Final Decision tables'!C7</f>
        <v>Urban</v>
      </c>
      <c r="B68" s="213" t="s">
        <v>122</v>
      </c>
      <c r="C68" s="89">
        <v>5271362.9901992371</v>
      </c>
    </row>
    <row r="69" spans="1:8">
      <c r="A69" s="75" t="str">
        <f>'Output | Final Decision tables'!D7</f>
        <v>Short Rural</v>
      </c>
      <c r="B69" s="214"/>
      <c r="C69" s="89">
        <v>4833441.5570390588</v>
      </c>
    </row>
    <row r="70" spans="1:8">
      <c r="A70" s="75" t="str">
        <f>'Output | Final Decision tables'!E7</f>
        <v>Long Rural</v>
      </c>
      <c r="B70" s="215"/>
      <c r="C70" s="89">
        <v>3227833.4113771273</v>
      </c>
    </row>
    <row r="73" spans="1:8">
      <c r="H73" s="115"/>
    </row>
    <row r="74" spans="1:8">
      <c r="H74" s="171"/>
    </row>
  </sheetData>
  <mergeCells count="14">
    <mergeCell ref="B68:B70"/>
    <mergeCell ref="D43:I44"/>
    <mergeCell ref="D51:I52"/>
    <mergeCell ref="D42:H42"/>
    <mergeCell ref="A2:G2"/>
    <mergeCell ref="A19:G19"/>
    <mergeCell ref="A66:G66"/>
    <mergeCell ref="A20:G20"/>
    <mergeCell ref="A41:H41"/>
    <mergeCell ref="B43:B60"/>
    <mergeCell ref="B4:B16"/>
    <mergeCell ref="D59:I60"/>
    <mergeCell ref="F26:K26"/>
    <mergeCell ref="B28:B29"/>
  </mergeCells>
  <phoneticPr fontId="38" type="noConversion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2:AA39"/>
  <sheetViews>
    <sheetView topLeftCell="I1" zoomScaleNormal="100" workbookViewId="0">
      <selection activeCell="T29" sqref="T29"/>
    </sheetView>
  </sheetViews>
  <sheetFormatPr defaultColWidth="9.140625" defaultRowHeight="11.25"/>
  <cols>
    <col min="1" max="1" width="5.42578125" style="43" customWidth="1"/>
    <col min="2" max="2" width="20.42578125" style="43" customWidth="1"/>
    <col min="3" max="7" width="13.5703125" style="43" customWidth="1"/>
    <col min="8" max="9" width="18" style="43" customWidth="1"/>
    <col min="10" max="10" width="3.140625" style="43" customWidth="1"/>
    <col min="11" max="11" width="20.42578125" style="43" customWidth="1"/>
    <col min="12" max="16" width="13.5703125" style="43" customWidth="1"/>
    <col min="17" max="18" width="18" style="43" customWidth="1"/>
    <col min="19" max="19" width="2.42578125" style="43" customWidth="1"/>
    <col min="20" max="20" width="20.42578125" style="43" customWidth="1"/>
    <col min="21" max="25" width="13.5703125" style="43" customWidth="1"/>
    <col min="26" max="27" width="18" style="43" customWidth="1"/>
    <col min="28" max="16384" width="9.140625" style="43"/>
  </cols>
  <sheetData>
    <row r="2" spans="2:27">
      <c r="B2" s="32" t="s">
        <v>24</v>
      </c>
      <c r="C2" s="44"/>
      <c r="D2" s="44"/>
      <c r="E2" s="44"/>
      <c r="F2" s="44"/>
      <c r="G2" s="44"/>
      <c r="H2" s="44"/>
      <c r="I2" s="44"/>
      <c r="J2" s="32"/>
      <c r="K2" s="32"/>
      <c r="L2" s="44"/>
      <c r="M2" s="44"/>
      <c r="N2" s="44"/>
      <c r="O2" s="100"/>
      <c r="P2" s="44"/>
      <c r="Q2" s="44"/>
      <c r="R2" s="44"/>
      <c r="S2" s="101"/>
      <c r="T2" s="32"/>
      <c r="U2" s="44"/>
      <c r="V2" s="44"/>
      <c r="W2" s="44"/>
      <c r="X2" s="44"/>
      <c r="Y2" s="44"/>
      <c r="Z2" s="44"/>
      <c r="AA2" s="44"/>
    </row>
    <row r="4" spans="2:27" s="33" customFormat="1">
      <c r="B4" s="45" t="s">
        <v>11</v>
      </c>
      <c r="C4" s="45"/>
      <c r="D4" s="45"/>
      <c r="E4" s="45"/>
      <c r="F4" s="45"/>
      <c r="G4" s="45"/>
      <c r="H4" s="45"/>
      <c r="I4" s="45"/>
      <c r="K4" s="45" t="s">
        <v>11</v>
      </c>
      <c r="L4" s="45"/>
      <c r="M4" s="45"/>
      <c r="N4" s="45"/>
      <c r="O4" s="45"/>
      <c r="P4" s="45"/>
      <c r="Q4" s="45"/>
      <c r="R4" s="45"/>
      <c r="T4" s="45" t="s">
        <v>11</v>
      </c>
      <c r="U4" s="45"/>
      <c r="V4" s="45"/>
      <c r="W4" s="45"/>
      <c r="X4" s="45"/>
      <c r="Y4" s="45"/>
      <c r="Z4" s="45"/>
      <c r="AA4" s="45"/>
    </row>
    <row r="6" spans="2:27" s="33" customFormat="1">
      <c r="B6" s="46" t="s">
        <v>6</v>
      </c>
      <c r="C6" s="47"/>
      <c r="K6" s="46" t="s">
        <v>7</v>
      </c>
      <c r="L6" s="48"/>
      <c r="M6" s="40"/>
      <c r="N6" s="40"/>
      <c r="O6" s="40"/>
      <c r="P6" s="40"/>
      <c r="Q6" s="40"/>
      <c r="R6" s="40"/>
      <c r="T6" s="46" t="s">
        <v>154</v>
      </c>
      <c r="U6" s="48"/>
      <c r="V6" s="40"/>
      <c r="W6" s="40"/>
      <c r="X6" s="40"/>
      <c r="Y6" s="40"/>
      <c r="Z6" s="40"/>
      <c r="AA6" s="40"/>
    </row>
    <row r="7" spans="2:27" s="33" customFormat="1">
      <c r="B7" s="49" t="s">
        <v>0</v>
      </c>
      <c r="C7" s="50" t="s">
        <v>8</v>
      </c>
      <c r="D7" s="50" t="s">
        <v>9</v>
      </c>
      <c r="E7" s="50" t="s">
        <v>10</v>
      </c>
      <c r="F7" s="50" t="s">
        <v>57</v>
      </c>
      <c r="G7" s="50" t="s">
        <v>79</v>
      </c>
      <c r="H7" s="50" t="s">
        <v>12</v>
      </c>
      <c r="I7" s="50" t="s">
        <v>13</v>
      </c>
      <c r="K7" s="52" t="s">
        <v>0</v>
      </c>
      <c r="L7" s="50" t="s">
        <v>8</v>
      </c>
      <c r="M7" s="50" t="s">
        <v>9</v>
      </c>
      <c r="N7" s="50" t="s">
        <v>10</v>
      </c>
      <c r="O7" s="50" t="s">
        <v>57</v>
      </c>
      <c r="P7" s="50" t="s">
        <v>79</v>
      </c>
      <c r="Q7" s="50" t="s">
        <v>12</v>
      </c>
      <c r="R7" s="50" t="s">
        <v>13</v>
      </c>
      <c r="T7" s="52" t="s">
        <v>0</v>
      </c>
      <c r="U7" s="50" t="s">
        <v>8</v>
      </c>
      <c r="V7" s="50" t="s">
        <v>9</v>
      </c>
      <c r="W7" s="50" t="s">
        <v>10</v>
      </c>
      <c r="X7" s="50" t="s">
        <v>57</v>
      </c>
      <c r="Y7" s="50" t="s">
        <v>79</v>
      </c>
      <c r="Z7" s="50" t="s">
        <v>12</v>
      </c>
      <c r="AA7" s="50" t="s">
        <v>13</v>
      </c>
    </row>
    <row r="8" spans="2:27" s="33" customFormat="1">
      <c r="B8" s="34" t="str">
        <f>'Output | Final Decision tables'!C7</f>
        <v>Urban</v>
      </c>
      <c r="C8" s="167">
        <f>'Target adjustments'!C8</f>
        <v>0.68003013000000001</v>
      </c>
      <c r="D8" s="167">
        <f>'Target adjustments'!D8</f>
        <v>0.59736634</v>
      </c>
      <c r="E8" s="167">
        <f>'Target adjustments'!E8</f>
        <v>0.82879923030000002</v>
      </c>
      <c r="F8" s="167">
        <f>'Target adjustments'!F8</f>
        <v>0.69126710960000004</v>
      </c>
      <c r="G8" s="167">
        <f>'Target adjustments'!G8</f>
        <v>0.7919681643904789</v>
      </c>
      <c r="H8" s="77">
        <f>AVERAGE(C8:F8)</f>
        <v>0.69936570247499996</v>
      </c>
      <c r="I8" s="77">
        <f>AVERAGE($C8:$G8)</f>
        <v>0.71788619485809568</v>
      </c>
      <c r="K8" s="34" t="str">
        <f>B8</f>
        <v>Urban</v>
      </c>
      <c r="L8" s="167">
        <f>'Target adjustments'!C4</f>
        <v>49.447921860000001</v>
      </c>
      <c r="M8" s="167">
        <f>'Target adjustments'!D4</f>
        <v>47.073122669999997</v>
      </c>
      <c r="N8" s="167">
        <f>'Target adjustments'!E4</f>
        <v>68.696457591420284</v>
      </c>
      <c r="O8" s="167">
        <f>'Target adjustments'!F4</f>
        <v>55.999599775900002</v>
      </c>
      <c r="P8" s="167">
        <f>'Target adjustments'!G4</f>
        <v>64.689494427365716</v>
      </c>
      <c r="Q8" s="77">
        <f>AVERAGE(L8:O8)</f>
        <v>55.304275474330076</v>
      </c>
      <c r="R8" s="77">
        <f>AVERAGE($L8:P8)</f>
        <v>57.181319264937201</v>
      </c>
      <c r="T8" s="194" t="str">
        <f>K8</f>
        <v>Urban</v>
      </c>
      <c r="U8" s="167">
        <f>'Target adjustments'!C12</f>
        <v>1.0473249899999999</v>
      </c>
      <c r="V8" s="167">
        <f>'Target adjustments'!D12</f>
        <v>0.98404955000000005</v>
      </c>
      <c r="W8" s="167">
        <f>'Target adjustments'!E12</f>
        <v>1.0555063390999999</v>
      </c>
      <c r="X8" s="167">
        <f>'Target adjustments'!F12</f>
        <v>1.2510923357999999</v>
      </c>
      <c r="Y8" s="167">
        <f>'Target adjustments'!G12</f>
        <v>1.1128233499999995</v>
      </c>
      <c r="Z8" s="77">
        <f>AVERAGE(U8:X8)</f>
        <v>1.084493303725</v>
      </c>
      <c r="AA8" s="77">
        <f>AVERAGE(U8:Y8)</f>
        <v>1.0901593129799998</v>
      </c>
    </row>
    <row r="9" spans="2:27" s="33" customFormat="1">
      <c r="B9" s="34" t="str">
        <f>'Output | Final Decision tables'!D7</f>
        <v>Short Rural</v>
      </c>
      <c r="C9" s="167">
        <f>'Target adjustments'!C9</f>
        <v>1.2108124899999999</v>
      </c>
      <c r="D9" s="167">
        <f>'Target adjustments'!D9</f>
        <v>0.96259782999999999</v>
      </c>
      <c r="E9" s="167">
        <f>'Target adjustments'!E9</f>
        <v>0.99731520760000003</v>
      </c>
      <c r="F9" s="167">
        <f>'Target adjustments'!F9</f>
        <v>0.79791329899999996</v>
      </c>
      <c r="G9" s="167">
        <f>'Target adjustments'!G9</f>
        <v>1.0438788433661395</v>
      </c>
      <c r="H9" s="77">
        <f>AVERAGE(C9:F9)</f>
        <v>0.99215970665000008</v>
      </c>
      <c r="I9" s="77">
        <f>AVERAGE($C9:$G9)</f>
        <v>1.002503533993228</v>
      </c>
      <c r="K9" s="34" t="str">
        <f t="shared" ref="K9:K10" si="0">B9</f>
        <v>Short Rural</v>
      </c>
      <c r="L9" s="167">
        <f>'Target adjustments'!C5</f>
        <v>97.233287410000003</v>
      </c>
      <c r="M9" s="167">
        <f>'Target adjustments'!D5</f>
        <v>85.756576730000006</v>
      </c>
      <c r="N9" s="167">
        <f>'Target adjustments'!E5</f>
        <v>91.847169511999994</v>
      </c>
      <c r="O9" s="167">
        <f>'Target adjustments'!F5</f>
        <v>73.939346596500002</v>
      </c>
      <c r="P9" s="167">
        <f>'Target adjustments'!G5</f>
        <v>114.23103074692915</v>
      </c>
      <c r="Q9" s="77">
        <f>AVERAGE(L9:O9)</f>
        <v>87.194095062125001</v>
      </c>
      <c r="R9" s="77">
        <f>AVERAGE($L9:P9)</f>
        <v>92.601482199085837</v>
      </c>
      <c r="T9" s="194" t="str">
        <f t="shared" ref="T9:T10" si="1">K9</f>
        <v>Short Rural</v>
      </c>
      <c r="U9" s="167">
        <f>'Target adjustments'!C13</f>
        <v>1.80247008</v>
      </c>
      <c r="V9" s="167">
        <f>'Target adjustments'!D13</f>
        <v>1.7846813100000001</v>
      </c>
      <c r="W9" s="167">
        <f>'Target adjustments'!E13</f>
        <v>1.6418328260999999</v>
      </c>
      <c r="X9" s="167">
        <f>'Target adjustments'!F13</f>
        <v>1.5000647201999999</v>
      </c>
      <c r="Y9" s="167">
        <f>'Target adjustments'!G13</f>
        <v>1.85950711</v>
      </c>
      <c r="Z9" s="77">
        <f>AVERAGE(U9:X9)</f>
        <v>1.682262234075</v>
      </c>
      <c r="AA9" s="77">
        <f>AVERAGE(U9:Y9)</f>
        <v>1.7177112092599998</v>
      </c>
    </row>
    <row r="10" spans="2:27" s="33" customFormat="1">
      <c r="B10" s="34" t="str">
        <f>'Output | Final Decision tables'!E7</f>
        <v>Long Rural</v>
      </c>
      <c r="C10" s="167">
        <f>'Target adjustments'!C10</f>
        <v>2.2664301</v>
      </c>
      <c r="D10" s="167">
        <f>'Target adjustments'!D10</f>
        <v>2.4597972100000001</v>
      </c>
      <c r="E10" s="167">
        <f>'Target adjustments'!E10</f>
        <v>2.0387653110000001</v>
      </c>
      <c r="F10" s="167">
        <f>'Target adjustments'!F10</f>
        <v>1.8125145089000001</v>
      </c>
      <c r="G10" s="167">
        <f>'Target adjustments'!G10</f>
        <v>1.887386616464146</v>
      </c>
      <c r="H10" s="77">
        <f>AVERAGE(C10:F10)</f>
        <v>2.1443767824750002</v>
      </c>
      <c r="I10" s="77">
        <f>AVERAGE($C10:$G10)</f>
        <v>2.0929787492728296</v>
      </c>
      <c r="K10" s="34" t="str">
        <f t="shared" si="0"/>
        <v>Long Rural</v>
      </c>
      <c r="L10" s="167">
        <f>'Target adjustments'!C6</f>
        <v>191.25000646999999</v>
      </c>
      <c r="M10" s="167">
        <f>'Target adjustments'!D6</f>
        <v>197.48754559</v>
      </c>
      <c r="N10" s="167">
        <f>'Target adjustments'!E6</f>
        <v>220.99249785340001</v>
      </c>
      <c r="O10" s="167">
        <f>'Target adjustments'!F6</f>
        <v>175.21451544199999</v>
      </c>
      <c r="P10" s="167">
        <f>'Target adjustments'!G6</f>
        <v>240.81638021376696</v>
      </c>
      <c r="Q10" s="77">
        <f>AVERAGE(L10:O10)</f>
        <v>196.23614133884999</v>
      </c>
      <c r="R10" s="77">
        <f>AVERAGE($L10:P10)</f>
        <v>205.1521891138334</v>
      </c>
      <c r="T10" s="194" t="str">
        <f t="shared" si="1"/>
        <v>Long Rural</v>
      </c>
      <c r="U10" s="167">
        <f>'Target adjustments'!C14</f>
        <v>3.1707489099999999</v>
      </c>
      <c r="V10" s="167">
        <f>'Target adjustments'!D14</f>
        <v>2.9043760500000002</v>
      </c>
      <c r="W10" s="167">
        <f>'Target adjustments'!E14</f>
        <v>2.9081856038999998</v>
      </c>
      <c r="X10" s="167">
        <f>'Target adjustments'!F14</f>
        <v>2.4480891066999999</v>
      </c>
      <c r="Y10" s="167">
        <f>'Target adjustments'!G14</f>
        <v>2.4581105199999991</v>
      </c>
      <c r="Z10" s="77">
        <f>AVERAGE(U10:X10)</f>
        <v>2.8578499176499998</v>
      </c>
      <c r="AA10" s="77">
        <f>AVERAGE(U10:Y10)</f>
        <v>2.7779020381199997</v>
      </c>
    </row>
    <row r="11" spans="2:27" s="33" customFormat="1">
      <c r="B11" s="34" t="s">
        <v>127</v>
      </c>
      <c r="C11" s="102">
        <f>'Target adjustments'!C16</f>
        <v>0.8373483383154563</v>
      </c>
      <c r="D11" s="102">
        <f>'Target adjustments'!D16</f>
        <v>0.88087101513875821</v>
      </c>
      <c r="E11" s="102">
        <f>'Target adjustments'!E16</f>
        <v>0.8960715028060694</v>
      </c>
      <c r="F11" s="102">
        <f>'Target adjustments'!F16</f>
        <v>0.87754988191977978</v>
      </c>
      <c r="G11" s="102">
        <f>'Target adjustments'!G16</f>
        <v>0.88893900101477097</v>
      </c>
      <c r="H11" s="77">
        <f>AVERAGE(C11:F11)</f>
        <v>0.87296018454501589</v>
      </c>
      <c r="I11" s="77">
        <f>AVERAGE($C11:$G11)</f>
        <v>0.87615594783896689</v>
      </c>
      <c r="K11" s="34"/>
      <c r="L11" s="102"/>
      <c r="M11" s="102"/>
      <c r="N11" s="102"/>
      <c r="O11" s="102"/>
      <c r="P11" s="102"/>
      <c r="Q11" s="77"/>
      <c r="R11" s="77"/>
      <c r="T11" s="194"/>
      <c r="U11" s="102"/>
      <c r="V11" s="102"/>
      <c r="W11" s="102"/>
      <c r="X11" s="102"/>
      <c r="Y11" s="102"/>
      <c r="Z11" s="77"/>
      <c r="AA11" s="77"/>
    </row>
    <row r="12" spans="2:27">
      <c r="B12" s="53"/>
      <c r="C12" s="54"/>
      <c r="D12" s="54"/>
      <c r="E12" s="54"/>
      <c r="F12" s="54"/>
      <c r="G12" s="54"/>
      <c r="H12" s="54"/>
      <c r="I12" s="74"/>
      <c r="K12" s="53"/>
      <c r="L12" s="54"/>
      <c r="M12" s="54"/>
      <c r="N12" s="54"/>
      <c r="O12" s="54"/>
      <c r="P12" s="54"/>
      <c r="Q12" s="54"/>
      <c r="R12" s="54"/>
      <c r="T12" s="53"/>
      <c r="U12" s="54"/>
      <c r="V12" s="54"/>
      <c r="W12" s="54"/>
      <c r="X12" s="54"/>
      <c r="Y12" s="54"/>
      <c r="Z12" s="54"/>
      <c r="AA12" s="54"/>
    </row>
    <row r="13" spans="2:27">
      <c r="C13" s="55"/>
      <c r="L13" s="55"/>
      <c r="U13" s="55"/>
    </row>
    <row r="15" spans="2:27" s="33" customFormat="1">
      <c r="B15" s="45" t="s">
        <v>51</v>
      </c>
      <c r="C15" s="45"/>
      <c r="D15" s="45"/>
      <c r="E15" s="45"/>
      <c r="F15" s="45"/>
      <c r="G15" s="45"/>
      <c r="H15" s="45"/>
      <c r="I15" s="45"/>
      <c r="K15" s="45" t="s">
        <v>51</v>
      </c>
      <c r="L15" s="45"/>
      <c r="M15" s="45"/>
      <c r="N15" s="45"/>
      <c r="O15" s="45"/>
      <c r="P15" s="45"/>
      <c r="Q15" s="45"/>
      <c r="R15" s="45"/>
      <c r="T15" s="45" t="s">
        <v>51</v>
      </c>
      <c r="U15" s="45"/>
      <c r="V15" s="45"/>
      <c r="W15" s="45"/>
      <c r="X15" s="45"/>
      <c r="Y15" s="45"/>
      <c r="Z15" s="45"/>
      <c r="AA15" s="45"/>
    </row>
    <row r="17" spans="2:27" s="33" customFormat="1">
      <c r="B17" s="46" t="s">
        <v>6</v>
      </c>
      <c r="K17" s="46" t="s">
        <v>7</v>
      </c>
      <c r="L17" s="40"/>
      <c r="M17" s="40"/>
      <c r="N17" s="40"/>
      <c r="O17" s="40"/>
      <c r="P17" s="40"/>
      <c r="Q17" s="40"/>
      <c r="R17" s="40"/>
      <c r="T17" s="46" t="str">
        <f>T6</f>
        <v>MAIFI / MAIFIe</v>
      </c>
      <c r="U17" s="40"/>
      <c r="V17" s="40"/>
      <c r="W17" s="40"/>
      <c r="X17" s="40"/>
      <c r="Y17" s="40"/>
      <c r="Z17" s="40"/>
      <c r="AA17" s="40"/>
    </row>
    <row r="18" spans="2:27" s="33" customFormat="1">
      <c r="B18" s="49" t="s">
        <v>0</v>
      </c>
      <c r="C18" s="50"/>
      <c r="D18" s="50"/>
      <c r="E18" s="50"/>
      <c r="F18" s="50"/>
      <c r="G18" s="50"/>
      <c r="H18" s="50" t="s">
        <v>12</v>
      </c>
      <c r="I18" s="50" t="s">
        <v>13</v>
      </c>
      <c r="K18" s="52" t="s">
        <v>0</v>
      </c>
      <c r="L18" s="50"/>
      <c r="M18" s="50"/>
      <c r="N18" s="50"/>
      <c r="O18" s="50"/>
      <c r="P18" s="50"/>
      <c r="Q18" s="50" t="s">
        <v>12</v>
      </c>
      <c r="R18" s="50" t="s">
        <v>13</v>
      </c>
      <c r="T18" s="52" t="s">
        <v>0</v>
      </c>
      <c r="U18" s="50"/>
      <c r="V18" s="50"/>
      <c r="W18" s="50"/>
      <c r="X18" s="50"/>
      <c r="Y18" s="50"/>
      <c r="Z18" s="50" t="s">
        <v>12</v>
      </c>
      <c r="AA18" s="50" t="s">
        <v>13</v>
      </c>
    </row>
    <row r="19" spans="2:27" s="33" customFormat="1">
      <c r="B19" s="34" t="str">
        <f>B8</f>
        <v>Urban</v>
      </c>
      <c r="C19" s="205"/>
      <c r="D19" s="205"/>
      <c r="E19" s="205"/>
      <c r="F19" s="205"/>
      <c r="G19" s="205"/>
      <c r="H19" s="77">
        <v>0</v>
      </c>
      <c r="I19" s="77">
        <f>'Target adjustments'!C54+'Target adjustments'!C39</f>
        <v>-2.0000000000000002E-5</v>
      </c>
      <c r="K19" s="34" t="str">
        <f>K8</f>
        <v>Urban</v>
      </c>
      <c r="L19" s="205"/>
      <c r="M19" s="205"/>
      <c r="N19" s="205"/>
      <c r="O19" s="205"/>
      <c r="P19" s="205"/>
      <c r="Q19" s="77">
        <v>0</v>
      </c>
      <c r="R19" s="77">
        <f>'Target adjustments'!C46+'Target adjustments'!C34</f>
        <v>-1.32E-3</v>
      </c>
      <c r="T19" s="194" t="str">
        <f>T8</f>
        <v>Urban</v>
      </c>
      <c r="U19" s="205"/>
      <c r="V19" s="205"/>
      <c r="W19" s="205"/>
      <c r="X19" s="205"/>
      <c r="Y19" s="205"/>
      <c r="Z19" s="77">
        <v>0</v>
      </c>
      <c r="AA19" s="77">
        <f>'Target adjustments'!C62</f>
        <v>0</v>
      </c>
    </row>
    <row r="20" spans="2:27" s="33" customFormat="1">
      <c r="B20" s="34" t="str">
        <f>B9</f>
        <v>Short Rural</v>
      </c>
      <c r="C20" s="205"/>
      <c r="D20" s="205"/>
      <c r="E20" s="205"/>
      <c r="F20" s="205"/>
      <c r="G20" s="205"/>
      <c r="H20" s="77">
        <v>0</v>
      </c>
      <c r="I20" s="77">
        <f>'Target adjustments'!C55+'Target adjustments'!D39</f>
        <v>-6.4000000000000005E-4</v>
      </c>
      <c r="K20" s="34" t="str">
        <f t="shared" ref="K20:K21" si="2">K9</f>
        <v>Short Rural</v>
      </c>
      <c r="L20" s="205"/>
      <c r="M20" s="205"/>
      <c r="N20" s="205"/>
      <c r="O20" s="205"/>
      <c r="P20" s="205"/>
      <c r="Q20" s="77">
        <v>0</v>
      </c>
      <c r="R20" s="77">
        <f>'Target adjustments'!C47+'Target adjustments'!D34</f>
        <v>-2.9520000000000001E-2</v>
      </c>
      <c r="T20" s="194" t="str">
        <f t="shared" ref="T20:T21" si="3">T9</f>
        <v>Short Rural</v>
      </c>
      <c r="U20" s="205"/>
      <c r="V20" s="205"/>
      <c r="W20" s="205"/>
      <c r="X20" s="205"/>
      <c r="Y20" s="205"/>
      <c r="Z20" s="77">
        <v>0</v>
      </c>
      <c r="AA20" s="77">
        <f>'Target adjustments'!C63</f>
        <v>8.0000000000000007E-5</v>
      </c>
    </row>
    <row r="21" spans="2:27" s="33" customFormat="1">
      <c r="B21" s="34" t="str">
        <f>B10</f>
        <v>Long Rural</v>
      </c>
      <c r="C21" s="205"/>
      <c r="D21" s="205"/>
      <c r="E21" s="205"/>
      <c r="F21" s="205"/>
      <c r="G21" s="205"/>
      <c r="H21" s="77">
        <v>0</v>
      </c>
      <c r="I21" s="77">
        <f>SUM('Target adjustments'!C56,'Target adjustments'!C51:C52)+'Target adjustments'!E39</f>
        <v>-6.0083681118549568E-3</v>
      </c>
      <c r="K21" s="34" t="str">
        <f t="shared" si="2"/>
        <v>Long Rural</v>
      </c>
      <c r="L21" s="205"/>
      <c r="M21" s="205"/>
      <c r="N21" s="205"/>
      <c r="O21" s="205"/>
      <c r="P21" s="205"/>
      <c r="Q21" s="77">
        <v>0</v>
      </c>
      <c r="R21" s="77">
        <f>SUM('Target adjustments'!C48,'Target adjustments'!C43:C44)+'Target adjustments'!E34</f>
        <v>-0.43149620685868345</v>
      </c>
      <c r="T21" s="194" t="str">
        <f t="shared" si="3"/>
        <v>Long Rural</v>
      </c>
      <c r="U21" s="205"/>
      <c r="V21" s="205"/>
      <c r="W21" s="205"/>
      <c r="X21" s="205"/>
      <c r="Y21" s="205"/>
      <c r="Z21" s="77">
        <v>0</v>
      </c>
      <c r="AA21" s="77">
        <f>SUM('Target adjustments'!C59:C60,'Target adjustments'!C64)</f>
        <v>3.4487919209456102E-3</v>
      </c>
    </row>
    <row r="22" spans="2:27" s="33" customFormat="1">
      <c r="B22" s="34" t="s">
        <v>127</v>
      </c>
      <c r="C22" s="206"/>
      <c r="D22" s="206"/>
      <c r="E22" s="206"/>
      <c r="F22" s="206"/>
      <c r="G22" s="206"/>
      <c r="H22" s="77">
        <v>0</v>
      </c>
      <c r="I22" s="77">
        <v>0</v>
      </c>
      <c r="K22" s="34"/>
      <c r="L22" s="206"/>
      <c r="M22" s="206"/>
      <c r="N22" s="206"/>
      <c r="O22" s="206"/>
      <c r="P22" s="206"/>
      <c r="Q22" s="77"/>
      <c r="R22" s="77"/>
      <c r="T22" s="194"/>
      <c r="U22" s="206"/>
      <c r="V22" s="206"/>
      <c r="W22" s="206"/>
      <c r="X22" s="206"/>
      <c r="Y22" s="206"/>
      <c r="Z22" s="77"/>
      <c r="AA22" s="77"/>
    </row>
    <row r="23" spans="2:27">
      <c r="B23" s="53"/>
      <c r="C23" s="54"/>
      <c r="D23" s="54"/>
      <c r="E23" s="54"/>
      <c r="F23" s="54"/>
      <c r="G23" s="54"/>
      <c r="H23" s="54"/>
      <c r="I23" s="54"/>
      <c r="K23" s="53"/>
      <c r="L23" s="54"/>
      <c r="M23" s="54"/>
      <c r="N23" s="54"/>
      <c r="O23" s="54"/>
      <c r="P23" s="54"/>
      <c r="Q23" s="54"/>
      <c r="R23" s="54"/>
      <c r="T23" s="53"/>
      <c r="U23" s="54"/>
      <c r="V23" s="54"/>
      <c r="W23" s="54"/>
      <c r="X23" s="54"/>
      <c r="Y23" s="54"/>
      <c r="Z23" s="54"/>
      <c r="AA23" s="54"/>
    </row>
    <row r="26" spans="2:27" s="33" customFormat="1">
      <c r="B26" s="45" t="s">
        <v>14</v>
      </c>
      <c r="C26" s="45"/>
      <c r="D26" s="45"/>
      <c r="E26" s="45"/>
      <c r="F26" s="45"/>
      <c r="G26" s="45"/>
      <c r="H26" s="45"/>
      <c r="I26" s="45"/>
      <c r="K26" s="45" t="s">
        <v>14</v>
      </c>
      <c r="L26" s="45"/>
      <c r="M26" s="45"/>
      <c r="N26" s="45"/>
      <c r="O26" s="45"/>
      <c r="P26" s="45"/>
      <c r="Q26" s="45"/>
      <c r="R26" s="45"/>
      <c r="T26" s="45" t="s">
        <v>14</v>
      </c>
      <c r="U26" s="45"/>
      <c r="V26" s="45"/>
      <c r="W26" s="45"/>
      <c r="X26" s="45"/>
      <c r="Y26" s="45"/>
      <c r="Z26" s="45"/>
      <c r="AA26" s="45"/>
    </row>
    <row r="28" spans="2:27" s="33" customFormat="1">
      <c r="B28" s="46" t="s">
        <v>6</v>
      </c>
      <c r="K28" s="46" t="s">
        <v>7</v>
      </c>
      <c r="L28" s="40"/>
      <c r="M28" s="40"/>
      <c r="N28" s="40"/>
      <c r="O28" s="40"/>
      <c r="P28" s="40"/>
      <c r="Q28" s="40"/>
      <c r="R28" s="40"/>
      <c r="T28" s="46" t="str">
        <f>T17</f>
        <v>MAIFI / MAIFIe</v>
      </c>
      <c r="U28" s="40"/>
      <c r="V28" s="40"/>
      <c r="W28" s="40"/>
      <c r="X28" s="40"/>
      <c r="Y28" s="40"/>
      <c r="Z28" s="40"/>
      <c r="AA28" s="40"/>
    </row>
    <row r="29" spans="2:27" s="33" customFormat="1">
      <c r="B29" s="49" t="s">
        <v>0</v>
      </c>
      <c r="C29" s="50" t="s">
        <v>8</v>
      </c>
      <c r="D29" s="50" t="s">
        <v>9</v>
      </c>
      <c r="E29" s="50" t="s">
        <v>10</v>
      </c>
      <c r="F29" s="50" t="s">
        <v>57</v>
      </c>
      <c r="G29" s="50" t="s">
        <v>79</v>
      </c>
      <c r="H29" s="50" t="s">
        <v>12</v>
      </c>
      <c r="I29" s="50" t="s">
        <v>13</v>
      </c>
      <c r="K29" s="52" t="s">
        <v>0</v>
      </c>
      <c r="L29" s="50" t="s">
        <v>8</v>
      </c>
      <c r="M29" s="50" t="s">
        <v>9</v>
      </c>
      <c r="N29" s="50" t="s">
        <v>10</v>
      </c>
      <c r="O29" s="50" t="s">
        <v>57</v>
      </c>
      <c r="P29" s="50" t="s">
        <v>79</v>
      </c>
      <c r="Q29" s="50" t="s">
        <v>12</v>
      </c>
      <c r="R29" s="50" t="s">
        <v>13</v>
      </c>
      <c r="T29" s="52" t="s">
        <v>0</v>
      </c>
      <c r="U29" s="50" t="s">
        <v>8</v>
      </c>
      <c r="V29" s="50" t="s">
        <v>9</v>
      </c>
      <c r="W29" s="50" t="s">
        <v>10</v>
      </c>
      <c r="X29" s="50" t="s">
        <v>57</v>
      </c>
      <c r="Y29" s="50" t="s">
        <v>79</v>
      </c>
      <c r="Z29" s="50" t="s">
        <v>12</v>
      </c>
      <c r="AA29" s="50" t="s">
        <v>13</v>
      </c>
    </row>
    <row r="30" spans="2:27" s="33" customFormat="1">
      <c r="B30" s="34" t="str">
        <f>B19</f>
        <v>Urban</v>
      </c>
      <c r="C30" s="102">
        <f>C8+C19</f>
        <v>0.68003013000000001</v>
      </c>
      <c r="D30" s="102">
        <f t="shared" ref="D30:F30" si="4">D8+D19</f>
        <v>0.59736634</v>
      </c>
      <c r="E30" s="102">
        <f t="shared" si="4"/>
        <v>0.82879923030000002</v>
      </c>
      <c r="F30" s="102">
        <f t="shared" si="4"/>
        <v>0.69126710960000004</v>
      </c>
      <c r="G30" s="102">
        <f t="shared" ref="G30" si="5">G8+G19</f>
        <v>0.7919681643904789</v>
      </c>
      <c r="H30" s="77">
        <f>AVERAGE(C30:F30)+H19</f>
        <v>0.69936570247499996</v>
      </c>
      <c r="I30" s="77">
        <f>AVERAGE($C30:$G30)+I19</f>
        <v>0.71786619485809566</v>
      </c>
      <c r="K30" s="34" t="str">
        <f>K19</f>
        <v>Urban</v>
      </c>
      <c r="L30" s="102">
        <f t="shared" ref="L30:O30" si="6">L8+L19</f>
        <v>49.447921860000001</v>
      </c>
      <c r="M30" s="102">
        <f t="shared" si="6"/>
        <v>47.073122669999997</v>
      </c>
      <c r="N30" s="102">
        <f t="shared" si="6"/>
        <v>68.696457591420284</v>
      </c>
      <c r="O30" s="102">
        <f t="shared" si="6"/>
        <v>55.999599775900002</v>
      </c>
      <c r="P30" s="102">
        <f t="shared" ref="P30" si="7">P8+P19</f>
        <v>64.689494427365716</v>
      </c>
      <c r="Q30" s="77">
        <f>AVERAGE(L30:O30)+Q19</f>
        <v>55.304275474330076</v>
      </c>
      <c r="R30" s="77">
        <f>AVERAGE($L30:P30)+R19</f>
        <v>57.179999264937202</v>
      </c>
      <c r="T30" s="194" t="str">
        <f>T19</f>
        <v>Urban</v>
      </c>
      <c r="U30" s="102">
        <f t="shared" ref="U30:X30" si="8">U8+U19</f>
        <v>1.0473249899999999</v>
      </c>
      <c r="V30" s="102">
        <f t="shared" si="8"/>
        <v>0.98404955000000005</v>
      </c>
      <c r="W30" s="102">
        <f t="shared" si="8"/>
        <v>1.0555063390999999</v>
      </c>
      <c r="X30" s="102">
        <f t="shared" si="8"/>
        <v>1.2510923357999999</v>
      </c>
      <c r="Y30" s="102">
        <f t="shared" ref="Y30" si="9">Y8+Y19</f>
        <v>1.1128233499999995</v>
      </c>
      <c r="Z30" s="77">
        <f>AVERAGE(U30:X30)+Z19</f>
        <v>1.084493303725</v>
      </c>
      <c r="AA30" s="77">
        <f>AVERAGE(U30:Y30)+AA19</f>
        <v>1.0901593129799998</v>
      </c>
    </row>
    <row r="31" spans="2:27" s="33" customFormat="1">
      <c r="B31" s="34" t="str">
        <f>B20</f>
        <v>Short Rural</v>
      </c>
      <c r="C31" s="102">
        <f t="shared" ref="C31:F31" si="10">C9+C20</f>
        <v>1.2108124899999999</v>
      </c>
      <c r="D31" s="102">
        <f t="shared" si="10"/>
        <v>0.96259782999999999</v>
      </c>
      <c r="E31" s="102">
        <f t="shared" si="10"/>
        <v>0.99731520760000003</v>
      </c>
      <c r="F31" s="102">
        <f t="shared" si="10"/>
        <v>0.79791329899999996</v>
      </c>
      <c r="G31" s="102">
        <f t="shared" ref="G31" si="11">G9+G20</f>
        <v>1.0438788433661395</v>
      </c>
      <c r="H31" s="77">
        <f t="shared" ref="H31:H33" si="12">AVERAGE(C31:F31)+H20</f>
        <v>0.99215970665000008</v>
      </c>
      <c r="I31" s="77">
        <f t="shared" ref="I31:I33" si="13">AVERAGE($C31:$G31)+I20</f>
        <v>1.001863533993228</v>
      </c>
      <c r="K31" s="34" t="str">
        <f t="shared" ref="K31:K32" si="14">K20</f>
        <v>Short Rural</v>
      </c>
      <c r="L31" s="102">
        <f t="shared" ref="L31:O31" si="15">L9+L20</f>
        <v>97.233287410000003</v>
      </c>
      <c r="M31" s="102">
        <f t="shared" si="15"/>
        <v>85.756576730000006</v>
      </c>
      <c r="N31" s="102">
        <f t="shared" si="15"/>
        <v>91.847169511999994</v>
      </c>
      <c r="O31" s="102">
        <f t="shared" si="15"/>
        <v>73.939346596500002</v>
      </c>
      <c r="P31" s="102">
        <f t="shared" ref="P31" si="16">P9+P20</f>
        <v>114.23103074692915</v>
      </c>
      <c r="Q31" s="77">
        <f t="shared" ref="Q31:Q32" si="17">AVERAGE(L31:O31)+Q20</f>
        <v>87.194095062125001</v>
      </c>
      <c r="R31" s="77">
        <f>AVERAGE($L31:P31)+R20</f>
        <v>92.571962199085831</v>
      </c>
      <c r="T31" s="194" t="str">
        <f t="shared" ref="T31:T32" si="18">T20</f>
        <v>Short Rural</v>
      </c>
      <c r="U31" s="102">
        <f t="shared" ref="U31:X31" si="19">U9+U20</f>
        <v>1.80247008</v>
      </c>
      <c r="V31" s="102">
        <f t="shared" si="19"/>
        <v>1.7846813100000001</v>
      </c>
      <c r="W31" s="102">
        <f t="shared" si="19"/>
        <v>1.6418328260999999</v>
      </c>
      <c r="X31" s="102">
        <f t="shared" si="19"/>
        <v>1.5000647201999999</v>
      </c>
      <c r="Y31" s="102">
        <f t="shared" ref="Y31" si="20">Y9+Y20</f>
        <v>1.85950711</v>
      </c>
      <c r="Z31" s="77">
        <f t="shared" ref="Z31:Z32" si="21">AVERAGE(U31:X31)+Z20</f>
        <v>1.682262234075</v>
      </c>
      <c r="AA31" s="77">
        <f t="shared" ref="AA31:AA32" si="22">AVERAGE(U31:Y31)+AA20</f>
        <v>1.7177912092599998</v>
      </c>
    </row>
    <row r="32" spans="2:27" s="33" customFormat="1">
      <c r="B32" s="34" t="str">
        <f>B21</f>
        <v>Long Rural</v>
      </c>
      <c r="C32" s="102">
        <f t="shared" ref="C32:F32" si="23">C10+C21</f>
        <v>2.2664301</v>
      </c>
      <c r="D32" s="102">
        <f t="shared" si="23"/>
        <v>2.4597972100000001</v>
      </c>
      <c r="E32" s="102">
        <f t="shared" si="23"/>
        <v>2.0387653110000001</v>
      </c>
      <c r="F32" s="102">
        <f t="shared" si="23"/>
        <v>1.8125145089000001</v>
      </c>
      <c r="G32" s="102">
        <f t="shared" ref="G32" si="24">G10+G21</f>
        <v>1.887386616464146</v>
      </c>
      <c r="H32" s="77">
        <f t="shared" si="12"/>
        <v>2.1443767824750002</v>
      </c>
      <c r="I32" s="77">
        <f t="shared" si="13"/>
        <v>2.0869703811609748</v>
      </c>
      <c r="K32" s="34" t="str">
        <f t="shared" si="14"/>
        <v>Long Rural</v>
      </c>
      <c r="L32" s="102">
        <f t="shared" ref="L32:O32" si="25">L10+L21</f>
        <v>191.25000646999999</v>
      </c>
      <c r="M32" s="102">
        <f t="shared" si="25"/>
        <v>197.48754559</v>
      </c>
      <c r="N32" s="102">
        <f t="shared" si="25"/>
        <v>220.99249785340001</v>
      </c>
      <c r="O32" s="102">
        <f t="shared" si="25"/>
        <v>175.21451544199999</v>
      </c>
      <c r="P32" s="102">
        <f t="shared" ref="P32" si="26">P10+P21</f>
        <v>240.81638021376696</v>
      </c>
      <c r="Q32" s="77">
        <f t="shared" si="17"/>
        <v>196.23614133884999</v>
      </c>
      <c r="R32" s="77">
        <f>AVERAGE($L32:P32)+R21</f>
        <v>204.7206929069747</v>
      </c>
      <c r="T32" s="194" t="str">
        <f t="shared" si="18"/>
        <v>Long Rural</v>
      </c>
      <c r="U32" s="102">
        <f t="shared" ref="U32:X32" si="27">U10+U21</f>
        <v>3.1707489099999999</v>
      </c>
      <c r="V32" s="102">
        <f t="shared" si="27"/>
        <v>2.9043760500000002</v>
      </c>
      <c r="W32" s="102">
        <f t="shared" si="27"/>
        <v>2.9081856038999998</v>
      </c>
      <c r="X32" s="102">
        <f t="shared" si="27"/>
        <v>2.4480891066999999</v>
      </c>
      <c r="Y32" s="102">
        <f t="shared" ref="Y32" si="28">Y10+Y21</f>
        <v>2.4581105199999991</v>
      </c>
      <c r="Z32" s="77">
        <f t="shared" si="21"/>
        <v>2.8578499176499998</v>
      </c>
      <c r="AA32" s="77">
        <f t="shared" si="22"/>
        <v>2.7813508300409455</v>
      </c>
    </row>
    <row r="33" spans="2:27" s="33" customFormat="1">
      <c r="B33" s="34" t="s">
        <v>128</v>
      </c>
      <c r="C33" s="102">
        <f t="shared" ref="C33:F33" si="29">C11+C22</f>
        <v>0.8373483383154563</v>
      </c>
      <c r="D33" s="102">
        <f t="shared" si="29"/>
        <v>0.88087101513875821</v>
      </c>
      <c r="E33" s="102">
        <f t="shared" si="29"/>
        <v>0.8960715028060694</v>
      </c>
      <c r="F33" s="102">
        <f t="shared" si="29"/>
        <v>0.87754988191977978</v>
      </c>
      <c r="G33" s="102">
        <f t="shared" ref="G33" si="30">G11+G22</f>
        <v>0.88893900101477097</v>
      </c>
      <c r="H33" s="77">
        <f t="shared" si="12"/>
        <v>0.87296018454501589</v>
      </c>
      <c r="I33" s="77">
        <f t="shared" si="13"/>
        <v>0.87615594783896689</v>
      </c>
      <c r="K33" s="34"/>
      <c r="L33" s="102"/>
      <c r="M33" s="102"/>
      <c r="N33" s="102"/>
      <c r="O33" s="102"/>
      <c r="P33" s="102"/>
      <c r="Q33" s="77"/>
      <c r="R33" s="77"/>
      <c r="T33" s="194"/>
      <c r="U33" s="102"/>
      <c r="V33" s="102"/>
      <c r="W33" s="102"/>
      <c r="X33" s="102"/>
      <c r="Y33" s="102"/>
      <c r="Z33" s="77"/>
      <c r="AA33" s="77"/>
    </row>
    <row r="34" spans="2:27">
      <c r="B34" s="53"/>
      <c r="C34" s="54"/>
      <c r="D34" s="54"/>
      <c r="E34" s="54"/>
      <c r="F34" s="54"/>
      <c r="G34" s="54"/>
      <c r="H34" s="54"/>
      <c r="I34" s="54"/>
      <c r="K34" s="53"/>
      <c r="L34" s="54"/>
      <c r="M34" s="54"/>
      <c r="N34" s="54"/>
      <c r="O34" s="54"/>
      <c r="P34" s="54"/>
      <c r="Q34" s="54"/>
      <c r="R34" s="54"/>
      <c r="T34" s="53"/>
      <c r="U34" s="54"/>
      <c r="V34" s="54"/>
      <c r="W34" s="54"/>
      <c r="X34" s="54"/>
      <c r="Y34" s="54"/>
      <c r="Z34" s="54"/>
      <c r="AA34" s="54"/>
    </row>
    <row r="36" spans="2:27">
      <c r="C36" s="66"/>
      <c r="D36" s="66"/>
      <c r="E36" s="66"/>
      <c r="F36" s="66"/>
      <c r="L36" s="66"/>
      <c r="M36" s="66"/>
      <c r="N36" s="66"/>
      <c r="O36" s="66"/>
      <c r="U36" s="66"/>
      <c r="V36" s="66"/>
      <c r="W36" s="66"/>
      <c r="X36" s="66"/>
    </row>
    <row r="37" spans="2:27">
      <c r="C37" s="66"/>
      <c r="D37" s="66"/>
      <c r="E37" s="66"/>
      <c r="F37" s="66"/>
      <c r="L37" s="66"/>
      <c r="M37" s="66"/>
      <c r="N37" s="66"/>
      <c r="O37" s="66"/>
      <c r="U37" s="66"/>
      <c r="V37" s="66"/>
      <c r="W37" s="66"/>
      <c r="X37" s="66"/>
    </row>
    <row r="38" spans="2:27">
      <c r="C38" s="66"/>
      <c r="D38" s="66"/>
      <c r="E38" s="66"/>
      <c r="F38" s="66"/>
      <c r="M38" s="66"/>
      <c r="N38" s="66"/>
      <c r="O38" s="66"/>
      <c r="V38" s="66"/>
      <c r="W38" s="66"/>
      <c r="X38" s="66"/>
    </row>
    <row r="39" spans="2:27">
      <c r="M39" s="67"/>
      <c r="N39" s="67"/>
      <c r="O39" s="67"/>
      <c r="V39" s="67"/>
      <c r="W39" s="67"/>
      <c r="X39" s="67"/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O55"/>
  <sheetViews>
    <sheetView zoomScale="145" zoomScaleNormal="145" workbookViewId="0">
      <selection activeCell="C33" sqref="C33"/>
    </sheetView>
  </sheetViews>
  <sheetFormatPr defaultColWidth="9.140625" defaultRowHeight="11.25"/>
  <cols>
    <col min="1" max="1" width="2.5703125" style="90" customWidth="1"/>
    <col min="2" max="2" width="71.140625" style="90" customWidth="1"/>
    <col min="3" max="3" width="13.140625" style="104" customWidth="1"/>
    <col min="4" max="6" width="18.42578125" style="90" customWidth="1"/>
    <col min="7" max="7" width="13.28515625" style="90" customWidth="1"/>
    <col min="8" max="8" width="10.5703125" style="90" customWidth="1"/>
    <col min="9" max="16384" width="9.140625" style="90"/>
  </cols>
  <sheetData>
    <row r="2" spans="2:8" ht="15">
      <c r="B2" s="32" t="s">
        <v>17</v>
      </c>
      <c r="C2" s="63"/>
      <c r="D2" s="64"/>
      <c r="E2" s="64"/>
      <c r="F2" s="64"/>
      <c r="G2" s="183"/>
      <c r="H2" s="189" t="s">
        <v>121</v>
      </c>
    </row>
    <row r="4" spans="2:8">
      <c r="B4" s="49" t="s">
        <v>41</v>
      </c>
      <c r="C4" s="51"/>
      <c r="D4" s="51" t="str">
        <f>'Output | Final Decision tables'!C7</f>
        <v>Urban</v>
      </c>
      <c r="E4" s="51" t="str">
        <f>'Output | Final Decision tables'!D7</f>
        <v>Short Rural</v>
      </c>
      <c r="F4" s="51" t="str">
        <f>'Output | Final Decision tables'!E7</f>
        <v>Long Rural</v>
      </c>
      <c r="G4" s="184"/>
    </row>
    <row r="5" spans="2:8" s="37" customFormat="1">
      <c r="B5" s="56" t="s">
        <v>116</v>
      </c>
      <c r="C5" s="57" t="s">
        <v>63</v>
      </c>
      <c r="D5" s="164">
        <f>'STPIS inputs'!D11</f>
        <v>35780</v>
      </c>
      <c r="E5" s="164">
        <f>'STPIS inputs'!E11</f>
        <v>35780</v>
      </c>
      <c r="F5" s="164">
        <f>'STPIS inputs'!F11</f>
        <v>35780</v>
      </c>
      <c r="G5" s="185"/>
    </row>
    <row r="6" spans="2:8" s="37" customFormat="1">
      <c r="B6" s="56" t="s">
        <v>48</v>
      </c>
      <c r="C6" s="57" t="s">
        <v>64</v>
      </c>
      <c r="D6" s="164">
        <f>'STPIS inputs'!D8</f>
        <v>5271362.9901992371</v>
      </c>
      <c r="E6" s="164">
        <f>'STPIS inputs'!E8</f>
        <v>4833441.5570390588</v>
      </c>
      <c r="F6" s="164">
        <f>'STPIS inputs'!F8</f>
        <v>3227833.4113771273</v>
      </c>
      <c r="G6" s="185"/>
    </row>
    <row r="7" spans="2:8" s="37" customFormat="1">
      <c r="B7" s="56" t="s">
        <v>49</v>
      </c>
      <c r="C7" s="57" t="s">
        <v>2</v>
      </c>
      <c r="D7" s="165">
        <f>'STPIS inputs'!$D$5</f>
        <v>984877038.54761291</v>
      </c>
      <c r="E7" s="165">
        <f>'STPIS inputs'!$D$5</f>
        <v>984877038.54761291</v>
      </c>
      <c r="F7" s="165">
        <f>'STPIS inputs'!$D$5</f>
        <v>984877038.54761291</v>
      </c>
      <c r="G7" s="186"/>
    </row>
    <row r="8" spans="2:8" s="37" customFormat="1">
      <c r="B8" s="56" t="s">
        <v>3</v>
      </c>
      <c r="C8" s="57" t="s">
        <v>65</v>
      </c>
      <c r="D8" s="166">
        <f>+'Annual performance and targets'!I30</f>
        <v>0.71786619485809566</v>
      </c>
      <c r="E8" s="166">
        <f>+'Annual performance and targets'!I31</f>
        <v>1.001863533993228</v>
      </c>
      <c r="F8" s="166">
        <f>+'Annual performance and targets'!I32</f>
        <v>2.0869703811609748</v>
      </c>
      <c r="G8" s="187"/>
    </row>
    <row r="9" spans="2:8" s="37" customFormat="1">
      <c r="B9" s="56" t="s">
        <v>4</v>
      </c>
      <c r="C9" s="57" t="s">
        <v>66</v>
      </c>
      <c r="D9" s="166">
        <f>+'Annual performance and targets'!R30</f>
        <v>57.179999264937202</v>
      </c>
      <c r="E9" s="166">
        <f>+'Annual performance and targets'!R31</f>
        <v>92.571962199085831</v>
      </c>
      <c r="F9" s="166">
        <f>+'Annual performance and targets'!R32</f>
        <v>204.7206929069747</v>
      </c>
      <c r="G9" s="187"/>
    </row>
    <row r="10" spans="2:8" s="37" customFormat="1">
      <c r="B10" s="56" t="s">
        <v>115</v>
      </c>
      <c r="C10" s="57" t="s">
        <v>114</v>
      </c>
      <c r="D10" s="166">
        <f>'Annual performance and targets'!AA30</f>
        <v>1.0901593129799998</v>
      </c>
      <c r="E10" s="166">
        <f>'Annual performance and targets'!AA31</f>
        <v>1.7177912092599998</v>
      </c>
      <c r="F10" s="166">
        <f>'Annual performance and targets'!AA32</f>
        <v>2.7813508300409455</v>
      </c>
      <c r="G10" s="187"/>
    </row>
    <row r="11" spans="2:8" s="37" customFormat="1">
      <c r="B11" s="56" t="s">
        <v>55</v>
      </c>
      <c r="C11" s="57" t="s">
        <v>67</v>
      </c>
      <c r="D11" s="81">
        <f>$J$50</f>
        <v>1.5</v>
      </c>
      <c r="E11" s="81">
        <f>$J$50</f>
        <v>1.5</v>
      </c>
      <c r="F11" s="81">
        <f>$J$50</f>
        <v>1.5</v>
      </c>
      <c r="G11" s="118"/>
    </row>
    <row r="12" spans="2:8" s="37" customFormat="1">
      <c r="B12" s="56" t="s">
        <v>53</v>
      </c>
      <c r="C12" s="57" t="s">
        <v>5</v>
      </c>
      <c r="D12" s="163">
        <f>'STPIS inputs'!$D$13</f>
        <v>2.1567217828901697E-3</v>
      </c>
      <c r="E12" s="163">
        <f>'STPIS inputs'!$D$13</f>
        <v>2.1567217828901697E-3</v>
      </c>
      <c r="F12" s="163">
        <f>'STPIS inputs'!$D$13</f>
        <v>2.1567217828901697E-3</v>
      </c>
      <c r="G12" s="188"/>
    </row>
    <row r="13" spans="2:8" s="37" customFormat="1">
      <c r="B13" s="56" t="s">
        <v>18</v>
      </c>
      <c r="C13" s="57"/>
      <c r="D13" s="82">
        <f>((D5*(1+D12)*(1-(1/(1+D11)))*D6)/D7)/(365.25*24*60)*100</f>
        <v>2.1893511537020467E-2</v>
      </c>
      <c r="E13" s="82">
        <f t="shared" ref="E13:F13" si="0">((E5*(1+E12)*(1-(1/(1+E11)))*E6)/E7)/(365.25*24*60)*100</f>
        <v>2.0074695802451123E-2</v>
      </c>
      <c r="F13" s="82">
        <f t="shared" si="0"/>
        <v>1.3406135787453005E-2</v>
      </c>
      <c r="G13" s="226"/>
    </row>
    <row r="14" spans="2:8" s="37" customFormat="1">
      <c r="B14" s="56" t="s">
        <v>19</v>
      </c>
      <c r="C14" s="57"/>
      <c r="D14" s="82">
        <f>((((((D5*(1+D12))/(1+D11))*D6))/D7)/(365.25*24*60))*(D9/D8)*100</f>
        <v>1.1625852492294317</v>
      </c>
      <c r="E14" s="82">
        <f t="shared" ref="E14:F14" si="1">((((((E5*(1+E12))/(1+E11))*E6))/E7)/(365.25*24*60))*(E9/E8)*100</f>
        <v>1.2365982111859246</v>
      </c>
      <c r="F14" s="82">
        <f t="shared" si="1"/>
        <v>0.8767137385328253</v>
      </c>
      <c r="G14" s="226"/>
    </row>
    <row r="15" spans="2:8" s="37" customFormat="1">
      <c r="B15" s="56" t="s">
        <v>120</v>
      </c>
      <c r="C15" s="57"/>
      <c r="D15" s="82">
        <f>D14*$O$55</f>
        <v>9.3006819938354537E-2</v>
      </c>
      <c r="E15" s="82">
        <f>E14*$O$55</f>
        <v>9.8927856894873975E-2</v>
      </c>
      <c r="F15" s="82">
        <f>F14*$O$55</f>
        <v>7.0137099082626025E-2</v>
      </c>
      <c r="G15" s="226"/>
    </row>
    <row r="18" spans="2:3">
      <c r="C18" s="159"/>
    </row>
    <row r="19" spans="2:3">
      <c r="C19" s="159"/>
    </row>
    <row r="21" spans="2:3">
      <c r="B21" s="160"/>
    </row>
    <row r="22" spans="2:3">
      <c r="B22" s="160"/>
    </row>
    <row r="24" spans="2:3">
      <c r="B24" s="161"/>
    </row>
    <row r="25" spans="2:3">
      <c r="B25" s="160"/>
    </row>
    <row r="26" spans="2:3">
      <c r="B26" s="162"/>
    </row>
    <row r="50" spans="10:15">
      <c r="J50" s="191">
        <v>1.5</v>
      </c>
    </row>
    <row r="55" spans="10:15">
      <c r="O55" s="192">
        <v>0.08</v>
      </c>
    </row>
  </sheetData>
  <mergeCells count="1">
    <mergeCell ref="G13:G15"/>
  </mergeCells>
  <hyperlinks>
    <hyperlink ref="H2" r:id="rId1" display="Service Target Perforamnce Incentive Scheme v2 (13 December 2018)" xr:uid="{3154FC62-CA04-40FC-AF53-DC8731BC41CF}"/>
  </hyperlinks>
  <pageMargins left="0.7" right="0.7" top="0.75" bottom="0.75" header="0.3" footer="0.3"/>
  <pageSetup paperSize="9" orientation="portrait" r:id="rId2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463F23-320B-4D62-A6A0-1EA8DCC46B42}">
  <dimension ref="A1:AH6"/>
  <sheetViews>
    <sheetView workbookViewId="0"/>
  </sheetViews>
  <sheetFormatPr defaultColWidth="9.140625" defaultRowHeight="14.25"/>
  <cols>
    <col min="1" max="2" width="9.140625" style="31"/>
    <col min="3" max="3" width="17" style="31" bestFit="1" customWidth="1"/>
    <col min="4" max="16384" width="9.140625" style="31"/>
  </cols>
  <sheetData>
    <row r="1" spans="1:34" s="30" customFormat="1">
      <c r="A1" s="27"/>
      <c r="B1" s="7" t="s">
        <v>32</v>
      </c>
      <c r="C1" s="27"/>
      <c r="D1" s="27"/>
      <c r="E1" s="27"/>
      <c r="F1" s="27"/>
      <c r="G1" s="27"/>
      <c r="H1" s="27"/>
      <c r="I1" s="27"/>
      <c r="J1" s="8"/>
      <c r="K1" s="8"/>
      <c r="L1" s="8"/>
      <c r="M1" s="8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28"/>
      <c r="AC1" s="28"/>
      <c r="AD1" s="28"/>
      <c r="AE1" s="28"/>
      <c r="AF1" s="28"/>
      <c r="AG1" s="29"/>
      <c r="AH1" s="29"/>
    </row>
    <row r="2" spans="1:34" s="9" customFormat="1">
      <c r="B2" s="10"/>
      <c r="C2" s="11"/>
      <c r="D2" s="11"/>
      <c r="E2" s="11"/>
      <c r="F2" s="12"/>
      <c r="G2" s="13"/>
      <c r="H2" s="14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</row>
    <row r="3" spans="1:34" s="9" customFormat="1" ht="11.25">
      <c r="B3" s="15" t="s">
        <v>46</v>
      </c>
      <c r="C3" s="16" t="s">
        <v>33</v>
      </c>
      <c r="D3" s="16" t="s">
        <v>34</v>
      </c>
      <c r="E3" s="17"/>
      <c r="F3" s="18"/>
      <c r="G3" s="19"/>
      <c r="H3" s="14"/>
    </row>
    <row r="4" spans="1:34" s="9" customFormat="1" ht="11.25">
      <c r="B4" s="10"/>
      <c r="D4" s="9" t="s">
        <v>35</v>
      </c>
      <c r="E4" s="11"/>
      <c r="F4" s="12"/>
      <c r="G4" s="13"/>
      <c r="H4" s="14"/>
    </row>
    <row r="5" spans="1:34" s="9" customFormat="1" ht="11.25">
      <c r="B5" s="26">
        <v>45168</v>
      </c>
      <c r="C5" s="20" t="s">
        <v>42</v>
      </c>
      <c r="D5" s="9" t="s">
        <v>44</v>
      </c>
      <c r="E5" s="11"/>
      <c r="F5" s="12"/>
      <c r="G5" s="13"/>
      <c r="H5" s="14"/>
    </row>
    <row r="6" spans="1:34">
      <c r="B6" s="26">
        <v>45168</v>
      </c>
      <c r="C6" s="20" t="s">
        <v>43</v>
      </c>
      <c r="D6" s="9" t="s">
        <v>45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spe:Receivers xmlns:spe="http://schemas.microsoft.com/sharepoint/events">
  <Receiver>
    <Name/>
    <Synchronization>Asynchronous</Synchronization>
    <Type>10003</Type>
    <SequenceNumber>10000</SequenceNumber>
    <Url/>
    <Assembly>RecordPoint.Active.UI, Version=1.0.0.0, Culture=neutral, PublicKeyToken=d49476ae5b650bf3</Assembly>
    <Class>RecordPoint.Active.UI.Events.WorkflowItemEventReceiver</Class>
    <Data/>
    <Filter/>
  </Receiver>
  <Receiver>
    <Name/>
    <Synchronization>Synchronous</Synchronization>
    <Type>3</Type>
    <SequenceNumber>10000</SequenceNumber>
    <Url/>
    <Assembly>RecordPoint.Active.UI, Version=1.0.0.0, Culture=neutral, PublicKeyToken=d49476ae5b650bf3</Assembly>
    <Class>RecordPoint.Active.UI.Events.WorkflowItemEventReceiver</Class>
    <Data/>
    <Filter/>
  </Receiver>
  <Receiver>
    <Name/>
    <Synchronization>Asynchronous</Synchronization>
    <Type>10009</Type>
    <SequenceNumber>10000</SequenceNumber>
    <Url/>
    <Assembly>RecordPoint.Active.UI, Version=1.0.0.0, Culture=neutral, PublicKeyToken=d49476ae5b650bf3</Assembly>
    <Class>RecordPoint.Active.UI.Events.WorkflowItemEventReceiver</Class>
    <Data/>
    <Filter/>
  </Receiver>
  <Receiver>
    <Name/>
    <Synchronization>Synchronous</Synchronization>
    <Type>9</Type>
    <SequenceNumber>10000</SequenceNumber>
    <Url/>
    <Assembly>RecordPoint.Active.UI, Version=1.0.0.0, Culture=neutral, PublicKeyToken=d49476ae5b650bf3</Assembly>
    <Class>RecordPoint.Active.UI.Events.WorkflowItemEventReceiver</Class>
    <Data/>
    <Filter/>
  </Receiver>
  <Receiver>
    <Name/>
    <Synchronization>Asynchronous</Synchronization>
    <Type>10103</Type>
    <SequenceNumber>10000</SequenceNumber>
    <Url/>
    <Assembly>RecordPoint.Active.UI, Version=1.0.0.0, Culture=neutral, PublicKeyToken=d49476ae5b650bf3</Assembly>
    <Class>RecordPoint.Active.UI.Events.WorkflowListEventReceiver</Class>
    <Data/>
    <Filter/>
  </Receiver>
  <Receiver>
    <Name/>
    <Synchronization>Synchronous</Synchronization>
    <Type>102</Type>
    <SequenceNumber>10000</SequenceNumber>
    <Url/>
    <Assembly>RecordPoint.Active.UI, Version=1.0.0.0, Culture=neutral, PublicKeyToken=d49476ae5b650bf3</Assembly>
    <Class>RecordPoint.Active.UI.Events.WorkflowListEventReceiver</Class>
    <Data/>
    <Filter/>
  </Receiver>
  <Receiver>
    <Name/>
    <Synchronization>Asynchronous</Synchronization>
    <Type>10105</Type>
    <SequenceNumber>10000</SequenceNumber>
    <Url/>
    <Assembly>RecordPoint.Active.UI, Version=1.0.0.0, Culture=neutral, PublicKeyToken=d49476ae5b650bf3</Assembly>
    <Class>RecordPoint.Active.UI.Events.WorkflowListEventReceiver</Class>
    <Data/>
    <Filter/>
  </Receiver>
  <Receiver>
    <Name/>
    <Synchronization>Synchronous</Synchronization>
    <Type>105</Type>
    <SequenceNumber>10000</SequenceNumber>
    <Url/>
    <Assembly>RecordPoint.Active.UI, Version=1.0.0.0, Culture=neutral, PublicKeyToken=d49476ae5b650bf3</Assembly>
    <Class>RecordPoint.Active.UI.Events.WorkflowListEventReceiver</Class>
    <Data/>
    <Filter/>
  </Receiver>
  <Receiver>
    <Name/>
    <Synchronization>Asynchronous</Synchronization>
    <Type>10002</Type>
    <SequenceNumber>10000</SequenceNumber>
    <Url/>
    <Assembly>RecordPoint.Active.UI, Version=1.0.0.0, Culture=neutral, PublicKeyToken=d49476ae5b650bf3</Assembly>
    <Class>RecordPoint.Active.UI.Events.WorkflowItemEventReceiver</Class>
    <Data/>
    <Filter/>
  </Receiver>
  <Receiver>
    <Name/>
    <Synchronization>Synchronous</Synchronization>
    <Type>2</Type>
    <SequenceNumber>10000</SequenceNumber>
    <Url/>
    <Assembly>RecordPoint.Active.UI, Version=1.0.0.0, Culture=neutral, PublicKeyToken=d49476ae5b650bf3</Assembly>
    <Class>RecordPoint.Active.UI.Events.WorkflowItemEventReceiver</Class>
    <Data/>
    <Filter/>
  </Receiver>
</spe:Receivers>
</file>

<file path=customXml/item2.xml>��< ? x m l   v e r s i o n = " 1 . 0 "   e n c o d i n g = " u t f - 1 6 " ? > < p r o p e r t i e s   x m l n s = " h t t p : / / w w w . i m a n a g e . c o m / w o r k / x m l s c h e m a " >  
     < d o c u m e n t i d > A C C C a n d A E R ! 1 5 8 0 7 2 8 4 . 1 < / d o c u m e n t i d >  
     < s e n d e r i d > P W U < / s e n d e r i d >  
     < s e n d e r e m a i l > P A T R I C K . W U @ A C C C . G O V . A U < / s e n d e r e m a i l >  
     < l a s t m o d i f i e d > 2 0 2 3 - 0 9 - 2 0 T 0 8 : 1 7 : 3 1 . 0 0 0 0 0 0 0 + 1 0 : 0 0 < / l a s t m o d i f i e d >  
     < d a t a b a s e > A C C C a n d A E R < / d a t a b a s e >  
 < / p r o p e r t i e s > 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Reset 19 Document" ma:contentTypeID="0x01010001E02CCC3410964E993CCD35D068A93E020400959CD9CB7D29F2488657205585980DC8" ma:contentTypeVersion="11" ma:contentTypeDescription="" ma:contentTypeScope="" ma:versionID="3b9cbdfcd76ece5c8c8a993b7b6caf03">
  <xsd:schema xmlns:xsd="http://www.w3.org/2001/XMLSchema" xmlns:xs="http://www.w3.org/2001/XMLSchema" xmlns:p="http://schemas.microsoft.com/office/2006/metadata/properties" xmlns:ns1="8f493e50-f4fa-4672-bec5-6587e791f720" xmlns:ns3="cdf0dde9-ebef-4e0b-9cde-c91850d92f2d" targetNamespace="http://schemas.microsoft.com/office/2006/metadata/properties" ma:root="true" ma:fieldsID="61f92c5bded25d940e0c44e2f11605e2" ns1:_="" ns3:_="">
    <xsd:import namespace="8f493e50-f4fa-4672-bec5-6587e791f720"/>
    <xsd:import namespace="cdf0dde9-ebef-4e0b-9cde-c91850d92f2d"/>
    <xsd:element name="properties">
      <xsd:complexType>
        <xsd:sequence>
          <xsd:element name="documentManagement">
            <xsd:complexType>
              <xsd:all>
                <xsd:element ref="ns1:Attachment_x0020_ID" minOccurs="0"/>
                <xsd:element ref="ns1:Record_x0020_Number" minOccurs="0"/>
                <xsd:element ref="ns3:Document_x0020_Status" minOccurs="0"/>
                <xsd:element ref="ns1:Confidential1" minOccurs="0"/>
                <xsd:element ref="ns1:Business_x0020_Groups" minOccurs="0"/>
                <xsd:element ref="ns1:Attachment_x0020_Category"/>
                <xsd:element ref="ns1:Document_x0020_Category" minOccurs="0"/>
                <xsd:element ref="ns1:Published_x0020_Externally" minOccurs="0"/>
                <xsd:element ref="ns3:Person_x0020_or_x0020_Group" minOccurs="0"/>
                <xsd:element ref="ns1:d515513357cb4f278bf18cadf524fc2b" minOccurs="0"/>
                <xsd:element ref="ns1:TaxCatchAllLabel" minOccurs="0"/>
                <xsd:element ref="ns1:m5487619c60d4cdf829961d62f0a4c8b" minOccurs="0"/>
                <xsd:element ref="ns1:TaxCatchAll" minOccurs="0"/>
                <xsd:element ref="ns1:de1a554c53354888900e11ba3ff10e9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493e50-f4fa-4672-bec5-6587e791f720" elementFormDefault="qualified">
    <xsd:import namespace="http://schemas.microsoft.com/office/2006/documentManagement/types"/>
    <xsd:import namespace="http://schemas.microsoft.com/office/infopath/2007/PartnerControls"/>
    <xsd:element name="Attachment_x0020_ID" ma:index="0" nillable="true" ma:displayName="Attachment ID" ma:description="E.g. TN123, TN123T%, TN123P, TN123T" ma:internalName="Attachment_x0020_ID">
      <xsd:simpleType>
        <xsd:restriction base="dms:Text">
          <xsd:maxLength value="255"/>
        </xsd:restriction>
      </xsd:simpleType>
    </xsd:element>
    <xsd:element name="Record_x0020_Number" ma:index="3" nillable="true" ma:displayName="Record Number" ma:internalName="Record_x0020_Number">
      <xsd:simpleType>
        <xsd:restriction base="dms:Text">
          <xsd:maxLength value="255"/>
        </xsd:restriction>
      </xsd:simpleType>
    </xsd:element>
    <xsd:element name="Confidential1" ma:index="8" nillable="true" ma:displayName="Confidential" ma:default="No" ma:format="RadioButtons" ma:internalName="Confidential1">
      <xsd:simpleType>
        <xsd:restriction base="dms:Choice">
          <xsd:enumeration value="Yes"/>
          <xsd:enumeration value="No"/>
        </xsd:restriction>
      </xsd:simpleType>
    </xsd:element>
    <xsd:element name="Business_x0020_Groups" ma:index="9" nillable="true" ma:displayName="Business Groups" ma:format="Dropdown" ma:internalName="Business_x0020_Groups">
      <xsd:simpleType>
        <xsd:restriction base="dms:Choice">
          <xsd:enumeration value="Finance"/>
          <xsd:enumeration value="Growth"/>
          <xsd:enumeration value="Governance"/>
          <xsd:enumeration value="Operations"/>
          <xsd:enumeration value="People"/>
          <xsd:enumeration value="Stakeholder"/>
          <xsd:enumeration value="Transformation, Strategy &amp; Digital"/>
        </xsd:restriction>
      </xsd:simpleType>
    </xsd:element>
    <xsd:element name="Attachment_x0020_Category" ma:index="10" ma:displayName="Attachment Category" ma:default="Primary Attachment" ma:format="Dropdown" ma:internalName="Attachment_x0020_Category">
      <xsd:simpleType>
        <xsd:restriction base="dms:Choice">
          <xsd:enumeration value="Primary Attachment"/>
          <xsd:enumeration value="Secondary Attachment"/>
          <xsd:enumeration value="Not applicable"/>
        </xsd:restriction>
      </xsd:simpleType>
    </xsd:element>
    <xsd:element name="Document_x0020_Category" ma:index="11" nillable="true" ma:displayName="Document Category" ma:format="Dropdown" ma:internalName="Document_x0020_Category">
      <xsd:simpleType>
        <xsd:restriction base="dms:Choice">
          <xsd:enumeration value="Overview"/>
          <xsd:enumeration value="Fact Sheet"/>
          <xsd:enumeration value="Submission"/>
          <xsd:enumeration value="Supporting Information"/>
          <xsd:enumeration value="Correspondence"/>
          <xsd:enumeration value="Presentation"/>
          <xsd:enumeration value="Strategy"/>
          <xsd:enumeration value="Not applicable"/>
          <xsd:enumeration value="Superseded"/>
        </xsd:restriction>
      </xsd:simpleType>
    </xsd:element>
    <xsd:element name="Published_x0020_Externally" ma:index="12" nillable="true" ma:displayName="Send to AER" ma:default="No" ma:format="RadioButtons" ma:internalName="Published_x0020_Externally">
      <xsd:simpleType>
        <xsd:restriction base="dms:Choice">
          <xsd:enumeration value="Yes"/>
          <xsd:enumeration value="No"/>
        </xsd:restriction>
      </xsd:simpleType>
    </xsd:element>
    <xsd:element name="d515513357cb4f278bf18cadf524fc2b" ma:index="15" nillable="true" ma:taxonomy="true" ma:internalName="d515513357cb4f278bf18cadf524fc2b" ma:taxonomyFieldName="Network" ma:displayName="Network" ma:default="" ma:fieldId="{d5155133-57cb-4f27-8bf1-8cadf524fc2b}" ma:sspId="ad4ba584-9f2e-4c1f-a403-05b05b3bfc09" ma:termSetId="ef65c028-b485-4826-ace0-e6ca04857ea0" ma:anchorId="2d6cdb2a-e191-4ee3-a7c5-b46afdb155e4" ma:open="false" ma:isKeyword="false">
      <xsd:complexType>
        <xsd:sequence>
          <xsd:element ref="pc:Terms" minOccurs="0" maxOccurs="1"/>
        </xsd:sequence>
      </xsd:complexType>
    </xsd:element>
    <xsd:element name="TaxCatchAllLabel" ma:index="18" nillable="true" ma:displayName="Taxonomy Catch All Column1" ma:hidden="true" ma:list="{3910154b-12ea-4dcd-bebd-7986f904c7cd}" ma:internalName="TaxCatchAllLabel" ma:readOnly="true" ma:showField="CatchAllDataLabel" ma:web="8f493e50-f4fa-4672-bec5-6587e791f7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5487619c60d4cdf829961d62f0a4c8b" ma:index="22" nillable="true" ma:taxonomy="true" ma:internalName="m5487619c60d4cdf829961d62f0a4c8b" ma:taxonomyFieldName="Determination_x0020_Activity" ma:displayName="Determination Activity" ma:default="16;#Revenue Proposal|f3980111-814c-44b7-9aa4-fe076fe6d80d" ma:fieldId="{65487619-c60d-4cdf-8299-61d62f0a4c8b}" ma:sspId="ad4ba584-9f2e-4c1f-a403-05b05b3bfc09" ma:termSetId="ef65c028-b485-4826-ace0-e6ca04857ea0" ma:anchorId="8c5389de-5c03-4935-a18a-40ceada24933" ma:open="false" ma:isKeyword="false">
      <xsd:complexType>
        <xsd:sequence>
          <xsd:element ref="pc:Terms" minOccurs="0" maxOccurs="1"/>
        </xsd:sequence>
      </xsd:complexType>
    </xsd:element>
    <xsd:element name="TaxCatchAll" ma:index="23" nillable="true" ma:displayName="Taxonomy Catch All Column" ma:hidden="true" ma:list="{3910154b-12ea-4dcd-bebd-7986f904c7cd}" ma:internalName="TaxCatchAll" ma:showField="CatchAllData" ma:web="8f493e50-f4fa-4672-bec5-6587e791f7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de1a554c53354888900e11ba3ff10e9e" ma:index="25" nillable="true" ma:taxonomy="true" ma:internalName="de1a554c53354888900e11ba3ff10e9e" ma:taxonomyFieldName="Determination_x0020_Category" ma:displayName="Determination Category" ma:default="55;#Supporting Documentation|54f61c4a-23b8-4acc-b5f4-9c145a97108c" ma:fieldId="{de1a554c-5335-4888-900e-11ba3ff10e9e}" ma:sspId="ad4ba584-9f2e-4c1f-a403-05b05b3bfc09" ma:termSetId="ef65c028-b485-4826-ace0-e6ca04857ea0" ma:anchorId="ef143162-b2b2-4c33-83f2-f70325f64e16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f0dde9-ebef-4e0b-9cde-c91850d92f2d" elementFormDefault="qualified">
    <xsd:import namespace="http://schemas.microsoft.com/office/2006/documentManagement/types"/>
    <xsd:import namespace="http://schemas.microsoft.com/office/infopath/2007/PartnerControls"/>
    <xsd:element name="Document_x0020_Status" ma:index="6" nillable="true" ma:displayName="Document Status" ma:default="Draft" ma:format="RadioButtons" ma:internalName="Document_x0020_Status">
      <xsd:simpleType>
        <xsd:restriction base="dms:Choice">
          <xsd:enumeration value="Draft"/>
          <xsd:enumeration value="Final"/>
          <xsd:enumeration value="Superseded"/>
        </xsd:restriction>
      </xsd:simpleType>
    </xsd:element>
    <xsd:element name="Person_x0020_or_x0020_Group" ma:index="13" nillable="true" ma:displayName="Person or Group" ma:list="UserInfo" ma:SearchPeopleOnly="false" ma:SharePointGroup="0" ma:internalName="Person_x0020_or_x0020_Group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1" ma:displayName="Content Type"/>
        <xsd:element ref="dc:title" minOccurs="0" maxOccurs="1" ma:index="2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cord_x0020_Number xmlns="8f493e50-f4fa-4672-bec5-6587e791f720">R0002365121</Record_x0020_Number>
    <TaxCatchAll xmlns="8f493e50-f4fa-4672-bec5-6587e791f720">
      <Value>65</Value>
      <Value>59</Value>
      <Value>16</Value>
    </TaxCatchAll>
    <Business_x0020_Groups xmlns="8f493e50-f4fa-4672-bec5-6587e791f720">Operations</Business_x0020_Groups>
    <Person_x0020_or_x0020_Group xmlns="cdf0dde9-ebef-4e0b-9cde-c91850d92f2d">
      <UserInfo>
        <DisplayName>William Godwin</DisplayName>
        <AccountId>3592</AccountId>
        <AccountType/>
      </UserInfo>
    </Person_x0020_or_x0020_Group>
    <Published_x0020_Externally xmlns="8f493e50-f4fa-4672-bec5-6587e791f720">Yes</Published_x0020_Externally>
    <Document_x0020_Category xmlns="8f493e50-f4fa-4672-bec5-6587e791f720" xsi:nil="true"/>
    <de1a554c53354888900e11ba3ff10e9e xmlns="8f493e50-f4fa-4672-bec5-6587e791f720">
      <Terms xmlns="http://schemas.microsoft.com/office/infopath/2007/PartnerControls">
        <TermInfo xmlns="http://schemas.microsoft.com/office/infopath/2007/PartnerControls">
          <TermName xmlns="http://schemas.microsoft.com/office/infopath/2007/PartnerControls">Models and Pricing Tariffs</TermName>
          <TermId xmlns="http://schemas.microsoft.com/office/infopath/2007/PartnerControls">2d578944-a888-48cf-9157-a3f07df87eae</TermId>
        </TermInfo>
      </Terms>
    </de1a554c53354888900e11ba3ff10e9e>
    <Attachment_x0020_Category xmlns="8f493e50-f4fa-4672-bec5-6587e791f720">Primary Attachment</Attachment_x0020_Category>
    <m5487619c60d4cdf829961d62f0a4c8b xmlns="8f493e50-f4fa-4672-bec5-6587e791f720">
      <Terms xmlns="http://schemas.microsoft.com/office/infopath/2007/PartnerControls">
        <TermInfo xmlns="http://schemas.microsoft.com/office/infopath/2007/PartnerControls">
          <TermName xmlns="http://schemas.microsoft.com/office/infopath/2007/PartnerControls">Revenue Proposal</TermName>
          <TermId xmlns="http://schemas.microsoft.com/office/infopath/2007/PartnerControls">f3980111-814c-44b7-9aa4-fe076fe6d80d</TermId>
        </TermInfo>
      </Terms>
    </m5487619c60d4cdf829961d62f0a4c8b>
    <Document_x0020_Status xmlns="cdf0dde9-ebef-4e0b-9cde-c91850d92f2d">Draft</Document_x0020_Status>
    <Confidential1 xmlns="8f493e50-f4fa-4672-bec5-6587e791f720">No</Confidential1>
    <Attachment_x0020_ID xmlns="8f493e50-f4fa-4672-bec5-6587e791f720" xsi:nil="true"/>
    <d515513357cb4f278bf18cadf524fc2b xmlns="8f493e50-f4fa-4672-bec5-6587e791f720">
      <Terms xmlns="http://schemas.microsoft.com/office/infopath/2007/PartnerControls">
        <TermInfo xmlns="http://schemas.microsoft.com/office/infopath/2007/PartnerControls">
          <TermName xmlns="http://schemas.microsoft.com/office/infopath/2007/PartnerControls">Transmission</TermName>
          <TermId xmlns="http://schemas.microsoft.com/office/infopath/2007/PartnerControls">057fc33d-fae5-41b9-87e5-dc1e3aa504ba</TermId>
        </TermInfo>
      </Terms>
    </d515513357cb4f278bf18cadf524fc2b>
  </documentManagement>
</p:properties>
</file>

<file path=customXml/itemProps1.xml><?xml version="1.0" encoding="utf-8"?>
<ds:datastoreItem xmlns:ds="http://schemas.openxmlformats.org/officeDocument/2006/customXml" ds:itemID="{7F7D60B2-3A6A-43D6-ADDA-D4839F2B3096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59296BDD-9822-4B10-8FBC-A83108FF41A4}">
  <ds:schemaRefs>
    <ds:schemaRef ds:uri="http://www.imanage.com/work/xmlschema"/>
  </ds:schemaRefs>
</ds:datastoreItem>
</file>

<file path=customXml/itemProps3.xml><?xml version="1.0" encoding="utf-8"?>
<ds:datastoreItem xmlns:ds="http://schemas.openxmlformats.org/officeDocument/2006/customXml" ds:itemID="{E7643B0A-1560-4EEA-84B1-095E5E1A58EF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FE2F6CE-1DF0-4E9F-A53C-2006F4D5924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f493e50-f4fa-4672-bec5-6587e791f720"/>
    <ds:schemaRef ds:uri="cdf0dde9-ebef-4e0b-9cde-c91850d92f2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5.xml><?xml version="1.0" encoding="utf-8"?>
<ds:datastoreItem xmlns:ds="http://schemas.openxmlformats.org/officeDocument/2006/customXml" ds:itemID="{5E472E08-CC30-4362-88AA-B9EC68F20FF4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8f493e50-f4fa-4672-bec5-6587e791f720"/>
    <ds:schemaRef ds:uri="http://purl.org/dc/elements/1.1/"/>
    <ds:schemaRef ds:uri="http://schemas.microsoft.com/office/2006/metadata/properties"/>
    <ds:schemaRef ds:uri="cdf0dde9-ebef-4e0b-9cde-c91850d92f2d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Cover</vt:lpstr>
      <vt:lpstr>Output | Final Decision tables</vt:lpstr>
      <vt:lpstr>STPIS inputs</vt:lpstr>
      <vt:lpstr>Target adjustments</vt:lpstr>
      <vt:lpstr>Annual performance and targets</vt:lpstr>
      <vt:lpstr>Incentive rates calc</vt:lpstr>
      <vt:lpstr>Change log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Zula Altai</dc:creator>
  <cp:lastModifiedBy>Alaia Guido</cp:lastModifiedBy>
  <dcterms:created xsi:type="dcterms:W3CDTF">2021-10-04T03:52:19Z</dcterms:created>
  <dcterms:modified xsi:type="dcterms:W3CDTF">2026-04-21T23:31:08Z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0x01010001E02CCC3410964E993CCD35D068A93E020400959CD9CB7D29F2488657205585980DC8</vt:lpwstr>
  </property>
  <property fmtid="{D5CDD505-2E9C-101B-9397-08002B2CF9AE}" pid="3" name="RecordPoint_WorkflowType">
    <vt:lpwstr>ActiveSubmitStub</vt:lpwstr>
  </property>
  <property fmtid="{D5CDD505-2E9C-101B-9397-08002B2CF9AE}" pid="4" name="RecordPoint_ActiveItemSiteId">
    <vt:lpwstr>{813152b7-69c2-464f-b7a1-05afac6a8a9a}</vt:lpwstr>
  </property>
  <property fmtid="{D5CDD505-2E9C-101B-9397-08002B2CF9AE}" pid="5" name="RecordPoint_ActiveItemListId">
    <vt:lpwstr>{cdf0dde9-ebef-4e0b-9cde-c91850d92f2d}</vt:lpwstr>
  </property>
  <property fmtid="{D5CDD505-2E9C-101B-9397-08002B2CF9AE}" pid="6" name="RecordPoint_ActiveItemUniqueId">
    <vt:lpwstr>{54e45a2b-5305-435a-b38e-cdb4050c6290}</vt:lpwstr>
  </property>
  <property fmtid="{D5CDD505-2E9C-101B-9397-08002B2CF9AE}" pid="7" name="RecordPoint_ActiveItemWebId">
    <vt:lpwstr>{0e6c1e0d-ce9b-4acb-bd7f-e21f20d4c138}</vt:lpwstr>
  </property>
  <property fmtid="{D5CDD505-2E9C-101B-9397-08002B2CF9AE}" pid="8" name="AP Year">
    <vt:lpwstr/>
  </property>
  <property fmtid="{D5CDD505-2E9C-101B-9397-08002B2CF9AE}" pid="9" name="Primary Audience">
    <vt:lpwstr/>
  </property>
  <property fmtid="{D5CDD505-2E9C-101B-9397-08002B2CF9AE}" pid="10" name="Network">
    <vt:lpwstr>65;#Transmission|057fc33d-fae5-41b9-87e5-dc1e3aa504ba</vt:lpwstr>
  </property>
  <property fmtid="{D5CDD505-2E9C-101B-9397-08002B2CF9AE}" pid="11" name="AP Category">
    <vt:lpwstr/>
  </property>
  <property fmtid="{D5CDD505-2E9C-101B-9397-08002B2CF9AE}" pid="12" name="AP Other">
    <vt:lpwstr/>
  </property>
  <property fmtid="{D5CDD505-2E9C-101B-9397-08002B2CF9AE}" pid="13" name="RecordPoint_RecordNumberSubmitted">
    <vt:lpwstr>R0002365121</vt:lpwstr>
  </property>
  <property fmtid="{D5CDD505-2E9C-101B-9397-08002B2CF9AE}" pid="14" name="RecordPoint_SubmissionCompleted">
    <vt:lpwstr>2023-01-24T08:50:08.3374086+11:00</vt:lpwstr>
  </property>
  <property fmtid="{D5CDD505-2E9C-101B-9397-08002B2CF9AE}" pid="15" name="Determination Category">
    <vt:lpwstr>59;#Models and Pricing Tariffs|2d578944-a888-48cf-9157-a3f07df87eae</vt:lpwstr>
  </property>
  <property fmtid="{D5CDD505-2E9C-101B-9397-08002B2CF9AE}" pid="16" name="Determination Activity">
    <vt:lpwstr>16;#Revenue Proposal|f3980111-814c-44b7-9aa4-fe076fe6d80d</vt:lpwstr>
  </property>
  <property fmtid="{D5CDD505-2E9C-101B-9397-08002B2CF9AE}" pid="17" name="RecordPoint_SubmissionDate">
    <vt:lpwstr/>
  </property>
  <property fmtid="{D5CDD505-2E9C-101B-9397-08002B2CF9AE}" pid="18" name="RecordPoint_RecordFormat">
    <vt:lpwstr/>
  </property>
  <property fmtid="{D5CDD505-2E9C-101B-9397-08002B2CF9AE}" pid="19" name="RecordPoint_ActiveItemMoved">
    <vt:lpwstr/>
  </property>
  <property fmtid="{D5CDD505-2E9C-101B-9397-08002B2CF9AE}" pid="20" name="MSIP_Label_d9d5a995-dfdf-4407-9a97-edbbc68c9f53_Enabled">
    <vt:lpwstr>true</vt:lpwstr>
  </property>
  <property fmtid="{D5CDD505-2E9C-101B-9397-08002B2CF9AE}" pid="21" name="MSIP_Label_d9d5a995-dfdf-4407-9a97-edbbc68c9f53_SetDate">
    <vt:lpwstr>2024-06-25T23:38:38Z</vt:lpwstr>
  </property>
  <property fmtid="{D5CDD505-2E9C-101B-9397-08002B2CF9AE}" pid="22" name="MSIP_Label_d9d5a995-dfdf-4407-9a97-edbbc68c9f53_Method">
    <vt:lpwstr>Privileged</vt:lpwstr>
  </property>
  <property fmtid="{D5CDD505-2E9C-101B-9397-08002B2CF9AE}" pid="23" name="MSIP_Label_d9d5a995-dfdf-4407-9a97-edbbc68c9f53_Name">
    <vt:lpwstr>OFFICIAL</vt:lpwstr>
  </property>
  <property fmtid="{D5CDD505-2E9C-101B-9397-08002B2CF9AE}" pid="24" name="MSIP_Label_d9d5a995-dfdf-4407-9a97-edbbc68c9f53_SiteId">
    <vt:lpwstr>b33e9e1a-e443-4edd-9789-24bed26d38d6</vt:lpwstr>
  </property>
  <property fmtid="{D5CDD505-2E9C-101B-9397-08002B2CF9AE}" pid="25" name="MSIP_Label_d9d5a995-dfdf-4407-9a97-edbbc68c9f53_ActionId">
    <vt:lpwstr>191e0bff-8823-4239-aab0-3c23069629cb</vt:lpwstr>
  </property>
  <property fmtid="{D5CDD505-2E9C-101B-9397-08002B2CF9AE}" pid="26" name="MSIP_Label_d9d5a995-dfdf-4407-9a97-edbbc68c9f53_ContentBits">
    <vt:lpwstr>0</vt:lpwstr>
  </property>
</Properties>
</file>