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filterPrivacy="1" showInkAnnotation="0" codeName="ThisWorkbook" defaultThemeVersion="124226"/>
  <xr:revisionPtr revIDLastSave="825" documentId="8_{ABE96AE6-BD22-4C98-9A6C-7375D10B0A35}" xr6:coauthVersionLast="47" xr6:coauthVersionMax="47" xr10:uidLastSave="{82F1667D-7913-4F49-9DEA-D0CE4EF494EA}"/>
  <bookViews>
    <workbookView xWindow="-120" yWindow="-120" windowWidth="29040" windowHeight="15720" tabRatio="847" xr2:uid="{00000000-000D-0000-FFFF-FFFF00000000}"/>
  </bookViews>
  <sheets>
    <sheet name="Cover" sheetId="27" r:id="rId1"/>
    <sheet name="TOC" sheetId="28" r:id="rId2"/>
    <sheet name="Input_CPI" sheetId="79" r:id="rId3"/>
    <sheet name="Input_Data" sheetId="34" r:id="rId4"/>
    <sheet name="Calc_Returns" sheetId="49" r:id="rId5"/>
    <sheet name="Output_PTRM" sheetId="78" r:id="rId6"/>
    <sheet name="Lookup" sheetId="4" r:id="rId7"/>
    <sheet name="Checks" sheetId="25" r:id="rId8"/>
  </sheets>
  <definedNames>
    <definedName name="Beta">Input_Data!$J$59</definedName>
    <definedName name="Days_In_Wk">Lookup!$D$29</definedName>
    <definedName name="Days_In_Yr">Lookup!$D$30</definedName>
    <definedName name="Dollars">Lookup!$D$44</definedName>
    <definedName name="End_year">Lookup!$F$65</definedName>
    <definedName name="Error">Lookup!$D$34</definedName>
    <definedName name="Factor">Lookup!$D$47</definedName>
    <definedName name="Gamma">Input_Data!$J$60</definedName>
    <definedName name="Half">Lookup!$D$31</definedName>
    <definedName name="Inflation">Calc_Returns!$J$37</definedName>
    <definedName name="Kilometres">Lookup!$D$51</definedName>
    <definedName name="Leverage">Input_Data!$J$61</definedName>
    <definedName name="LU_Basis">Lookup!$D$56:$D$59</definedName>
    <definedName name="LU_Source">Lookup!$D$70:$D$71</definedName>
    <definedName name="LU_Timing">Lookup!$D$63:$D$66</definedName>
    <definedName name="LU_Timing_Value">Lookup!$E$63:$E$66</definedName>
    <definedName name="LU_Units">Lookup!$D$43:$D$52</definedName>
    <definedName name="Mid_year">Lookup!$D$64</definedName>
    <definedName name="Millions">Lookup!$D$45</definedName>
    <definedName name="Model_Name">Cover!$B$3</definedName>
    <definedName name="Model_Start_Date">Lookup!$E$10</definedName>
    <definedName name="MRP">Input_Data!$J$58</definedName>
    <definedName name="Mths_In_Mth">Lookup!$D$25</definedName>
    <definedName name="Mths_In_Qtr">Lookup!$D$26</definedName>
    <definedName name="Mths_In_Yr">Lookup!$D$28</definedName>
    <definedName name="NA">Lookup!$D$33</definedName>
    <definedName name="No">Lookup!$D$39</definedName>
    <definedName name="Nominal">Lookup!$D$59</definedName>
    <definedName name="Number">Lookup!$D$48</definedName>
    <definedName name="Ok">Lookup!$D$32</definedName>
    <definedName name="Percent">Lookup!$D$43</definedName>
    <definedName name="Qtrs_In_Yr">Lookup!$D$27</definedName>
    <definedName name="Real2018">Lookup!$D$56</definedName>
    <definedName name="Real2019">Lookup!$D$57</definedName>
    <definedName name="RFR">Input_Data!$J$49</definedName>
    <definedName name="ROD">Calc_Returns!$J$39</definedName>
    <definedName name="ROD_First">Input_Data!$J$50</definedName>
    <definedName name="ROE">Calc_Returns!$J$38</definedName>
    <definedName name="Start_year">Lookup!$D$63</definedName>
    <definedName name="Thousands">Lookup!$D$46</definedName>
    <definedName name="Title_Msg">Checks!$H$10</definedName>
    <definedName name="Weight_New_Debt">Input_Data!$J$62</definedName>
    <definedName name="Yes">Lookup!$D$38</definedName>
    <definedName name="Yes_No">Lookup!$D$38:$D$39</definedName>
  </definedNames>
  <calcPr calcId="191029" concurrentManualCount="1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79" l="1"/>
  <c r="F28" i="79"/>
  <c r="G28" i="79"/>
  <c r="H28" i="79"/>
  <c r="F30" i="79"/>
  <c r="G30" i="79"/>
  <c r="H30" i="79"/>
  <c r="J33" i="79"/>
  <c r="K33" i="79"/>
  <c r="L33" i="79"/>
  <c r="M33" i="79"/>
  <c r="F31" i="79"/>
  <c r="G31" i="79"/>
  <c r="H31" i="79"/>
  <c r="D33" i="79"/>
  <c r="F33" i="79"/>
  <c r="G33" i="79"/>
  <c r="H33" i="79"/>
  <c r="N33" i="79"/>
  <c r="O33" i="79"/>
  <c r="P33" i="79"/>
  <c r="H47" i="34"/>
  <c r="H22" i="49"/>
  <c r="F22" i="49"/>
  <c r="J20" i="49"/>
  <c r="J19" i="49"/>
  <c r="H19" i="49"/>
  <c r="F19" i="49"/>
  <c r="H20" i="49"/>
  <c r="F20" i="49"/>
  <c r="H18" i="49"/>
  <c r="F18" i="49"/>
  <c r="H16" i="49"/>
  <c r="G16" i="49"/>
  <c r="F16" i="49"/>
  <c r="E16" i="49"/>
  <c r="J28" i="49"/>
  <c r="H50" i="34"/>
  <c r="F50" i="34"/>
  <c r="H49" i="34"/>
  <c r="F49" i="34"/>
  <c r="M21" i="79"/>
  <c r="L21" i="79"/>
  <c r="H21" i="79"/>
  <c r="G21" i="79"/>
  <c r="F21" i="79"/>
  <c r="D21" i="79"/>
  <c r="H19" i="79"/>
  <c r="G19" i="79"/>
  <c r="F19" i="79"/>
  <c r="H18" i="79"/>
  <c r="G18" i="79"/>
  <c r="F18" i="79"/>
  <c r="H16" i="79"/>
  <c r="G16" i="79"/>
  <c r="F16" i="79"/>
  <c r="E16" i="79"/>
  <c r="M57" i="79"/>
  <c r="L18" i="34"/>
  <c r="K57" i="79"/>
  <c r="J57" i="79"/>
  <c r="H57" i="79"/>
  <c r="G57" i="79"/>
  <c r="F57" i="79"/>
  <c r="D57" i="79"/>
  <c r="H55" i="79"/>
  <c r="G55" i="79"/>
  <c r="F55" i="79"/>
  <c r="H54" i="79"/>
  <c r="G54" i="79"/>
  <c r="F54" i="79"/>
  <c r="H52" i="79"/>
  <c r="G52" i="79"/>
  <c r="F52" i="79"/>
  <c r="E52" i="79"/>
  <c r="J22" i="49" l="1"/>
  <c r="J38" i="49" s="1"/>
  <c r="J18" i="49"/>
  <c r="J18" i="34"/>
  <c r="M18" i="34"/>
  <c r="L57" i="79"/>
  <c r="K18" i="34"/>
  <c r="J9" i="78"/>
  <c r="I16" i="4"/>
  <c r="I14" i="4" s="1"/>
  <c r="I15" i="4" s="1"/>
  <c r="I17" i="4" s="1"/>
  <c r="I19" i="4" s="1"/>
  <c r="J10" i="34" s="1"/>
  <c r="J29" i="34" s="1"/>
  <c r="D20" i="25"/>
  <c r="J16" i="4" l="1"/>
  <c r="J14" i="4" s="1"/>
  <c r="J15" i="4" s="1"/>
  <c r="J17" i="4" s="1"/>
  <c r="J19" i="4" s="1"/>
  <c r="J10" i="78"/>
  <c r="J17" i="78" s="1"/>
  <c r="J10" i="79"/>
  <c r="J28" i="79" s="1"/>
  <c r="J45" i="79"/>
  <c r="J33" i="34" s="1"/>
  <c r="J35" i="34" s="1"/>
  <c r="J40" i="34"/>
  <c r="J16" i="34"/>
  <c r="K9" i="78"/>
  <c r="J16" i="79" l="1"/>
  <c r="J40" i="79"/>
  <c r="J52" i="79"/>
  <c r="K45" i="79"/>
  <c r="K33" i="34" s="1"/>
  <c r="K35" i="34" s="1"/>
  <c r="K16" i="4"/>
  <c r="J42" i="34" l="1"/>
  <c r="J27" i="78" s="1"/>
  <c r="K14" i="4"/>
  <c r="L45" i="79"/>
  <c r="L33" i="34" s="1"/>
  <c r="K15" i="4"/>
  <c r="H28" i="49"/>
  <c r="F28" i="49"/>
  <c r="O22" i="78"/>
  <c r="O23" i="78"/>
  <c r="K10" i="79" l="1"/>
  <c r="K28" i="79" s="1"/>
  <c r="K10" i="78"/>
  <c r="K17" i="78" s="1"/>
  <c r="K10" i="34"/>
  <c r="K17" i="4"/>
  <c r="L16" i="4"/>
  <c r="L35" i="34"/>
  <c r="M16" i="4" l="1"/>
  <c r="N16" i="4" s="1"/>
  <c r="O16" i="4" s="1"/>
  <c r="P16" i="4" s="1"/>
  <c r="Q16" i="4" s="1"/>
  <c r="R16" i="4" s="1"/>
  <c r="J7" i="78"/>
  <c r="K16" i="79"/>
  <c r="K40" i="79"/>
  <c r="K52" i="79"/>
  <c r="K42" i="34"/>
  <c r="K27" i="78" s="1"/>
  <c r="K19" i="4"/>
  <c r="L10" i="78" s="1"/>
  <c r="L17" i="78" s="1"/>
  <c r="K40" i="34"/>
  <c r="K16" i="34"/>
  <c r="K29" i="34"/>
  <c r="L14" i="4"/>
  <c r="J5" i="78" s="1"/>
  <c r="H42" i="34"/>
  <c r="F42" i="34"/>
  <c r="G32" i="34"/>
  <c r="H32" i="34"/>
  <c r="F32" i="34"/>
  <c r="H40" i="34"/>
  <c r="H35" i="34"/>
  <c r="F35" i="34"/>
  <c r="G33" i="34"/>
  <c r="H33" i="34"/>
  <c r="F33" i="34"/>
  <c r="J9" i="34"/>
  <c r="J8" i="34"/>
  <c r="J7" i="34"/>
  <c r="J6" i="34"/>
  <c r="J5" i="34"/>
  <c r="H31" i="34"/>
  <c r="F31" i="34"/>
  <c r="H29" i="34"/>
  <c r="O45" i="79"/>
  <c r="O55" i="79" s="1"/>
  <c r="N45" i="79"/>
  <c r="K9" i="79"/>
  <c r="F20" i="78"/>
  <c r="H20" i="78"/>
  <c r="G20" i="78"/>
  <c r="K7" i="78" l="1"/>
  <c r="L10" i="34"/>
  <c r="L16" i="34" s="1"/>
  <c r="O19" i="34"/>
  <c r="P19" i="34" s="1"/>
  <c r="Q19" i="34" s="1"/>
  <c r="R19" i="34" s="1"/>
  <c r="O57" i="79"/>
  <c r="N33" i="34"/>
  <c r="O19" i="79"/>
  <c r="O21" i="79" s="1"/>
  <c r="O33" i="34"/>
  <c r="P19" i="79"/>
  <c r="P21" i="79" s="1"/>
  <c r="L10" i="79"/>
  <c r="L28" i="79" s="1"/>
  <c r="L15" i="4"/>
  <c r="L52" i="79" l="1"/>
  <c r="L40" i="79"/>
  <c r="L16" i="79"/>
  <c r="L29" i="34"/>
  <c r="L40" i="34"/>
  <c r="M14" i="4"/>
  <c r="K5" i="78" s="1"/>
  <c r="J6" i="78"/>
  <c r="O35" i="34"/>
  <c r="L17" i="4"/>
  <c r="L19" i="4" l="1"/>
  <c r="J8" i="78"/>
  <c r="A1" i="49"/>
  <c r="H20" i="25" s="1"/>
  <c r="M45" i="79" l="1"/>
  <c r="M33" i="34" l="1"/>
  <c r="N19" i="79"/>
  <c r="N21" i="79" s="1"/>
  <c r="I9" i="79"/>
  <c r="J9" i="79"/>
  <c r="N9" i="34"/>
  <c r="M9" i="34"/>
  <c r="L9" i="34"/>
  <c r="K9" i="34"/>
  <c r="N8" i="34"/>
  <c r="M8" i="34"/>
  <c r="L8" i="34"/>
  <c r="K8" i="34"/>
  <c r="N7" i="34"/>
  <c r="M7" i="34"/>
  <c r="L7" i="34"/>
  <c r="K7" i="34"/>
  <c r="N6" i="34"/>
  <c r="M6" i="34"/>
  <c r="L6" i="34"/>
  <c r="K6" i="34"/>
  <c r="N5" i="34"/>
  <c r="M5" i="34"/>
  <c r="L5" i="34"/>
  <c r="K5" i="34"/>
  <c r="U9" i="34"/>
  <c r="T9" i="34"/>
  <c r="S9" i="34"/>
  <c r="R9" i="34"/>
  <c r="Q9" i="34"/>
  <c r="P9" i="34"/>
  <c r="O9" i="34"/>
  <c r="M9" i="49"/>
  <c r="L9" i="49"/>
  <c r="K9" i="49"/>
  <c r="J9" i="49"/>
  <c r="O9" i="78"/>
  <c r="N9" i="78"/>
  <c r="M9" i="78"/>
  <c r="L9" i="78"/>
  <c r="M35" i="34" l="1"/>
  <c r="L42" i="34" s="1"/>
  <c r="L27" i="78" s="1"/>
  <c r="N55" i="79"/>
  <c r="N35" i="34"/>
  <c r="K28" i="49"/>
  <c r="L28" i="49" s="1"/>
  <c r="M28" i="49" s="1"/>
  <c r="N28" i="49" s="1"/>
  <c r="N19" i="34" l="1"/>
  <c r="N57" i="79"/>
  <c r="N42" i="34"/>
  <c r="N27" i="78" s="1"/>
  <c r="M42" i="34"/>
  <c r="M27" i="78" s="1"/>
  <c r="K29" i="49"/>
  <c r="L29" i="49"/>
  <c r="M29" i="49"/>
  <c r="N29" i="49"/>
  <c r="H27" i="78"/>
  <c r="G27" i="78"/>
  <c r="F27" i="78"/>
  <c r="S19" i="78"/>
  <c r="D18" i="25"/>
  <c r="D10" i="28"/>
  <c r="H45" i="79"/>
  <c r="G45" i="79"/>
  <c r="F45" i="79"/>
  <c r="D45" i="79"/>
  <c r="H43" i="79"/>
  <c r="G43" i="79"/>
  <c r="F43" i="79"/>
  <c r="H42" i="79"/>
  <c r="G42" i="79"/>
  <c r="F42" i="79"/>
  <c r="H40" i="79"/>
  <c r="G40" i="79"/>
  <c r="F40" i="79"/>
  <c r="E40" i="79"/>
  <c r="H10" i="79"/>
  <c r="G10" i="79"/>
  <c r="F10" i="79"/>
  <c r="E10" i="79"/>
  <c r="B10" i="79"/>
  <c r="B9" i="79"/>
  <c r="B8" i="79"/>
  <c r="B7" i="79"/>
  <c r="B6" i="79"/>
  <c r="B5" i="79"/>
  <c r="B4" i="79"/>
  <c r="B3" i="79"/>
  <c r="A1" i="79"/>
  <c r="H18" i="25" s="1"/>
  <c r="J33" i="78"/>
  <c r="J35" i="78"/>
  <c r="J36" i="78"/>
  <c r="J37" i="78"/>
  <c r="J29" i="49"/>
  <c r="H62" i="34"/>
  <c r="F62" i="34"/>
  <c r="H31" i="49"/>
  <c r="F31" i="49"/>
  <c r="H29" i="49"/>
  <c r="G29" i="49"/>
  <c r="F29" i="49"/>
  <c r="H26" i="49"/>
  <c r="G26" i="49"/>
  <c r="F26" i="49"/>
  <c r="E26" i="49"/>
  <c r="H39" i="49"/>
  <c r="D19" i="25"/>
  <c r="D21" i="25"/>
  <c r="H37" i="49"/>
  <c r="F37" i="49"/>
  <c r="H19" i="34"/>
  <c r="G19" i="34"/>
  <c r="F19" i="34"/>
  <c r="H38" i="49"/>
  <c r="F38" i="49"/>
  <c r="F39" i="49"/>
  <c r="H35" i="49"/>
  <c r="G35" i="49"/>
  <c r="F35" i="49"/>
  <c r="E35" i="49"/>
  <c r="P9" i="78"/>
  <c r="H25" i="78"/>
  <c r="G25" i="78"/>
  <c r="F25" i="78"/>
  <c r="H23" i="78"/>
  <c r="G23" i="78"/>
  <c r="F23" i="78"/>
  <c r="H22" i="78"/>
  <c r="G22" i="78"/>
  <c r="F22" i="78"/>
  <c r="H21" i="78"/>
  <c r="G21" i="78"/>
  <c r="F21" i="78"/>
  <c r="H19" i="78"/>
  <c r="G19" i="78"/>
  <c r="F19" i="78"/>
  <c r="J34" i="78"/>
  <c r="H37" i="78"/>
  <c r="G37" i="78"/>
  <c r="F37" i="78"/>
  <c r="H36" i="78"/>
  <c r="G36" i="78"/>
  <c r="F36" i="78"/>
  <c r="H35" i="78"/>
  <c r="G35" i="78"/>
  <c r="F35" i="78"/>
  <c r="H34" i="78"/>
  <c r="G34" i="78"/>
  <c r="F34" i="78"/>
  <c r="H33" i="78"/>
  <c r="G33" i="78"/>
  <c r="F33" i="78"/>
  <c r="H31" i="78"/>
  <c r="G31" i="78"/>
  <c r="F31" i="78"/>
  <c r="E31" i="78"/>
  <c r="H17" i="78"/>
  <c r="G17" i="78"/>
  <c r="F17" i="78"/>
  <c r="E17" i="78"/>
  <c r="H60" i="34"/>
  <c r="F60" i="34"/>
  <c r="H72" i="34"/>
  <c r="F72" i="34"/>
  <c r="H71" i="34"/>
  <c r="F71" i="34"/>
  <c r="H70" i="34"/>
  <c r="F70" i="34"/>
  <c r="H69" i="34"/>
  <c r="F69" i="34"/>
  <c r="H66" i="34"/>
  <c r="H68" i="34"/>
  <c r="F68" i="34"/>
  <c r="H61" i="34"/>
  <c r="F61" i="34"/>
  <c r="H59" i="34"/>
  <c r="F59" i="34"/>
  <c r="H58" i="34"/>
  <c r="F58" i="34"/>
  <c r="H56" i="34"/>
  <c r="D12" i="28"/>
  <c r="H10" i="78"/>
  <c r="G10" i="78"/>
  <c r="F10" i="78"/>
  <c r="E10" i="78"/>
  <c r="B10" i="78"/>
  <c r="B9" i="78"/>
  <c r="B8" i="78"/>
  <c r="B7" i="78"/>
  <c r="B6" i="78"/>
  <c r="B5" i="78"/>
  <c r="B4" i="78"/>
  <c r="B3" i="78"/>
  <c r="D13" i="28"/>
  <c r="H10" i="49"/>
  <c r="G10" i="49"/>
  <c r="F10" i="49"/>
  <c r="E10" i="49"/>
  <c r="B10" i="49"/>
  <c r="N9" i="49"/>
  <c r="B9" i="49"/>
  <c r="B8" i="49"/>
  <c r="B7" i="49"/>
  <c r="B6" i="49"/>
  <c r="B5" i="49"/>
  <c r="B4" i="49"/>
  <c r="B3" i="49"/>
  <c r="D11" i="28"/>
  <c r="H18" i="34"/>
  <c r="G18" i="34"/>
  <c r="F18" i="34"/>
  <c r="H16" i="34"/>
  <c r="G16" i="34"/>
  <c r="F16" i="34"/>
  <c r="E16" i="34"/>
  <c r="H10" i="34"/>
  <c r="G10" i="34"/>
  <c r="F10" i="34"/>
  <c r="E10" i="34"/>
  <c r="B10" i="34"/>
  <c r="V9" i="34"/>
  <c r="B9" i="34"/>
  <c r="B8" i="34"/>
  <c r="B7" i="34"/>
  <c r="B6" i="34"/>
  <c r="B5" i="34"/>
  <c r="B4" i="34"/>
  <c r="B3" i="34"/>
  <c r="D58" i="4"/>
  <c r="E66" i="4"/>
  <c r="D66" i="4"/>
  <c r="D52" i="4"/>
  <c r="B3" i="25"/>
  <c r="B3" i="4"/>
  <c r="D18" i="28"/>
  <c r="D17" i="28"/>
  <c r="B6" i="28"/>
  <c r="B4" i="28"/>
  <c r="B4" i="25"/>
  <c r="B4" i="4"/>
  <c r="A1" i="78"/>
  <c r="H21" i="25" s="1"/>
  <c r="A1" i="34"/>
  <c r="H19" i="25" s="1"/>
  <c r="H23" i="25" l="1"/>
  <c r="H8" i="25" s="1"/>
  <c r="H10" i="25" s="1"/>
  <c r="B2" i="78" s="1"/>
  <c r="J31" i="49"/>
  <c r="K31" i="49" s="1"/>
  <c r="L31" i="49" s="1"/>
  <c r="M31" i="49" s="1"/>
  <c r="N31" i="49" s="1"/>
  <c r="J39" i="49" l="1"/>
  <c r="O25" i="78" s="1"/>
  <c r="B2" i="4"/>
  <c r="B2" i="79"/>
  <c r="B2" i="28"/>
  <c r="B2" i="34"/>
  <c r="B2" i="49"/>
  <c r="B2" i="25"/>
  <c r="J37" i="49" a="1"/>
  <c r="K39" i="49"/>
  <c r="P25" i="78" s="1"/>
  <c r="O21" i="78" l="1"/>
  <c r="L39" i="49"/>
  <c r="Q25" i="78" s="1"/>
  <c r="O7" i="34" l="1"/>
  <c r="M39" i="49"/>
  <c r="R25" i="78" s="1"/>
  <c r="N39" i="49"/>
  <c r="S25" i="78" s="1"/>
  <c r="I7" i="79" l="1"/>
  <c r="P7" i="34"/>
  <c r="J7" i="79" l="1"/>
  <c r="Q7" i="34"/>
  <c r="S7" i="34" l="1"/>
  <c r="K7" i="49"/>
  <c r="M7" i="78"/>
  <c r="K7" i="79"/>
  <c r="J7" i="49"/>
  <c r="R7" i="34"/>
  <c r="L7" i="78"/>
  <c r="T7" i="34" l="1"/>
  <c r="L7" i="49"/>
  <c r="N7" i="78"/>
  <c r="P7" i="78" l="1"/>
  <c r="U7" i="34"/>
  <c r="M7" i="49"/>
  <c r="O7" i="78"/>
  <c r="N7" i="49" l="1"/>
  <c r="O5" i="34"/>
  <c r="V7" i="34"/>
  <c r="O6" i="34" l="1"/>
  <c r="I5" i="79" l="1"/>
  <c r="P5" i="34"/>
  <c r="O8" i="34"/>
  <c r="I6" i="79" l="1"/>
  <c r="P6" i="34"/>
  <c r="M10" i="78" l="1"/>
  <c r="M17" i="78" s="1"/>
  <c r="P8" i="34"/>
  <c r="I8" i="79"/>
  <c r="Q5" i="34"/>
  <c r="J5" i="79"/>
  <c r="M15" i="4"/>
  <c r="N14" i="4" l="1"/>
  <c r="K6" i="78"/>
  <c r="M10" i="34"/>
  <c r="M40" i="34" s="1"/>
  <c r="M10" i="79"/>
  <c r="M28" i="79" s="1"/>
  <c r="J6" i="79"/>
  <c r="Q6" i="34"/>
  <c r="M17" i="4"/>
  <c r="M52" i="79" l="1"/>
  <c r="M16" i="79"/>
  <c r="K8" i="78"/>
  <c r="M19" i="4"/>
  <c r="N10" i="78" s="1"/>
  <c r="M40" i="79"/>
  <c r="Q8" i="34"/>
  <c r="J8" i="79"/>
  <c r="N15" i="4"/>
  <c r="O14" i="4" s="1"/>
  <c r="K5" i="79"/>
  <c r="R5" i="34"/>
  <c r="L5" i="78"/>
  <c r="J5" i="49"/>
  <c r="M29" i="34"/>
  <c r="M16" i="34"/>
  <c r="N17" i="78" l="1"/>
  <c r="O15" i="4"/>
  <c r="P14" i="4" s="1"/>
  <c r="N10" i="34"/>
  <c r="N40" i="34" s="1"/>
  <c r="N10" i="79"/>
  <c r="N28" i="79" s="1"/>
  <c r="K6" i="79"/>
  <c r="J6" i="49"/>
  <c r="L6" i="78"/>
  <c r="R6" i="34"/>
  <c r="N17" i="4"/>
  <c r="N19" i="4" s="1"/>
  <c r="N52" i="79" l="1"/>
  <c r="N16" i="79"/>
  <c r="M5" i="78"/>
  <c r="S5" i="34"/>
  <c r="K5" i="49"/>
  <c r="P15" i="4"/>
  <c r="Q14" i="4" s="1"/>
  <c r="S6" i="34"/>
  <c r="O17" i="4"/>
  <c r="K6" i="49"/>
  <c r="M6" i="78"/>
  <c r="K8" i="79"/>
  <c r="J8" i="49"/>
  <c r="L8" i="78"/>
  <c r="R8" i="34"/>
  <c r="N40" i="79"/>
  <c r="N29" i="34"/>
  <c r="N16" i="34"/>
  <c r="M8" i="78" l="1"/>
  <c r="O19" i="4"/>
  <c r="P10" i="79" s="1"/>
  <c r="P28" i="79" s="1"/>
  <c r="T6" i="34"/>
  <c r="N6" i="78"/>
  <c r="L6" i="49"/>
  <c r="T5" i="34"/>
  <c r="P17" i="4"/>
  <c r="P19" i="4" s="1"/>
  <c r="S8" i="34"/>
  <c r="L5" i="49"/>
  <c r="N5" i="78"/>
  <c r="K8" i="49"/>
  <c r="O10" i="79"/>
  <c r="O10" i="34"/>
  <c r="O29" i="34" s="1"/>
  <c r="J10" i="49"/>
  <c r="O10" i="78"/>
  <c r="O17" i="78" s="1"/>
  <c r="Q15" i="4"/>
  <c r="R14" i="4" s="1"/>
  <c r="U5" i="34"/>
  <c r="M5" i="49"/>
  <c r="O5" i="78"/>
  <c r="L8" i="49"/>
  <c r="N8" i="78"/>
  <c r="O16" i="79" l="1"/>
  <c r="O28" i="79"/>
  <c r="J26" i="49"/>
  <c r="J35" i="49"/>
  <c r="J16" i="49"/>
  <c r="T8" i="34"/>
  <c r="P16" i="79"/>
  <c r="P10" i="78"/>
  <c r="P17" i="78" s="1"/>
  <c r="O52" i="79"/>
  <c r="K10" i="49"/>
  <c r="P10" i="34"/>
  <c r="P16" i="34" s="1"/>
  <c r="R15" i="4"/>
  <c r="V5" i="34"/>
  <c r="P5" i="78"/>
  <c r="N5" i="49"/>
  <c r="U6" i="34"/>
  <c r="M6" i="49"/>
  <c r="O6" i="78"/>
  <c r="Q17" i="4"/>
  <c r="Q19" i="4" s="1"/>
  <c r="O16" i="34"/>
  <c r="L10" i="49"/>
  <c r="Q10" i="78"/>
  <c r="Q17" i="78" s="1"/>
  <c r="Q10" i="34"/>
  <c r="Q16" i="34" s="1"/>
  <c r="O40" i="79"/>
  <c r="K26" i="49" l="1"/>
  <c r="K35" i="49"/>
  <c r="K16" i="49"/>
  <c r="L35" i="49"/>
  <c r="L26" i="49"/>
  <c r="L16" i="49"/>
  <c r="R17" i="4"/>
  <c r="R19" i="4" s="1"/>
  <c r="V6" i="34"/>
  <c r="P6" i="78"/>
  <c r="N6" i="49"/>
  <c r="U8" i="34"/>
  <c r="M8" i="49"/>
  <c r="O8" i="78"/>
  <c r="V8" i="34" l="1"/>
  <c r="P8" i="78"/>
  <c r="N8" i="49"/>
  <c r="R10" i="78"/>
  <c r="R10" i="34"/>
  <c r="R16" i="34" s="1"/>
  <c r="M10" i="49"/>
  <c r="M35" i="49" l="1"/>
  <c r="M26" i="49"/>
  <c r="M16" i="49"/>
  <c r="R17" i="78"/>
  <c r="N10" i="49"/>
  <c r="S10" i="34"/>
  <c r="S16" i="34" s="1"/>
  <c r="S10" i="78"/>
  <c r="P19" i="78"/>
  <c r="O19" i="78"/>
  <c r="N16" i="49" l="1"/>
  <c r="N35" i="49"/>
  <c r="N26" i="49"/>
  <c r="U17" i="78"/>
  <c r="S17" i="78"/>
  <c r="J31" i="78"/>
  <c r="Q19" i="78"/>
  <c r="R19" i="78"/>
  <c r="U20" i="78" l="1" a="1"/>
  <c r="U20" i="78" s="1"/>
  <c r="J37" i="49"/>
  <c r="S27" i="78" l="1"/>
  <c r="R27" i="78"/>
  <c r="P27" i="78"/>
  <c r="Q27" i="78"/>
  <c r="O27" i="78"/>
  <c r="J21" i="79" l="1"/>
  <c r="K21" i="7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<sst xmlns="http://schemas.openxmlformats.org/spreadsheetml/2006/main" count="372" uniqueCount="214">
  <si>
    <t>General Model Constant</t>
  </si>
  <si>
    <t>Name</t>
  </si>
  <si>
    <t>Mths_In_Mth</t>
  </si>
  <si>
    <t>Mths_In_Qtr</t>
  </si>
  <si>
    <t>Mths_In_Yr</t>
  </si>
  <si>
    <t>Heading 1</t>
  </si>
  <si>
    <t>Ok</t>
  </si>
  <si>
    <t>Error</t>
  </si>
  <si>
    <t>Half</t>
  </si>
  <si>
    <t>Yes</t>
  </si>
  <si>
    <t>No</t>
  </si>
  <si>
    <t>Yes_No</t>
  </si>
  <si>
    <t>Error Checks</t>
  </si>
  <si>
    <t>Days_In_Wk</t>
  </si>
  <si>
    <t>Assumptions</t>
  </si>
  <si>
    <t>Checks</t>
  </si>
  <si>
    <t>Error Message</t>
  </si>
  <si>
    <t>Model Title Message</t>
  </si>
  <si>
    <t>Alert Message</t>
  </si>
  <si>
    <t>Model Message</t>
  </si>
  <si>
    <t>Input</t>
  </si>
  <si>
    <t>Output</t>
  </si>
  <si>
    <t>Cells containing input texts/numbers NOT intended to be changed by model users</t>
  </si>
  <si>
    <t>Cells containing formulae NOT intended to be changed by model users</t>
  </si>
  <si>
    <t>Heading 2</t>
  </si>
  <si>
    <t>Cells containing assumptions intended to be manipulated by model users</t>
  </si>
  <si>
    <t>Level 1 heading NOT intended to be changed by model users</t>
  </si>
  <si>
    <t>Level 2 heading NOT intended to be changed by model users</t>
  </si>
  <si>
    <t>Model Developer:</t>
  </si>
  <si>
    <t>Purpose of the Model:</t>
  </si>
  <si>
    <t>Model Settings</t>
  </si>
  <si>
    <t>Model Checks</t>
  </si>
  <si>
    <t>End</t>
  </si>
  <si>
    <t>Qtrs_In_Yr</t>
  </si>
  <si>
    <t>N/A</t>
  </si>
  <si>
    <t>NA</t>
  </si>
  <si>
    <t>Model Legend:</t>
  </si>
  <si>
    <t>Cells where inputs or outputs are not applicable</t>
  </si>
  <si>
    <t>Cells containing a drop down list for users to select inputs</t>
  </si>
  <si>
    <t>Cells containing a hyperlink to another part of the workbook</t>
  </si>
  <si>
    <t>Cells representing there is an error in the nominated area of the workbook</t>
  </si>
  <si>
    <t>Cells representing there are no errors in the nominated area of the workbook</t>
  </si>
  <si>
    <t>Cells containing a link from external workbooks</t>
  </si>
  <si>
    <t>Drop Down</t>
  </si>
  <si>
    <t>Hyperlink</t>
  </si>
  <si>
    <t>Model Lookups</t>
  </si>
  <si>
    <t>Days_In_Yr</t>
  </si>
  <si>
    <t>Total Errors</t>
  </si>
  <si>
    <t>Table of Contents</t>
  </si>
  <si>
    <t>Appendix</t>
  </si>
  <si>
    <t>Go to Cover Sheet</t>
  </si>
  <si>
    <t>Period Counter</t>
  </si>
  <si>
    <t>Period Start Date</t>
  </si>
  <si>
    <t>Period End Date</t>
  </si>
  <si>
    <t>Model Start Date</t>
  </si>
  <si>
    <t>Periodicity Inputs</t>
  </si>
  <si>
    <t>Time Series Headings</t>
  </si>
  <si>
    <t>Year</t>
  </si>
  <si>
    <t>Period Type</t>
  </si>
  <si>
    <t>Actual</t>
  </si>
  <si>
    <t>Forecast</t>
  </si>
  <si>
    <t>Regulatory Year</t>
  </si>
  <si>
    <t>Source</t>
  </si>
  <si>
    <t>Unit</t>
  </si>
  <si>
    <t>Basis</t>
  </si>
  <si>
    <t>Timing</t>
  </si>
  <si>
    <t>Real $2018</t>
  </si>
  <si>
    <t>Nominal</t>
  </si>
  <si>
    <t>Real$2018</t>
  </si>
  <si>
    <t>LU_Basis</t>
  </si>
  <si>
    <t>Units</t>
  </si>
  <si>
    <t>Percent</t>
  </si>
  <si>
    <t>Dollars</t>
  </si>
  <si>
    <t>Factor</t>
  </si>
  <si>
    <t>$Millions</t>
  </si>
  <si>
    <t>$000's</t>
  </si>
  <si>
    <t>Millions</t>
  </si>
  <si>
    <t>Thousands</t>
  </si>
  <si>
    <t>LU_Units</t>
  </si>
  <si>
    <t>Start year</t>
  </si>
  <si>
    <t>Mid year</t>
  </si>
  <si>
    <t>End year</t>
  </si>
  <si>
    <t>LU_Timing</t>
  </si>
  <si>
    <t>LU_Timing_Value</t>
  </si>
  <si>
    <t>End_year</t>
  </si>
  <si>
    <t>Mid_year</t>
  </si>
  <si>
    <t>Start_year</t>
  </si>
  <si>
    <t>Category Heading</t>
  </si>
  <si>
    <t>Calculated</t>
  </si>
  <si>
    <t>Not Applicable</t>
  </si>
  <si>
    <t>GWh</t>
  </si>
  <si>
    <t>MWh</t>
  </si>
  <si>
    <t>Number</t>
  </si>
  <si>
    <t>Km</t>
  </si>
  <si>
    <t>Kilometres</t>
  </si>
  <si>
    <t>Disclaimer:</t>
  </si>
  <si>
    <t>CPI Assumptions</t>
  </si>
  <si>
    <t>RBA</t>
  </si>
  <si>
    <t>Real $2019</t>
  </si>
  <si>
    <t>Real$2019</t>
  </si>
  <si>
    <t>Debt Raising Costs</t>
  </si>
  <si>
    <t>Inflation</t>
  </si>
  <si>
    <t>Value</t>
  </si>
  <si>
    <t>Parameter</t>
  </si>
  <si>
    <t>Market risk premium</t>
  </si>
  <si>
    <t>AER</t>
  </si>
  <si>
    <t>Equity beta</t>
  </si>
  <si>
    <t>Leverage</t>
  </si>
  <si>
    <t>Return on equity</t>
  </si>
  <si>
    <t>Return on equity and debt</t>
  </si>
  <si>
    <t>Debt and equity raising costs</t>
  </si>
  <si>
    <t>Imputation Credit Payout Ratio</t>
  </si>
  <si>
    <t>Subsequent Equity Raising Costs</t>
  </si>
  <si>
    <t>Dividend Reinvestment Plan Costs</t>
  </si>
  <si>
    <t>Dividend Reinvestment Plan Take Up</t>
  </si>
  <si>
    <t>Value of imputation credits</t>
  </si>
  <si>
    <t>Prevailing market data</t>
  </si>
  <si>
    <t>Forecast inflation</t>
  </si>
  <si>
    <t>PTRM inputs</t>
  </si>
  <si>
    <t>Cost of Capital</t>
  </si>
  <si>
    <t>Debt and Equity Raising Costs – Transaction Costs (per cent)</t>
  </si>
  <si>
    <t>Inflation Rate</t>
  </si>
  <si>
    <t>Return on Equity</t>
  </si>
  <si>
    <t>Value of Imputation Credits (gamma)</t>
  </si>
  <si>
    <t>Proportion of Debt Funding</t>
  </si>
  <si>
    <t>Risk-free rate</t>
  </si>
  <si>
    <t>Rate of return estimates</t>
  </si>
  <si>
    <t>Return on debt</t>
  </si>
  <si>
    <t>Trailing Average Portfolio Return on Debt</t>
  </si>
  <si>
    <t>Actual inflation</t>
  </si>
  <si>
    <t>ABS</t>
  </si>
  <si>
    <t>Rate of return inputs</t>
  </si>
  <si>
    <t>Rate of return calculations</t>
  </si>
  <si>
    <t>Inputs to PTRM</t>
  </si>
  <si>
    <r>
      <rPr>
        <b/>
        <sz val="10"/>
        <color theme="1"/>
        <rFont val="Helvetica"/>
      </rPr>
      <t>Note</t>
    </r>
    <r>
      <rPr>
        <sz val="10"/>
        <color theme="1"/>
        <rFont val="Helvetica"/>
        <family val="2"/>
      </rPr>
      <t>: Actual inflation based on movement in CPI from June to June quarter</t>
    </r>
  </si>
  <si>
    <t>Main Model</t>
  </si>
  <si>
    <t>▲ Mid-point of the RBA's inflation target range</t>
  </si>
  <si>
    <t>Return on Debt</t>
  </si>
  <si>
    <t>Trailing average</t>
  </si>
  <si>
    <t>Estimated</t>
  </si>
  <si>
    <t>Trailing average return on debt</t>
  </si>
  <si>
    <t>Gigawatt Hours</t>
  </si>
  <si>
    <t>Megawatt Hours</t>
  </si>
  <si>
    <t>LU_Source</t>
  </si>
  <si>
    <t>Annual observation</t>
  </si>
  <si>
    <t>Weight applied to new observations</t>
  </si>
  <si>
    <t>Estimate</t>
  </si>
  <si>
    <t>CPI inputs</t>
  </si>
  <si>
    <t>CPI Profiles</t>
  </si>
  <si>
    <t>Nominal vanilla WACC</t>
  </si>
  <si>
    <t>Period Source Type</t>
  </si>
  <si>
    <t>TGD has not verified the inputs or the outputs of this model and makes no representation or warranty as to the completeness, accuracy, reliability or appropriateness of the model, its inputs and outputs (including any forward looking statements) or how it functions.  To the extent permitted by law, any person using or relying on this model or its outputs does so at their own risk and agrees that TGD will not be liable to any person for any loss or damage of any kind arising out of or in any way connected with the use of this model (including negligence).   The references to TGD in this disclaimer includes their respective directors, officers, employees, contractors, advisers or agents.</t>
  </si>
  <si>
    <t>(Dec 2024)</t>
  </si>
  <si>
    <t>(Dec 2025)</t>
  </si>
  <si>
    <t>Transgrid</t>
  </si>
  <si>
    <t>This model is confidential information of, and is owned by, Transgrid ABN/ACN 70 250 995 390 (TGD).  It may not be disclosed to, or used or relied on by, any person without the consent of TGD.</t>
  </si>
  <si>
    <t>◄ As per the Final Decision for the 2023-28 revenue determination.</t>
  </si>
  <si>
    <t>▲ RBA forecast ▲</t>
  </si>
  <si>
    <t xml:space="preserve">▲                 Glide path                 ▲ </t>
  </si>
  <si>
    <t>Geomean</t>
  </si>
  <si>
    <t>Rate of Return Model - Transgrid (TGD) - Accelerated Syncons</t>
  </si>
  <si>
    <t>The purpose of this model is to provide rate of return outputs which are required as part of the Accelerated Syncons RNIP revenue proposal.</t>
  </si>
  <si>
    <t>(Dec 2026)</t>
  </si>
  <si>
    <t>(Jun 2025)</t>
  </si>
  <si>
    <t>(Jun 2026)</t>
  </si>
  <si>
    <t>(Jun 2027)</t>
  </si>
  <si>
    <t>Unlagged - Dec to Dec</t>
  </si>
  <si>
    <t>Lagged - June to June</t>
  </si>
  <si>
    <t>Pre-period</t>
  </si>
  <si>
    <t>Pre-period WACC</t>
  </si>
  <si>
    <t>Component</t>
  </si>
  <si>
    <t>Inflation (December to December, lagged)</t>
  </si>
  <si>
    <t>Above</t>
  </si>
  <si>
    <t>NER WACC | As per RFM</t>
  </si>
  <si>
    <t>New observation weight</t>
  </si>
  <si>
    <t>First regulatory period</t>
  </si>
  <si>
    <r>
      <rPr>
        <b/>
        <sz val="10"/>
        <color theme="1"/>
        <rFont val="Helvetica"/>
      </rPr>
      <t>Note</t>
    </r>
    <r>
      <rPr>
        <sz val="10"/>
        <color theme="1"/>
        <rFont val="Helvetica"/>
        <family val="2"/>
      </rPr>
      <t>: Actual inflation based on movement in CPI from December to December quarter</t>
    </r>
    <r>
      <rPr>
        <sz val="10"/>
        <color theme="1"/>
        <rFont val="Helvetica"/>
      </rPr>
      <t xml:space="preserve"> where the value in CY25 represents the movement between Dec 24 to Dec 25</t>
    </r>
  </si>
  <si>
    <r>
      <rPr>
        <b/>
        <sz val="10"/>
        <color theme="1"/>
        <rFont val="Helvetica"/>
      </rPr>
      <t>Source</t>
    </r>
    <r>
      <rPr>
        <sz val="10"/>
        <color theme="1"/>
        <rFont val="Helvetica"/>
        <family val="2"/>
      </rPr>
      <t>: ABS (TABLES 3 and 4. CPI: Groups, Weighted Average of Eight Capital Cities, Index Numbers and Percentage Changes, A2325846C); RBA statement on monetary policy, November 2025</t>
    </r>
    <r>
      <rPr>
        <sz val="10"/>
        <color theme="1"/>
        <rFont val="Helvetica"/>
      </rPr>
      <t>, Table: Output Growth, Unemployment and Inflation Forecasts</t>
    </r>
  </si>
  <si>
    <r>
      <rPr>
        <b/>
        <sz val="10"/>
        <color theme="1"/>
        <rFont val="Helvetica"/>
      </rPr>
      <t>Source</t>
    </r>
    <r>
      <rPr>
        <sz val="10"/>
        <color theme="1"/>
        <rFont val="Helvetica"/>
        <family val="2"/>
      </rPr>
      <t>: ABS (TABLES 3 and 4. CPI: Groups, Weighted Average of Eight Capital Cities, Index Numbers and Percentage Changes, A2325846C); RBA statement on monetary policy, November 2025, Table: Output Growth, Unemployment and Inflation Forecasts</t>
    </r>
  </si>
  <si>
    <t>(Dec 2027)</t>
  </si>
  <si>
    <t>(Jun 2024)</t>
  </si>
  <si>
    <t>NER WACC | Translated to September years</t>
  </si>
  <si>
    <t>Note: geometric average used (i.e., WACC for year to Sept 2022 = (1 + WACC for year to June 2022) ^ 0.75 x (1 + WACC for year to June 2023) ^ 0.25</t>
  </si>
  <si>
    <t>Actual and forecasts (September on September)</t>
  </si>
  <si>
    <r>
      <rPr>
        <b/>
        <sz val="10"/>
        <color theme="1"/>
        <rFont val="Helvetica"/>
      </rPr>
      <t>Note</t>
    </r>
    <r>
      <rPr>
        <sz val="10"/>
        <color theme="1"/>
        <rFont val="Helvetica"/>
        <family val="2"/>
      </rPr>
      <t>: Actual inflation based on movement in CPI from September to September quarter</t>
    </r>
  </si>
  <si>
    <t>Unlagged - Sept to Sept</t>
  </si>
  <si>
    <r>
      <rPr>
        <b/>
        <sz val="10"/>
        <color theme="1"/>
        <rFont val="Helvetica"/>
      </rPr>
      <t>Note</t>
    </r>
    <r>
      <rPr>
        <sz val="10"/>
        <color theme="1"/>
        <rFont val="Helvetica"/>
        <family val="2"/>
      </rPr>
      <t>: Actual inflation based on movement in CPI from September to September quarter</t>
    </r>
    <r>
      <rPr>
        <sz val="10"/>
        <color theme="1"/>
        <rFont val="Helvetica"/>
      </rPr>
      <t xml:space="preserve"> where the value in FY25 represents the movement between Sept 24 to Sept  25</t>
    </r>
  </si>
  <si>
    <t>(Sept 2022)</t>
  </si>
  <si>
    <t>(Sept 2023)</t>
  </si>
  <si>
    <t>(Dec 2022)</t>
  </si>
  <si>
    <t>(Dec 2023)</t>
  </si>
  <si>
    <t>(Sept2024)</t>
  </si>
  <si>
    <t>(Sept 2025)</t>
  </si>
  <si>
    <t>(Sept 2027)</t>
  </si>
  <si>
    <t>(Sept 2026)</t>
  </si>
  <si>
    <t>Lagged - March to March</t>
  </si>
  <si>
    <t>(Mar 2024)</t>
  </si>
  <si>
    <t>(Mar 2025)</t>
  </si>
  <si>
    <t>(Mar 2026)</t>
  </si>
  <si>
    <t>(Mar 2027)</t>
  </si>
  <si>
    <t>Note: these values are implied</t>
  </si>
  <si>
    <r>
      <rPr>
        <b/>
        <sz val="10"/>
        <color theme="1"/>
        <rFont val="Helvetica"/>
      </rPr>
      <t>Note</t>
    </r>
    <r>
      <rPr>
        <sz val="10"/>
        <color theme="1"/>
        <rFont val="Helvetica"/>
        <family val="2"/>
      </rPr>
      <t>: Actual inflation based on movement in CPI from March to March quarter</t>
    </r>
  </si>
  <si>
    <t>(Mar 2023)</t>
  </si>
  <si>
    <t>(Mar 2022)</t>
  </si>
  <si>
    <t>(Jun 2022)</t>
  </si>
  <si>
    <t>(Jun 2023)</t>
  </si>
  <si>
    <t>(Jun 2028)</t>
  </si>
  <si>
    <r>
      <rPr>
        <b/>
        <sz val="10"/>
        <color theme="1"/>
        <rFont val="Helvetica"/>
      </rPr>
      <t>Source</t>
    </r>
    <r>
      <rPr>
        <sz val="10"/>
        <color theme="1"/>
        <rFont val="Helvetica"/>
        <family val="2"/>
      </rPr>
      <t>: ABS (TABLES 3 and 4. CPI: Groups, Weighted Average of Eight Capital Cities, Index Numbers and Percentage Changes, A2325846C); RBA statement on monetary policy, February 2026</t>
    </r>
    <r>
      <rPr>
        <sz val="10"/>
        <color theme="1"/>
        <rFont val="Helvetica"/>
      </rPr>
      <t>, Table: Output Growth, Unemployment and Inflation Forecasts</t>
    </r>
  </si>
  <si>
    <r>
      <rPr>
        <b/>
        <sz val="10"/>
        <color theme="1"/>
        <rFont val="Helvetica"/>
      </rPr>
      <t>Source</t>
    </r>
    <r>
      <rPr>
        <sz val="10"/>
        <color theme="1"/>
        <rFont val="Helvetica"/>
        <family val="2"/>
      </rPr>
      <t>: ABS (TABLES 3 and 4. CPI: Groups, Weighted Average of Eight Capital Cities, Index Numbers and Percentage Changes, A2325846C); RBA statement on monetary policy, February 2026, Table: Output Growth, Unemployment and Inflation Forecasts</t>
    </r>
  </si>
  <si>
    <t>(Mar 2028)</t>
  </si>
  <si>
    <t>Return on debt (first observation)</t>
  </si>
  <si>
    <t>Rate of return</t>
  </si>
  <si>
    <t>Fixed parameter assumptions</t>
  </si>
  <si>
    <t>◄ As per the CWO REZ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</si>
</sst>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0_);\(###0\);_(###0_)"/>
    <numFmt numFmtId="165" formatCode="_(#,##0.0_);\(#,##0.0\);_(&quot;-&quot;_)"/>
    <numFmt numFmtId="166" formatCode="_(#,##0.0\x_);\(#,##0.0\x\);_(&quot;-&quot;_)"/>
    <numFmt numFmtId="167" formatCode="_(#,##0.0%_);\(#,##0.0%\);_(&quot;-&quot;_)"/>
    <numFmt numFmtId="168" formatCode="_(&quot;$&quot;#,##0.00_);\(&quot;$&quot;#,##0.00\);_(&quot;-&quot;_)"/>
    <numFmt numFmtId="169" formatCode="_(#,##0_);\(#,##0\);_(&quot;-&quot;_)"/>
    <numFmt numFmtId="170" formatCode="_)d\-mmm\-yy_)"/>
    <numFmt numFmtId="171" formatCode="_(&quot;$&quot;#,##0.0_);\(&quot;$&quot;#,##0.0\);_(&quot;-&quot;_)"/>
    <numFmt numFmtId="172" formatCode="[Red]\●;[Red]\●;[Color10]\●"/>
    <numFmt numFmtId="173" formatCode="[Green]\●;[Red]\●;[Color16]\●"/>
    <numFmt numFmtId="174" formatCode="_(#,##0.00%_);\(#,##0.00%\);_(&quot;-&quot;_)"/>
    <numFmt numFmtId="175" formatCode="_-* #,##0_-;\-* #,##0_-;_-* &quot;-&quot;??_-;_-@_-"/>
    <numFmt numFmtId="176" formatCode="0.0000%"/>
    <numFmt numFmtId="177" formatCode="0.0000000000000000%"/>
  </numFmts>
  <fonts count="46" x14ac:knownFonts="1">
    <font>
      <sz val="8"/>
      <color rgb="FFFF0066"/>
      <name val="Helvetica"/>
      <family val="2"/>
    </font>
    <font>
      <b/>
      <sz val="9"/>
      <color theme="1"/>
      <name val="Helvetica"/>
      <family val="2"/>
    </font>
    <font>
      <sz val="8"/>
      <color theme="1"/>
      <name val="Helvetica"/>
      <family val="2"/>
    </font>
    <font>
      <b/>
      <sz val="8"/>
      <color theme="1"/>
      <name val="Helvetica"/>
      <family val="2"/>
    </font>
    <font>
      <b/>
      <sz val="11"/>
      <color theme="1"/>
      <name val="Calibri"/>
      <family val="2"/>
      <scheme val="minor"/>
    </font>
    <font>
      <sz val="8"/>
      <name val="Helvetica"/>
      <family val="2"/>
    </font>
    <font>
      <b/>
      <sz val="18"/>
      <color theme="3"/>
      <name val="Cambria"/>
      <family val="2"/>
      <scheme val="maj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8"/>
      <color theme="10"/>
      <name val="Helvetica"/>
      <family val="2"/>
    </font>
    <font>
      <b/>
      <sz val="15"/>
      <color theme="1"/>
      <name val="Helvetica"/>
      <family val="2"/>
    </font>
    <font>
      <i/>
      <sz val="8"/>
      <color rgb="FF92D050"/>
      <name val="Helvetica"/>
      <family val="2"/>
    </font>
    <font>
      <b/>
      <sz val="8"/>
      <color theme="0"/>
      <name val="Helvetica"/>
      <family val="2"/>
    </font>
    <font>
      <b/>
      <sz val="8"/>
      <color theme="4"/>
      <name val="Helvetica"/>
      <family val="2"/>
    </font>
    <font>
      <sz val="8"/>
      <color theme="4"/>
      <name val="Helvetica"/>
      <family val="2"/>
    </font>
    <font>
      <sz val="7"/>
      <color theme="4"/>
      <name val="Helvetica"/>
      <family val="2"/>
    </font>
    <font>
      <b/>
      <sz val="15"/>
      <color theme="4"/>
      <name val="Helvetica"/>
      <family val="2"/>
    </font>
    <font>
      <i/>
      <sz val="8"/>
      <color theme="6" tint="0.39994506668294322"/>
      <name val="Helvetica"/>
      <family val="2"/>
    </font>
    <font>
      <b/>
      <sz val="10"/>
      <color theme="1"/>
      <name val="Helvetica"/>
      <family val="2"/>
    </font>
    <font>
      <sz val="10"/>
      <color theme="1"/>
      <name val="Helvetica"/>
      <family val="2"/>
    </font>
    <font>
      <sz val="10"/>
      <color theme="4"/>
      <name val="Helvetica"/>
      <family val="2"/>
    </font>
    <font>
      <b/>
      <sz val="10"/>
      <color theme="4"/>
      <name val="Helvetica"/>
      <family val="2"/>
    </font>
    <font>
      <b/>
      <sz val="11"/>
      <color theme="1"/>
      <name val="Helvetica"/>
      <family val="2"/>
    </font>
    <font>
      <b/>
      <sz val="11"/>
      <color theme="4"/>
      <name val="Helvetica"/>
      <family val="2"/>
    </font>
    <font>
      <b/>
      <sz val="12"/>
      <color theme="0"/>
      <name val="Helvetica"/>
      <family val="2"/>
    </font>
    <font>
      <sz val="10"/>
      <name val="Helvetica"/>
      <family val="2"/>
    </font>
    <font>
      <b/>
      <sz val="10"/>
      <color theme="1"/>
      <name val="Helvetica"/>
    </font>
    <font>
      <b/>
      <sz val="10"/>
      <name val="Helvetica"/>
      <family val="2"/>
    </font>
    <font>
      <sz val="10"/>
      <color theme="1"/>
      <name val="Helvetica"/>
    </font>
    <font>
      <sz val="8"/>
      <color rgb="FFFF0066"/>
      <name val="Helvetica"/>
      <family val="2"/>
    </font>
    <font>
      <i/>
      <sz val="8"/>
      <color indexed="8"/>
      <name val="Arial"/>
      <family val="2"/>
    </font>
    <font>
      <sz val="8"/>
      <color indexed="8"/>
      <name val="Arial"/>
      <family val="2"/>
    </font>
    <font>
      <sz val="10"/>
      <color rgb="FFFF0000"/>
      <name val="Helvetica"/>
      <family val="2"/>
    </font>
    <font>
      <i/>
      <sz val="8"/>
      <name val="Helvetica"/>
    </font>
    <font>
      <sz val="10"/>
      <color theme="4"/>
      <name val="Helvetica"/>
    </font>
    <font>
      <b/>
      <sz val="8"/>
      <color theme="0"/>
      <name val="Helvetica"/>
    </font>
    <font>
      <i/>
      <sz val="9"/>
      <color theme="4"/>
      <name val="Helvetica"/>
    </font>
    <font>
      <i/>
      <sz val="8"/>
      <color theme="1"/>
      <name val="Helvetica"/>
    </font>
  </fonts>
  <fills count="19">
    <fill>
      <patternFill patternType="none"/>
    </fill>
    <fill>
      <patternFill patternType="gray125"/>
    </fill>
    <fill>
      <patternFill patternType="solid">
        <fgColor theme="3" tint="0.79998168889431442"/>
        <bgColor indexed="64"/>
      </patternFill>
    </fill>
    <fill>
      <patternFill patternType="solid">
        <fgColor theme="0" tint="-0.149967955565050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bgColor indexed="64"/>
      </patternFill>
    </fill>
    <fill>
      <patternFill patternType="solid">
        <fgColor theme="4" tint="0.79998168889431442"/>
        <bgColor indexed="64"/>
      </patternFill>
    </fill>
    <fill>
      <patternFill patternType="solid">
        <fgColor theme="9" tint="-0.24994659260841701"/>
        <bgColor indexed="64"/>
      </patternFill>
    </fill>
    <fill>
      <patternFill patternType="solid">
        <fgColor theme="6" tint="-0.24994659260841701"/>
        <bgColor indexed="64"/>
      </patternFill>
    </fill>
    <fill>
      <patternFill patternType="solid">
        <fgColor theme="6" tint="0.39994506668294322"/>
        <bgColor indexed="64"/>
      </patternFill>
    </fill>
    <fill>
      <patternFill patternType="solid">
        <fgColor theme="6" tint="0.59996337778862885"/>
        <bgColor indexed="64"/>
      </patternFill>
    </fill>
    <fill>
      <patternFill patternType="lightUp"/>
    </fill>
    <fill>
      <patternFill patternType="solid">
        <fgColor theme="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top style="thin">
        <color auto="1"/>
      </top>
      <bottom/>
      <diagonal/>
    </border>
    <border>
      <left style="thin">
        <color theme="0"/>
      </left>
      <right style="thin">
        <color theme="0"/>
      </right>
      <top style="thin">
        <color theme="0"/>
      </top>
      <bottom style="thin">
        <color theme="0"/>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dotted">
        <color auto="1"/>
      </right>
      <top/>
      <bottom/>
      <diagonal/>
    </border>
    <border>
      <left/>
      <right style="dotted">
        <color auto="1"/>
      </right>
      <top/>
      <bottom style="thin">
        <color auto="1"/>
      </bottom>
      <diagonal/>
    </border>
    <border>
      <left/>
      <right/>
      <top style="thin">
        <color theme="0"/>
      </top>
      <bottom/>
      <diagonal/>
    </border>
    <border>
      <left/>
      <right style="dotted">
        <color auto="1"/>
      </right>
      <top style="thin">
        <color auto="1"/>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dotted">
        <color theme="0" tint="-0.499984740745262"/>
      </top>
      <bottom/>
      <diagonal/>
    </border>
    <border>
      <left style="thin">
        <color theme="0"/>
      </left>
      <right style="dotted">
        <color theme="0" tint="-0.499984740745262"/>
      </right>
      <top style="dotted">
        <color theme="0" tint="-0.499984740745262"/>
      </top>
      <bottom/>
      <diagonal/>
    </border>
    <border>
      <left style="thin">
        <color theme="0"/>
      </left>
      <right/>
      <top style="thin">
        <color theme="0"/>
      </top>
      <bottom style="thin">
        <color theme="0"/>
      </bottom>
      <diagonal/>
    </border>
    <border>
      <left style="dotted">
        <color theme="1"/>
      </left>
      <right style="thin">
        <color theme="0"/>
      </right>
      <top style="dotted">
        <color theme="0" tint="-0.499984740745262"/>
      </top>
      <bottom style="thin">
        <color theme="0"/>
      </bottom>
      <diagonal/>
    </border>
  </borders>
  <cellStyleXfs count="57">
    <xf numFmtId="0" fontId="0" fillId="0" borderId="0"/>
    <xf numFmtId="168" fontId="2" fillId="0" borderId="0" applyFill="0" applyBorder="0" applyProtection="0">
      <alignment vertical="center"/>
    </xf>
    <xf numFmtId="0" fontId="6" fillId="0" borderId="0" applyNumberFormat="0" applyFill="0" applyBorder="0" applyAlignment="0" applyProtection="0"/>
    <xf numFmtId="0" fontId="32" fillId="11" borderId="0" applyBorder="0">
      <alignment horizontal="left" vertical="center"/>
    </xf>
    <xf numFmtId="0" fontId="1" fillId="3" borderId="0" applyProtection="0">
      <alignment vertical="center"/>
    </xf>
    <xf numFmtId="0" fontId="3" fillId="0" borderId="0" applyFill="0" applyProtection="0">
      <alignment vertical="center"/>
    </xf>
    <xf numFmtId="0" fontId="2" fillId="0" borderId="0" applyFill="0" applyBorder="0" applyProtection="0">
      <alignment vertical="center"/>
    </xf>
    <xf numFmtId="0" fontId="4" fillId="0" borderId="5" applyNumberFormat="0" applyFill="0" applyAlignment="0" applyProtection="0"/>
    <xf numFmtId="0" fontId="28" fillId="12" borderId="4">
      <alignment horizontal="left" vertical="center"/>
      <protection locked="0"/>
    </xf>
    <xf numFmtId="164" fontId="27" fillId="0" borderId="0" applyFill="0" applyBorder="0">
      <alignment horizontal="center" vertical="center"/>
    </xf>
    <xf numFmtId="164" fontId="28" fillId="2" borderId="4">
      <alignment horizontal="center" vertical="center"/>
      <protection locked="0"/>
    </xf>
    <xf numFmtId="170" fontId="27" fillId="0" borderId="0" applyFill="0" applyBorder="0">
      <alignment horizontal="center" vertical="center"/>
    </xf>
    <xf numFmtId="170" fontId="28" fillId="12" borderId="4">
      <alignment horizontal="center" vertical="center"/>
      <protection locked="0"/>
    </xf>
    <xf numFmtId="165" fontId="27" fillId="0" borderId="0" applyFill="0" applyBorder="0">
      <alignment horizontal="right" vertical="center"/>
    </xf>
    <xf numFmtId="165" fontId="28" fillId="12" borderId="4">
      <alignment horizontal="right" vertical="center"/>
      <protection locked="0"/>
    </xf>
    <xf numFmtId="167" fontId="27" fillId="0" borderId="0" applyFill="0" applyBorder="0">
      <alignment horizontal="right" vertical="center"/>
    </xf>
    <xf numFmtId="167" fontId="28" fillId="12" borderId="4">
      <alignment horizontal="right" vertical="center"/>
      <protection locked="0"/>
    </xf>
    <xf numFmtId="166" fontId="27" fillId="0" borderId="0" applyFill="0" applyBorder="0">
      <alignment horizontal="right" vertical="center"/>
    </xf>
    <xf numFmtId="166" fontId="28" fillId="12" borderId="4">
      <alignment horizontal="right" vertical="center"/>
      <protection locked="0"/>
    </xf>
    <xf numFmtId="168" fontId="28" fillId="12" borderId="4">
      <alignment horizontal="right" vertical="center"/>
      <protection locked="0"/>
    </xf>
    <xf numFmtId="0" fontId="24" fillId="0" borderId="0" applyFill="0" applyBorder="0">
      <alignment horizontal="left" vertical="center"/>
    </xf>
    <xf numFmtId="0" fontId="7"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10" fillId="7" borderId="6" applyNumberFormat="0" applyAlignment="0" applyProtection="0"/>
    <xf numFmtId="0" fontId="11" fillId="8" borderId="7" applyNumberFormat="0" applyAlignment="0" applyProtection="0"/>
    <xf numFmtId="0" fontId="12" fillId="8" borderId="6" applyNumberFormat="0" applyAlignment="0" applyProtection="0"/>
    <xf numFmtId="0" fontId="13" fillId="0" borderId="8" applyNumberFormat="0" applyFill="0" applyAlignment="0" applyProtection="0"/>
    <xf numFmtId="0" fontId="14" fillId="9" borderId="9" applyNumberFormat="0" applyAlignment="0" applyProtection="0"/>
    <xf numFmtId="0" fontId="15" fillId="0" borderId="0" applyNumberFormat="0" applyFill="0" applyBorder="0" applyAlignment="0" applyProtection="0"/>
    <xf numFmtId="0" fontId="2" fillId="10" borderId="10" applyNumberFormat="0" applyFont="0" applyAlignment="0" applyProtection="0"/>
    <xf numFmtId="0" fontId="16" fillId="0" borderId="0" applyNumberFormat="0" applyFill="0" applyBorder="0" applyAlignment="0" applyProtection="0"/>
    <xf numFmtId="0" fontId="17" fillId="0" borderId="0" applyNumberFormat="0" applyFill="0" applyBorder="0">
      <alignment horizontal="left" vertical="center"/>
    </xf>
    <xf numFmtId="0" fontId="18" fillId="0" borderId="0" applyFill="0" applyBorder="0">
      <alignment vertical="center"/>
    </xf>
    <xf numFmtId="0" fontId="29" fillId="0" borderId="0" applyFill="0" applyBorder="0">
      <alignment horizontal="left" vertical="center"/>
    </xf>
    <xf numFmtId="0" fontId="35" fillId="0" borderId="0" applyFill="0" applyBorder="0">
      <alignment horizontal="left" vertical="center"/>
    </xf>
    <xf numFmtId="0" fontId="28" fillId="0" borderId="0" applyFill="0" applyBorder="0">
      <alignment horizontal="left" vertical="center"/>
    </xf>
    <xf numFmtId="0" fontId="27" fillId="0" borderId="0" applyFill="0" applyBorder="0">
      <alignment vertical="center"/>
    </xf>
    <xf numFmtId="0" fontId="31" fillId="15" borderId="0" applyBorder="0">
      <alignment horizontal="left" vertical="center"/>
    </xf>
    <xf numFmtId="0" fontId="30" fillId="15" borderId="0" applyBorder="0">
      <alignment horizontal="left" vertical="center"/>
    </xf>
    <xf numFmtId="171" fontId="27" fillId="0" borderId="0" applyFill="0" applyBorder="0">
      <alignment horizontal="right" vertical="center"/>
    </xf>
    <xf numFmtId="0" fontId="23" fillId="0" borderId="0">
      <alignment horizontal="right" vertical="center"/>
    </xf>
    <xf numFmtId="0" fontId="20" fillId="13" borderId="0">
      <alignment horizontal="left" indent="3"/>
    </xf>
    <xf numFmtId="0" fontId="20" fillId="14" borderId="0">
      <alignment horizontal="left" indent="3"/>
    </xf>
    <xf numFmtId="172" fontId="5" fillId="0" borderId="0">
      <alignment horizontal="center" vertical="center"/>
    </xf>
    <xf numFmtId="173" fontId="22" fillId="12" borderId="4">
      <alignment horizontal="center" vertical="center"/>
      <protection locked="0"/>
    </xf>
    <xf numFmtId="173" fontId="5" fillId="0" borderId="0"/>
    <xf numFmtId="165" fontId="28" fillId="0" borderId="0" applyFill="0" applyBorder="0">
      <alignment horizontal="right" vertical="center"/>
    </xf>
    <xf numFmtId="170" fontId="28" fillId="0" borderId="0" applyFill="0" applyBorder="0">
      <alignment horizontal="center" vertical="center"/>
    </xf>
    <xf numFmtId="171" fontId="28" fillId="0" borderId="0" applyFill="0" applyBorder="0">
      <alignment horizontal="right" vertical="center"/>
    </xf>
    <xf numFmtId="166" fontId="28" fillId="0" borderId="0" applyFill="0" applyBorder="0">
      <alignment horizontal="right" vertical="center"/>
    </xf>
    <xf numFmtId="167" fontId="28" fillId="0" borderId="0" applyFill="0" applyBorder="0">
      <alignment horizontal="right" vertical="center"/>
    </xf>
    <xf numFmtId="164" fontId="28" fillId="0" borderId="0" applyFill="0" applyBorder="0">
      <alignment horizontal="center" vertical="center"/>
    </xf>
    <xf numFmtId="0" fontId="28" fillId="16" borderId="4">
      <alignment horizontal="center" vertical="center"/>
      <protection locked="0"/>
    </xf>
    <xf numFmtId="0" fontId="5" fillId="17" borderId="0"/>
    <xf numFmtId="165" fontId="33" fillId="3" borderId="4">
      <alignment horizontal="right" vertical="center"/>
      <protection locked="0"/>
    </xf>
    <xf numFmtId="9" fontId="37" fillId="0" borderId="0" applyFont="0" applyFill="0" applyBorder="0" applyAlignment="0" applyProtection="0"/>
  </cellStyleXfs>
  <cellXfs count="101">
    <xf numFmtId="0" fontId="0" fillId="0" borderId="0" xfId="0"/>
    <xf numFmtId="0" fontId="0" fillId="0" borderId="0" xfId="0" applyAlignment="1">
      <alignment horizontal="left"/>
    </xf>
    <xf numFmtId="0" fontId="32" fillId="11" borderId="0" xfId="3">
      <alignment horizontal="left" vertical="center"/>
    </xf>
    <xf numFmtId="0" fontId="24" fillId="0" borderId="0" xfId="20">
      <alignment horizontal="left" vertical="center"/>
    </xf>
    <xf numFmtId="0" fontId="29" fillId="0" borderId="0" xfId="34">
      <alignment horizontal="left" vertical="center"/>
    </xf>
    <xf numFmtId="0" fontId="35" fillId="0" borderId="0" xfId="35" applyFill="1">
      <alignment horizontal="left" vertical="center"/>
    </xf>
    <xf numFmtId="0" fontId="28" fillId="0" borderId="0" xfId="36">
      <alignment horizontal="left" vertical="center"/>
    </xf>
    <xf numFmtId="0" fontId="27" fillId="0" borderId="0" xfId="37">
      <alignment vertical="center"/>
    </xf>
    <xf numFmtId="0" fontId="31" fillId="15" borderId="0" xfId="38">
      <alignment horizontal="left" vertical="center"/>
    </xf>
    <xf numFmtId="0" fontId="29" fillId="0" borderId="0" xfId="34" applyFill="1">
      <alignment horizontal="left" vertical="center"/>
    </xf>
    <xf numFmtId="0" fontId="27" fillId="0" borderId="0" xfId="37" applyFill="1">
      <alignment vertical="center"/>
    </xf>
    <xf numFmtId="0" fontId="28" fillId="0" borderId="0" xfId="36" applyFill="1">
      <alignment horizontal="left" vertical="center"/>
    </xf>
    <xf numFmtId="0" fontId="28" fillId="0" borderId="1" xfId="36" applyBorder="1" applyAlignment="1">
      <alignment horizontal="center" vertical="center"/>
    </xf>
    <xf numFmtId="0" fontId="19" fillId="0" borderId="0" xfId="37" applyFont="1" applyFill="1">
      <alignment vertical="center"/>
    </xf>
    <xf numFmtId="0" fontId="28" fillId="0" borderId="0" xfId="36" applyAlignment="1">
      <alignment horizontal="right" vertical="center"/>
    </xf>
    <xf numFmtId="0" fontId="29" fillId="0" borderId="0" xfId="34" applyAlignment="1">
      <alignment horizontal="center" vertical="center"/>
    </xf>
    <xf numFmtId="0" fontId="0" fillId="0" borderId="0" xfId="0" applyAlignment="1">
      <alignment horizontal="center"/>
    </xf>
    <xf numFmtId="0" fontId="28" fillId="0" borderId="0" xfId="36" applyAlignment="1">
      <alignment horizontal="center" vertical="center"/>
    </xf>
    <xf numFmtId="0" fontId="25" fillId="0" borderId="0" xfId="37" applyFont="1" applyFill="1">
      <alignment vertical="center"/>
    </xf>
    <xf numFmtId="169" fontId="27" fillId="0" borderId="0" xfId="13" applyNumberFormat="1">
      <alignment horizontal="right" vertical="center"/>
    </xf>
    <xf numFmtId="172" fontId="5" fillId="0" borderId="3" xfId="44" applyBorder="1" applyAlignment="1">
      <alignment horizontal="center"/>
    </xf>
    <xf numFmtId="0" fontId="27" fillId="0" borderId="3" xfId="37" applyBorder="1">
      <alignment vertical="center"/>
    </xf>
    <xf numFmtId="0" fontId="0" fillId="0" borderId="14" xfId="0" applyBorder="1"/>
    <xf numFmtId="0" fontId="0" fillId="0" borderId="3" xfId="0" applyBorder="1"/>
    <xf numFmtId="0" fontId="0" fillId="0" borderId="15" xfId="0" applyBorder="1"/>
    <xf numFmtId="0" fontId="0" fillId="0" borderId="12" xfId="0" applyBorder="1"/>
    <xf numFmtId="0" fontId="0" fillId="0" borderId="11" xfId="0" applyBorder="1"/>
    <xf numFmtId="0" fontId="28" fillId="0" borderId="0" xfId="36" applyBorder="1">
      <alignment horizontal="left" vertical="center"/>
    </xf>
    <xf numFmtId="0" fontId="29" fillId="0" borderId="0" xfId="34" applyBorder="1" applyAlignment="1">
      <alignment horizontal="center" vertical="center"/>
    </xf>
    <xf numFmtId="0" fontId="35" fillId="0" borderId="0" xfId="35" applyBorder="1" applyAlignment="1">
      <alignment horizontal="center" vertical="center"/>
    </xf>
    <xf numFmtId="0" fontId="20" fillId="11" borderId="0" xfId="3" applyFont="1" applyBorder="1" applyAlignment="1">
      <alignment horizontal="center" vertical="center"/>
    </xf>
    <xf numFmtId="0" fontId="21" fillId="15" borderId="0" xfId="38" applyFont="1" applyBorder="1" applyAlignment="1">
      <alignment horizontal="center" vertical="center"/>
    </xf>
    <xf numFmtId="0" fontId="0" fillId="0" borderId="16" xfId="0" applyBorder="1"/>
    <xf numFmtId="0" fontId="0" fillId="0" borderId="2" xfId="0" applyBorder="1"/>
    <xf numFmtId="0" fontId="0" fillId="0" borderId="13" xfId="0" applyBorder="1"/>
    <xf numFmtId="0" fontId="28" fillId="12" borderId="4" xfId="8" applyAlignment="1">
      <alignment horizontal="center" vertical="center"/>
      <protection locked="0"/>
    </xf>
    <xf numFmtId="0" fontId="29" fillId="0" borderId="0" xfId="34" applyFill="1" applyBorder="1" applyAlignment="1">
      <alignment vertical="center"/>
    </xf>
    <xf numFmtId="0" fontId="26" fillId="0" borderId="0" xfId="3" applyFont="1" applyFill="1">
      <alignment horizontal="left" vertical="center"/>
    </xf>
    <xf numFmtId="0" fontId="17" fillId="0" borderId="0" xfId="32" applyBorder="1">
      <alignment horizontal="left" vertical="center"/>
    </xf>
    <xf numFmtId="0" fontId="17" fillId="0" borderId="0" xfId="32">
      <alignment horizontal="left" vertical="center"/>
    </xf>
    <xf numFmtId="0" fontId="17" fillId="0" borderId="0" xfId="32" applyAlignment="1">
      <alignment horizontal="center" vertical="center"/>
    </xf>
    <xf numFmtId="0" fontId="5" fillId="17" borderId="0" xfId="54"/>
    <xf numFmtId="0" fontId="28" fillId="16" borderId="4" xfId="53">
      <alignment horizontal="center" vertical="center"/>
      <protection locked="0"/>
    </xf>
    <xf numFmtId="165" fontId="28" fillId="3" borderId="4" xfId="14" applyFill="1">
      <alignment horizontal="right" vertical="center"/>
      <protection locked="0"/>
    </xf>
    <xf numFmtId="0" fontId="17" fillId="0" borderId="0" xfId="32" applyFill="1">
      <alignment horizontal="left" vertical="center"/>
    </xf>
    <xf numFmtId="170" fontId="28" fillId="0" borderId="1" xfId="48" applyBorder="1">
      <alignment horizontal="center" vertical="center"/>
    </xf>
    <xf numFmtId="170" fontId="27" fillId="0" borderId="0" xfId="11" applyAlignment="1">
      <alignment horizontal="right" vertical="center"/>
    </xf>
    <xf numFmtId="0" fontId="35" fillId="0" borderId="0" xfId="35" applyAlignment="1">
      <alignment horizontal="right" vertical="center"/>
    </xf>
    <xf numFmtId="0" fontId="35" fillId="0" borderId="0" xfId="35" applyAlignment="1">
      <alignment horizontal="center" vertical="center"/>
    </xf>
    <xf numFmtId="170" fontId="27" fillId="0" borderId="0" xfId="11">
      <alignment horizontal="center" vertical="center"/>
    </xf>
    <xf numFmtId="169" fontId="27" fillId="0" borderId="0" xfId="13" applyNumberFormat="1" applyAlignment="1">
      <alignment horizontal="center" vertical="center"/>
    </xf>
    <xf numFmtId="0" fontId="27" fillId="0" borderId="0" xfId="37" applyAlignment="1">
      <alignment horizontal="center" vertical="center"/>
    </xf>
    <xf numFmtId="0" fontId="35" fillId="0" borderId="2" xfId="35" applyBorder="1" applyAlignment="1">
      <alignment horizontal="center" vertical="center"/>
    </xf>
    <xf numFmtId="165" fontId="27" fillId="0" borderId="0" xfId="13" applyFill="1" applyAlignment="1">
      <alignment horizontal="center" vertical="center"/>
    </xf>
    <xf numFmtId="0" fontId="35" fillId="0" borderId="3" xfId="35" applyFill="1" applyBorder="1" applyAlignment="1">
      <alignment horizontal="center" vertical="center"/>
    </xf>
    <xf numFmtId="0" fontId="28" fillId="0" borderId="0" xfId="36" applyFill="1" applyAlignment="1">
      <alignment horizontal="center" vertical="center"/>
    </xf>
    <xf numFmtId="172" fontId="5" fillId="0" borderId="0" xfId="44">
      <alignment horizontal="center" vertical="center"/>
    </xf>
    <xf numFmtId="0" fontId="35" fillId="0" borderId="0" xfId="35" applyAlignment="1">
      <alignment horizontal="center" vertical="center" wrapText="1"/>
    </xf>
    <xf numFmtId="0" fontId="35" fillId="0" borderId="2" xfId="35" applyBorder="1" applyAlignment="1">
      <alignment horizontal="center" vertical="center" wrapText="1"/>
    </xf>
    <xf numFmtId="0" fontId="35" fillId="0" borderId="2" xfId="35" applyBorder="1">
      <alignment horizontal="left" vertical="center"/>
    </xf>
    <xf numFmtId="0" fontId="35" fillId="0" borderId="3" xfId="35" applyFill="1" applyBorder="1">
      <alignment horizontal="left" vertical="center"/>
    </xf>
    <xf numFmtId="0" fontId="27" fillId="0" borderId="0" xfId="37" applyFill="1" applyAlignment="1">
      <alignment horizontal="center" vertical="center"/>
    </xf>
    <xf numFmtId="0" fontId="36" fillId="0" borderId="0" xfId="37" applyFont="1">
      <alignment vertical="center"/>
    </xf>
    <xf numFmtId="20" fontId="0" fillId="0" borderId="0" xfId="0" quotePrefix="1" applyNumberFormat="1"/>
    <xf numFmtId="0" fontId="0" fillId="0" borderId="17" xfId="0" applyBorder="1"/>
    <xf numFmtId="0" fontId="35" fillId="0" borderId="18" xfId="35" applyBorder="1" applyAlignment="1">
      <alignment horizontal="center" vertical="center" wrapText="1"/>
    </xf>
    <xf numFmtId="174" fontId="28" fillId="3" borderId="4" xfId="16" applyNumberFormat="1" applyFill="1" applyAlignment="1">
      <alignment horizontal="center" vertical="center"/>
      <protection locked="0"/>
    </xf>
    <xf numFmtId="165" fontId="27" fillId="0" borderId="0" xfId="13" applyFill="1" applyBorder="1" applyAlignment="1">
      <alignment horizontal="center" vertical="center"/>
    </xf>
    <xf numFmtId="175" fontId="38" fillId="0" borderId="0" xfId="0" applyNumberFormat="1" applyFont="1" applyAlignment="1">
      <alignment horizontal="center"/>
    </xf>
    <xf numFmtId="175" fontId="39" fillId="0" borderId="0" xfId="0" applyNumberFormat="1" applyFont="1"/>
    <xf numFmtId="0" fontId="27" fillId="0" borderId="0" xfId="37" applyAlignment="1">
      <alignment horizontal="left" vertical="center"/>
    </xf>
    <xf numFmtId="10" fontId="27" fillId="0" borderId="0" xfId="56" applyNumberFormat="1" applyFont="1" applyFill="1" applyAlignment="1">
      <alignment horizontal="center" vertical="center"/>
    </xf>
    <xf numFmtId="10" fontId="27" fillId="0" borderId="0" xfId="56" applyNumberFormat="1" applyFont="1" applyFill="1" applyBorder="1" applyAlignment="1">
      <alignment horizontal="center" vertical="center"/>
    </xf>
    <xf numFmtId="10" fontId="34" fillId="0" borderId="3" xfId="56" applyNumberFormat="1" applyFont="1" applyFill="1" applyBorder="1" applyAlignment="1">
      <alignment horizontal="center" vertical="center"/>
    </xf>
    <xf numFmtId="10" fontId="0" fillId="0" borderId="0" xfId="56" applyNumberFormat="1" applyFont="1" applyFill="1"/>
    <xf numFmtId="0" fontId="40" fillId="0" borderId="0" xfId="36" applyFont="1" applyFill="1" applyBorder="1">
      <alignment horizontal="left" vertical="center"/>
    </xf>
    <xf numFmtId="0" fontId="27" fillId="0" borderId="0" xfId="37" applyAlignment="1">
      <alignment horizontal="left" vertical="center" indent="2"/>
    </xf>
    <xf numFmtId="10" fontId="34" fillId="0" borderId="20" xfId="56" applyNumberFormat="1" applyFont="1" applyFill="1" applyBorder="1" applyAlignment="1">
      <alignment horizontal="center" vertical="center"/>
    </xf>
    <xf numFmtId="0" fontId="40" fillId="17" borderId="19" xfId="37" applyFont="1" applyFill="1" applyBorder="1" applyAlignment="1">
      <alignment horizontal="center" vertical="center"/>
    </xf>
    <xf numFmtId="0" fontId="34" fillId="0" borderId="0" xfId="37" applyFont="1">
      <alignment vertical="center"/>
    </xf>
    <xf numFmtId="0" fontId="34" fillId="0" borderId="0" xfId="37" applyFont="1" applyFill="1" applyAlignment="1">
      <alignment horizontal="center" vertical="center"/>
    </xf>
    <xf numFmtId="0" fontId="34" fillId="0" borderId="0" xfId="37" applyFont="1" applyAlignment="1">
      <alignment horizontal="center" vertical="center"/>
    </xf>
    <xf numFmtId="174" fontId="34" fillId="0" borderId="0" xfId="15" applyNumberFormat="1" applyFont="1" applyAlignment="1">
      <alignment horizontal="center" vertical="center"/>
    </xf>
    <xf numFmtId="0" fontId="5" fillId="0" borderId="0" xfId="0" applyFont="1"/>
    <xf numFmtId="0" fontId="41" fillId="0" borderId="0" xfId="0" applyFont="1" applyAlignment="1">
      <alignment horizontal="center"/>
    </xf>
    <xf numFmtId="176" fontId="0" fillId="0" borderId="0" xfId="0" applyNumberFormat="1"/>
    <xf numFmtId="174" fontId="28" fillId="3" borderId="21" xfId="16" applyNumberFormat="1" applyFill="1" applyBorder="1" applyAlignment="1">
      <alignment horizontal="center" vertical="center"/>
      <protection locked="0"/>
    </xf>
    <xf numFmtId="174" fontId="27" fillId="0" borderId="22" xfId="15" applyNumberFormat="1" applyFill="1" applyBorder="1" applyAlignment="1">
      <alignment horizontal="center" vertical="center"/>
    </xf>
    <xf numFmtId="174" fontId="27" fillId="0" borderId="23" xfId="15" applyNumberFormat="1" applyFill="1" applyBorder="1" applyAlignment="1">
      <alignment horizontal="center" vertical="center"/>
    </xf>
    <xf numFmtId="174" fontId="27" fillId="0" borderId="24" xfId="15" applyNumberFormat="1" applyFill="1" applyBorder="1" applyAlignment="1">
      <alignment horizontal="center" vertical="center"/>
    </xf>
    <xf numFmtId="174" fontId="27" fillId="0" borderId="25" xfId="15" applyNumberFormat="1" applyFill="1" applyBorder="1" applyAlignment="1">
      <alignment horizontal="center" vertical="center"/>
    </xf>
    <xf numFmtId="10" fontId="27" fillId="0" borderId="17" xfId="56" applyNumberFormat="1" applyFont="1" applyFill="1" applyBorder="1" applyAlignment="1">
      <alignment horizontal="center" vertical="center"/>
    </xf>
    <xf numFmtId="0" fontId="43" fillId="18" borderId="4" xfId="0" applyFont="1" applyFill="1" applyBorder="1" applyAlignment="1">
      <alignment horizontal="centerContinuous"/>
    </xf>
    <xf numFmtId="177" fontId="0" fillId="0" borderId="0" xfId="0" applyNumberFormat="1"/>
    <xf numFmtId="0" fontId="44" fillId="15" borderId="0" xfId="38" applyFont="1">
      <alignment horizontal="left" vertical="center"/>
    </xf>
    <xf numFmtId="0" fontId="45" fillId="0" borderId="0" xfId="0" applyFont="1"/>
    <xf numFmtId="0" fontId="27" fillId="12" borderId="26" xfId="37" applyFill="1" applyBorder="1" applyAlignment="1">
      <alignment horizontal="centerContinuous" vertical="center"/>
    </xf>
    <xf numFmtId="0" fontId="27" fillId="12" borderId="21" xfId="37" applyFill="1" applyBorder="1" applyAlignment="1">
      <alignment horizontal="centerContinuous" vertical="center"/>
    </xf>
    <xf numFmtId="174" fontId="27" fillId="0" borderId="27" xfId="15" applyNumberFormat="1" applyFill="1" applyBorder="1" applyAlignment="1">
      <alignment horizontal="center" vertical="center"/>
    </xf>
    <xf numFmtId="0" fontId="28" fillId="0" borderId="0" xfId="36" applyFill="1" applyAlignment="1">
      <alignment horizontal="left" vertical="top" wrapText="1"/>
    </xf>
    <xf numFmtId="0" fontId="42" fillId="0" borderId="0" xfId="34" applyFont="1" applyFill="1">
      <alignment horizontal="left" vertical="center"/>
    </xf>
  </cellXfs>
  <cellStyles count="57">
    <cellStyle name="Bad" xfId="22" builtinId="27" hidden="1"/>
    <cellStyle name="Calculation" xfId="26" builtinId="22" hidden="1"/>
    <cellStyle name="Check Cell" xfId="28" builtinId="23" hidden="1"/>
    <cellStyle name="Check RedRedGreen" xfId="44" xr:uid="{00000000-0005-0000-0000-000003000000}"/>
    <cellStyle name="Currency" xfId="1" builtinId="4" hidden="1" customBuiltin="1"/>
    <cellStyle name="Currency" xfId="40" xr:uid="{00000000-0005-0000-0000-000005000000}"/>
    <cellStyle name="Currency Assumptions" xfId="19" xr:uid="{00000000-0005-0000-0000-000006000000}"/>
    <cellStyle name="Currency Input" xfId="49" xr:uid="{00000000-0005-0000-0000-000007000000}"/>
    <cellStyle name="Date" xfId="11" xr:uid="{00000000-0005-0000-0000-000008000000}"/>
    <cellStyle name="Date Assumptions" xfId="12" xr:uid="{00000000-0005-0000-0000-000009000000}"/>
    <cellStyle name="Date Input" xfId="48" xr:uid="{00000000-0005-0000-0000-00000A000000}"/>
    <cellStyle name="Dropdown" xfId="53" xr:uid="{00000000-0005-0000-0000-00000B000000}"/>
    <cellStyle name="Explanatory Text" xfId="31" builtinId="53" hidden="1"/>
    <cellStyle name="External Link" xfId="55" xr:uid="{00000000-0005-0000-0000-00000D000000}"/>
    <cellStyle name="Good" xfId="21" builtinId="26" hidden="1"/>
    <cellStyle name="Heading 1" xfId="3" builtinId="16" customBuiltin="1"/>
    <cellStyle name="Heading 2" xfId="4" builtinId="17" hidden="1" customBuiltin="1"/>
    <cellStyle name="Heading 2 Input" xfId="38" xr:uid="{00000000-0005-0000-0000-000011000000}"/>
    <cellStyle name="Heading 2 Output" xfId="39" xr:uid="{00000000-0005-0000-0000-000012000000}"/>
    <cellStyle name="Heading 3" xfId="5" builtinId="18" hidden="1" customBuiltin="1"/>
    <cellStyle name="Heading 3 Input" xfId="34" xr:uid="{00000000-0005-0000-0000-000014000000}"/>
    <cellStyle name="Heading 3 Output" xfId="35" xr:uid="{00000000-0005-0000-0000-000015000000}"/>
    <cellStyle name="Heading 4" xfId="6" builtinId="19" hidden="1" customBuiltin="1"/>
    <cellStyle name="Heading 4 Assumptions" xfId="8" xr:uid="{00000000-0005-0000-0000-000017000000}"/>
    <cellStyle name="Heading 4 Input" xfId="36" xr:uid="{00000000-0005-0000-0000-000018000000}"/>
    <cellStyle name="Heading 4 Output" xfId="37" xr:uid="{00000000-0005-0000-0000-000019000000}"/>
    <cellStyle name="Hyperlink" xfId="32" builtinId="8" customBuiltin="1"/>
    <cellStyle name="Input" xfId="24" builtinId="20" hidden="1"/>
    <cellStyle name="Line Item Modifier" xfId="41" xr:uid="{00000000-0005-0000-0000-00001C000000}"/>
    <cellStyle name="Linked Cell" xfId="27" builtinId="24" hidden="1"/>
    <cellStyle name="Multiple" xfId="17" xr:uid="{00000000-0005-0000-0000-00001E000000}"/>
    <cellStyle name="Multiple Assumptions" xfId="18" xr:uid="{00000000-0005-0000-0000-00001F000000}"/>
    <cellStyle name="Multiple Input" xfId="50" xr:uid="{00000000-0005-0000-0000-000020000000}"/>
    <cellStyle name="Neutral" xfId="23" builtinId="28" hidden="1"/>
    <cellStyle name="Normal" xfId="0" builtinId="0" customBuiltin="1"/>
    <cellStyle name="Not Applicable" xfId="54" xr:uid="{00000000-0005-0000-0000-000023000000}"/>
    <cellStyle name="Note" xfId="30" builtinId="10" hidden="1"/>
    <cellStyle name="Number" xfId="13" xr:uid="{00000000-0005-0000-0000-000025000000}"/>
    <cellStyle name="Number Assumptions" xfId="14" xr:uid="{00000000-0005-0000-0000-000026000000}"/>
    <cellStyle name="Number Input" xfId="47" xr:uid="{00000000-0005-0000-0000-000027000000}"/>
    <cellStyle name="Output" xfId="25" builtinId="21" hidden="1"/>
    <cellStyle name="Percent" xfId="56" builtinId="5"/>
    <cellStyle name="Percentage" xfId="15" xr:uid="{00000000-0005-0000-0000-00002A000000}"/>
    <cellStyle name="Percentage Assumptions" xfId="16" xr:uid="{00000000-0005-0000-0000-00002B000000}"/>
    <cellStyle name="Percentage Input" xfId="51" xr:uid="{00000000-0005-0000-0000-00002C000000}"/>
    <cellStyle name="Sheet Title Input" xfId="20" xr:uid="{00000000-0005-0000-0000-00002D000000}"/>
    <cellStyle name="Sheet Title Output" xfId="33" xr:uid="{00000000-0005-0000-0000-00002E000000}"/>
    <cellStyle name="Table Header 1" xfId="42" xr:uid="{00000000-0005-0000-0000-00002F000000}"/>
    <cellStyle name="Table Header 2" xfId="43" xr:uid="{00000000-0005-0000-0000-000030000000}"/>
    <cellStyle name="Title" xfId="2" builtinId="15" hidden="1"/>
    <cellStyle name="Total" xfId="7" builtinId="25" hidden="1"/>
    <cellStyle name="Trigger Assumption GreenRedGrey" xfId="45" xr:uid="{00000000-0005-0000-0000-000033000000}"/>
    <cellStyle name="Trigger GreenRedGrey" xfId="46" xr:uid="{00000000-0005-0000-0000-000034000000}"/>
    <cellStyle name="Warning Text" xfId="29" builtinId="11" hidden="1"/>
    <cellStyle name="Year" xfId="9" xr:uid="{00000000-0005-0000-0000-000036000000}"/>
    <cellStyle name="Year Assumptions" xfId="10" xr:uid="{00000000-0005-0000-0000-000037000000}"/>
    <cellStyle name="Year Input" xfId="52" xr:uid="{00000000-0005-0000-0000-000038000000}"/>
  </cellStyles>
  <dxfs count="8">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FF0066"/>
      <color rgb="FF139C00"/>
      <color rgb="FF426286"/>
      <color rgb="FFCC99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5</xdr:row>
      <xdr:rowOff>0</xdr:rowOff>
    </xdr:from>
    <xdr:to>
      <xdr:col>5</xdr:col>
      <xdr:colOff>239395</xdr:colOff>
      <xdr:row>8</xdr:row>
      <xdr:rowOff>128905</xdr:rowOff>
    </xdr:to>
    <xdr:pic>
      <xdr:nvPicPr>
        <xdr:cNvPr id="3" name="Picture 2">
          <a:extLst>
            <a:ext uri="{FF2B5EF4-FFF2-40B4-BE49-F238E27FC236}">
              <a16:creationId xmlns:a16="http://schemas.microsoft.com/office/drawing/2014/main" id="{CD1E23C2-410A-4E69-AD9B-E2F2461B41AA}"/>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864870" y="803910"/>
          <a:ext cx="1835785" cy="55181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35"/>
  <sheetViews>
    <sheetView showGridLines="0" tabSelected="1" zoomScaleNormal="100" workbookViewId="0"/>
  </sheetViews>
  <sheetFormatPr defaultColWidth="9.33203125" defaultRowHeight="11.25" zeroHeight="1" x14ac:dyDescent="0.2"/>
  <cols>
    <col min="2" max="3" width="5.83203125" customWidth="1"/>
    <col min="4" max="4" width="12.83203125" customWidth="1"/>
    <col min="6" max="13" width="10.83203125" customWidth="1"/>
  </cols>
  <sheetData>
    <row r="1" spans="2:15" ht="11.25" customHeight="1" x14ac:dyDescent="0.2"/>
    <row r="2" spans="2:15" ht="11.25" customHeight="1" x14ac:dyDescent="0.2"/>
    <row r="3" spans="2:15" ht="19.5" x14ac:dyDescent="0.2">
      <c r="B3" s="3" t="s">
        <v>160</v>
      </c>
    </row>
    <row r="4" spans="2:15" ht="11.25" customHeight="1" x14ac:dyDescent="0.2"/>
    <row r="5" spans="2:15" ht="11.25" customHeight="1" x14ac:dyDescent="0.2">
      <c r="N5" s="63"/>
      <c r="O5" s="63"/>
    </row>
    <row r="6" spans="2:15" ht="11.25" customHeight="1" x14ac:dyDescent="0.2">
      <c r="N6" s="63"/>
      <c r="O6" s="63"/>
    </row>
    <row r="7" spans="2:15" ht="11.25" customHeight="1" x14ac:dyDescent="0.2">
      <c r="N7" s="63"/>
      <c r="O7" s="63"/>
    </row>
    <row r="8" spans="2:15" ht="11.25" customHeight="1" x14ac:dyDescent="0.2"/>
    <row r="9" spans="2:15" x14ac:dyDescent="0.2"/>
    <row r="10" spans="2:15" x14ac:dyDescent="0.2"/>
    <row r="11" spans="2:15" ht="12.75" x14ac:dyDescent="0.2">
      <c r="C11" s="36" t="s">
        <v>28</v>
      </c>
      <c r="E11" s="75"/>
      <c r="F11" s="11" t="s">
        <v>154</v>
      </c>
    </row>
    <row r="12" spans="2:15" x14ac:dyDescent="0.2"/>
    <row r="13" spans="2:15" ht="12.75" x14ac:dyDescent="0.2">
      <c r="C13" s="9" t="s">
        <v>29</v>
      </c>
    </row>
    <row r="14" spans="2:15" ht="12.75" x14ac:dyDescent="0.2">
      <c r="C14" s="11" t="s">
        <v>161</v>
      </c>
    </row>
    <row r="15" spans="2:15" x14ac:dyDescent="0.2"/>
    <row r="16" spans="2:15" ht="12.75" x14ac:dyDescent="0.2">
      <c r="C16" s="9" t="s">
        <v>36</v>
      </c>
    </row>
    <row r="17" spans="3:13" x14ac:dyDescent="0.2"/>
    <row r="18" spans="3:13" x14ac:dyDescent="0.2">
      <c r="C18" s="22"/>
      <c r="D18" s="23"/>
      <c r="E18" s="23"/>
      <c r="F18" s="23"/>
      <c r="G18" s="23"/>
      <c r="H18" s="23"/>
      <c r="I18" s="23"/>
      <c r="J18" s="23"/>
      <c r="K18" s="23"/>
      <c r="L18" s="23"/>
      <c r="M18" s="24"/>
    </row>
    <row r="19" spans="3:13" ht="12.75" x14ac:dyDescent="0.2">
      <c r="C19" s="25"/>
      <c r="D19" s="35" t="s">
        <v>14</v>
      </c>
      <c r="F19" s="27" t="s">
        <v>25</v>
      </c>
      <c r="M19" s="26"/>
    </row>
    <row r="20" spans="3:13" ht="12.75" x14ac:dyDescent="0.2">
      <c r="C20" s="25"/>
      <c r="D20" s="42" t="s">
        <v>43</v>
      </c>
      <c r="F20" s="27" t="s">
        <v>38</v>
      </c>
      <c r="M20" s="26"/>
    </row>
    <row r="21" spans="3:13" ht="12.75" x14ac:dyDescent="0.2">
      <c r="C21" s="25"/>
      <c r="D21" s="28" t="s">
        <v>20</v>
      </c>
      <c r="F21" s="27" t="s">
        <v>22</v>
      </c>
      <c r="M21" s="26"/>
    </row>
    <row r="22" spans="3:13" ht="12.75" x14ac:dyDescent="0.2">
      <c r="C22" s="25"/>
      <c r="D22" s="29" t="s">
        <v>21</v>
      </c>
      <c r="F22" s="27" t="s">
        <v>23</v>
      </c>
      <c r="M22" s="26"/>
    </row>
    <row r="23" spans="3:13" ht="12.75" x14ac:dyDescent="0.2">
      <c r="C23" s="25"/>
      <c r="D23" s="30" t="s">
        <v>5</v>
      </c>
      <c r="F23" s="27" t="s">
        <v>26</v>
      </c>
      <c r="M23" s="26"/>
    </row>
    <row r="24" spans="3:13" ht="12.75" x14ac:dyDescent="0.2">
      <c r="C24" s="25"/>
      <c r="D24" s="31" t="s">
        <v>24</v>
      </c>
      <c r="F24" s="27" t="s">
        <v>27</v>
      </c>
      <c r="M24" s="26"/>
    </row>
    <row r="25" spans="3:13" ht="12.75" x14ac:dyDescent="0.2">
      <c r="C25" s="25"/>
      <c r="D25" s="41"/>
      <c r="F25" s="27" t="s">
        <v>37</v>
      </c>
      <c r="M25" s="26"/>
    </row>
    <row r="26" spans="3:13" ht="12.75" x14ac:dyDescent="0.2">
      <c r="C26" s="25"/>
      <c r="D26" s="40" t="s">
        <v>44</v>
      </c>
      <c r="F26" s="27" t="s">
        <v>39</v>
      </c>
      <c r="M26" s="26"/>
    </row>
    <row r="27" spans="3:13" ht="12.75" x14ac:dyDescent="0.2">
      <c r="C27" s="25"/>
      <c r="D27" s="56">
        <v>0</v>
      </c>
      <c r="F27" s="27" t="s">
        <v>40</v>
      </c>
      <c r="M27" s="26"/>
    </row>
    <row r="28" spans="3:13" ht="12.75" x14ac:dyDescent="0.2">
      <c r="C28" s="25"/>
      <c r="D28" s="56">
        <v>1</v>
      </c>
      <c r="F28" s="27" t="s">
        <v>41</v>
      </c>
      <c r="M28" s="26"/>
    </row>
    <row r="29" spans="3:13" ht="12.75" x14ac:dyDescent="0.2">
      <c r="C29" s="25"/>
      <c r="D29" s="43"/>
      <c r="F29" s="27" t="s">
        <v>42</v>
      </c>
      <c r="M29" s="26"/>
    </row>
    <row r="30" spans="3:13" x14ac:dyDescent="0.2">
      <c r="C30" s="32"/>
      <c r="D30" s="33"/>
      <c r="E30" s="33"/>
      <c r="F30" s="33"/>
      <c r="G30" s="33"/>
      <c r="H30" s="33"/>
      <c r="I30" s="33"/>
      <c r="J30" s="33"/>
      <c r="K30" s="33"/>
      <c r="L30" s="33"/>
      <c r="M30" s="34"/>
    </row>
    <row r="31" spans="3:13" x14ac:dyDescent="0.2"/>
    <row r="32" spans="3:13" ht="12.75" x14ac:dyDescent="0.2">
      <c r="C32" s="9" t="s">
        <v>95</v>
      </c>
      <c r="D32" s="38"/>
    </row>
    <row r="33" spans="3:24" ht="12.75" x14ac:dyDescent="0.2">
      <c r="C33" s="100" t="s">
        <v>155</v>
      </c>
      <c r="D33" s="100"/>
      <c r="E33" s="100"/>
      <c r="F33" s="100"/>
      <c r="G33" s="100"/>
      <c r="H33" s="100"/>
      <c r="I33" s="100"/>
      <c r="J33" s="100"/>
      <c r="K33" s="100"/>
      <c r="L33" s="100"/>
      <c r="M33" s="100"/>
      <c r="N33" s="100"/>
      <c r="O33" s="100"/>
      <c r="P33" s="100"/>
      <c r="Q33" s="100"/>
      <c r="R33" s="100"/>
      <c r="S33" s="100"/>
      <c r="T33" s="100"/>
      <c r="U33" s="100"/>
      <c r="V33" s="100"/>
      <c r="W33" s="100"/>
      <c r="X33" s="100"/>
    </row>
    <row r="34" spans="3:24" ht="81" customHeight="1" x14ac:dyDescent="0.2">
      <c r="C34" s="99" t="s">
        <v>151</v>
      </c>
      <c r="D34" s="99"/>
      <c r="E34" s="99"/>
      <c r="F34" s="99"/>
      <c r="G34" s="99"/>
      <c r="H34" s="99"/>
      <c r="I34" s="99"/>
      <c r="J34" s="99"/>
      <c r="K34" s="99"/>
      <c r="L34" s="99"/>
      <c r="M34" s="99"/>
      <c r="N34" s="99"/>
      <c r="O34" s="99"/>
      <c r="P34" s="99"/>
      <c r="Q34" s="99"/>
      <c r="R34" s="99"/>
      <c r="S34" s="99"/>
      <c r="T34" s="99"/>
      <c r="U34" s="99"/>
      <c r="V34" s="99"/>
      <c r="W34" s="99"/>
      <c r="X34" s="99"/>
    </row>
    <row r="35" spans="3:24" x14ac:dyDescent="0.2"/>
  </sheetData>
  <mergeCells count="2">
    <mergeCell ref="C34:X34"/>
    <mergeCell ref="C33:X33"/>
  </mergeCells>
  <pageMargins left="0.7" right="0.7" top="0.75" bottom="0.75" header="0.3" footer="0.3"/>
  <pageSetup paperSize="9" scale="7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0"/>
  <sheetViews>
    <sheetView showGridLines="0" zoomScaleNormal="100" workbookViewId="0">
      <pane xSplit="1" ySplit="4" topLeftCell="B5" activePane="bottomRight" state="frozen"/>
      <selection activeCell="E30" sqref="E30"/>
      <selection pane="topRight" activeCell="E30" sqref="E30"/>
      <selection pane="bottomLeft" activeCell="E30" sqref="E30"/>
      <selection pane="bottomRight"/>
    </sheetView>
  </sheetViews>
  <sheetFormatPr defaultColWidth="0" defaultRowHeight="11.25" zeroHeight="1" x14ac:dyDescent="0.2"/>
  <cols>
    <col min="1" max="3" width="2.83203125" customWidth="1"/>
    <col min="4" max="4" width="43.83203125" customWidth="1"/>
    <col min="5" max="9" width="10.83203125" customWidth="1"/>
    <col min="10" max="15" width="10.83203125" hidden="1" customWidth="1"/>
    <col min="16" max="16384" width="9.33203125" hidden="1"/>
  </cols>
  <sheetData>
    <row r="1" spans="2:5" ht="19.5" x14ac:dyDescent="0.2">
      <c r="B1" s="3" t="s">
        <v>48</v>
      </c>
    </row>
    <row r="2" spans="2:5" x14ac:dyDescent="0.2">
      <c r="B2" s="13" t="str">
        <f>Title_Msg</f>
        <v>No Errors Found</v>
      </c>
    </row>
    <row r="3" spans="2:5" ht="12.75" x14ac:dyDescent="0.2">
      <c r="B3" s="44" t="s">
        <v>50</v>
      </c>
      <c r="C3" s="44"/>
      <c r="D3" s="44"/>
      <c r="E3" s="11"/>
    </row>
    <row r="4" spans="2:5" ht="12.75" x14ac:dyDescent="0.2">
      <c r="B4" s="37" t="str">
        <f>Model_Name</f>
        <v>Rate of Return Model - Transgrid (TGD) - Accelerated Syncons</v>
      </c>
    </row>
    <row r="5" spans="2:5" x14ac:dyDescent="0.2"/>
    <row r="6" spans="2:5" s="2" customFormat="1" ht="15.75" x14ac:dyDescent="0.2">
      <c r="B6" s="2" t="str">
        <f>B1</f>
        <v>Table of Contents</v>
      </c>
    </row>
    <row r="7" spans="2:5" ht="4.5" customHeight="1" x14ac:dyDescent="0.2"/>
    <row r="8" spans="2:5" s="8" customFormat="1" ht="15" x14ac:dyDescent="0.2">
      <c r="C8" s="8" t="s">
        <v>135</v>
      </c>
    </row>
    <row r="9" spans="2:5" x14ac:dyDescent="0.2"/>
    <row r="10" spans="2:5" x14ac:dyDescent="0.2">
      <c r="D10" s="39" t="str">
        <f>Input_CPI!B1</f>
        <v>CPI inputs</v>
      </c>
    </row>
    <row r="11" spans="2:5" ht="11.25" customHeight="1" x14ac:dyDescent="0.2">
      <c r="D11" s="44" t="str">
        <f>Input_Data!B1</f>
        <v>Rate of return inputs</v>
      </c>
    </row>
    <row r="12" spans="2:5" ht="11.25" customHeight="1" x14ac:dyDescent="0.2">
      <c r="D12" s="44" t="str">
        <f>Calc_Returns!B1</f>
        <v>Rate of return calculations</v>
      </c>
    </row>
    <row r="13" spans="2:5" x14ac:dyDescent="0.2">
      <c r="D13" s="44" t="str">
        <f>Output_PTRM!$B$1</f>
        <v>Inputs to PTRM</v>
      </c>
    </row>
    <row r="14" spans="2:5" x14ac:dyDescent="0.2"/>
    <row r="15" spans="2:5" s="8" customFormat="1" ht="15" x14ac:dyDescent="0.2">
      <c r="C15" s="8" t="s">
        <v>49</v>
      </c>
    </row>
    <row r="16" spans="2:5" x14ac:dyDescent="0.2"/>
    <row r="17" spans="2:4" x14ac:dyDescent="0.2">
      <c r="D17" s="44" t="str">
        <f>Lookup!B1</f>
        <v>Model Lookups</v>
      </c>
    </row>
    <row r="18" spans="2:4" x14ac:dyDescent="0.2">
      <c r="D18" s="44" t="str">
        <f>Checks!B1</f>
        <v>Checks</v>
      </c>
    </row>
    <row r="19" spans="2:4" x14ac:dyDescent="0.2"/>
    <row r="20" spans="2:4" s="2" customFormat="1" ht="15.75" x14ac:dyDescent="0.2">
      <c r="B20" s="2" t="s">
        <v>32</v>
      </c>
    </row>
  </sheetData>
  <conditionalFormatting sqref="B2">
    <cfRule type="cellIs" dxfId="7" priority="1" operator="notEqual">
      <formula>"No Errors Found"</formula>
    </cfRule>
  </conditionalFormatting>
  <hyperlinks>
    <hyperlink ref="D17" location="Lookup!A1" display="Lookup!A1" xr:uid="{00000000-0004-0000-0100-000000000000}"/>
    <hyperlink ref="D18" location="Checks!A1" display="Checks!A1" xr:uid="{00000000-0004-0000-0100-000001000000}"/>
    <hyperlink ref="B3:D3" location="Cover!A1" display="Go to Cover Sheet" xr:uid="{00000000-0004-0000-0100-000002000000}"/>
    <hyperlink ref="D11" location="Input_Data!A1" display="Input_Data!A1" xr:uid="{00000000-0004-0000-0100-000003000000}"/>
    <hyperlink ref="D13" location="Output_PTRM!A1" display="Output_PTRM!A1" xr:uid="{00000000-0004-0000-0100-000004000000}"/>
    <hyperlink ref="C8" location="SC_General!A1" display="SC_General!A1" xr:uid="{00000000-0004-0000-0100-000007000000}"/>
    <hyperlink ref="D12" location="Calc_Returns!A1" display="Calc_Returns!A1" xr:uid="{00000000-0004-0000-0100-000008000000}"/>
    <hyperlink ref="D10" location="Input_CPI!A1" display="Input_CPI!A1" xr:uid="{B4F7BD1D-EB0F-4736-9304-1FB18704DFD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93F32-25AF-4A08-A513-906BAD80A85F}">
  <sheetPr>
    <tabColor theme="4" tint="0.59999389629810485"/>
  </sheetPr>
  <dimension ref="A1:Q62"/>
  <sheetViews>
    <sheetView showGridLines="0" zoomScaleNormal="100" workbookViewId="0">
      <pane xSplit="1" ySplit="10" topLeftCell="B11" activePane="bottomRight" state="frozen"/>
      <selection activeCell="E30" sqref="E30"/>
      <selection pane="topRight" activeCell="E30" sqref="E30"/>
      <selection pane="bottomLeft" activeCell="E30" sqref="E30"/>
      <selection pane="bottomRight"/>
    </sheetView>
  </sheetViews>
  <sheetFormatPr defaultColWidth="9.33203125" defaultRowHeight="11.25" zeroHeight="1" outlineLevelRow="1" x14ac:dyDescent="0.2"/>
  <cols>
    <col min="1" max="1" width="3.33203125" customWidth="1"/>
    <col min="2" max="2" width="2.83203125" customWidth="1"/>
    <col min="3" max="3" width="5" customWidth="1"/>
    <col min="4" max="4" width="37.5" customWidth="1"/>
    <col min="5" max="8" width="14.6640625" customWidth="1"/>
    <col min="9" max="9" width="5.5" customWidth="1"/>
    <col min="10" max="12" width="12.83203125" customWidth="1"/>
    <col min="14" max="14" width="9.33203125" customWidth="1"/>
  </cols>
  <sheetData>
    <row r="1" spans="1:16" ht="19.5" x14ac:dyDescent="0.2">
      <c r="A1" s="56">
        <f>IF(SUM($A11:$A62)&gt;0,1,0)</f>
        <v>0</v>
      </c>
      <c r="B1" s="3" t="s">
        <v>147</v>
      </c>
    </row>
    <row r="2" spans="1:16" x14ac:dyDescent="0.2">
      <c r="B2" s="13" t="str">
        <f>Title_Msg</f>
        <v>No Errors Found</v>
      </c>
    </row>
    <row r="3" spans="1:16" x14ac:dyDescent="0.2">
      <c r="B3" s="44" t="str">
        <f>TOC!B1</f>
        <v>Table of Contents</v>
      </c>
      <c r="C3" s="39"/>
      <c r="D3" s="39"/>
      <c r="E3" s="39"/>
    </row>
    <row r="4" spans="1:16" ht="12.75" x14ac:dyDescent="0.2">
      <c r="B4" s="37" t="str">
        <f>Model_Name</f>
        <v>Rate of Return Model - Transgrid (TGD) - Accelerated Syncons</v>
      </c>
    </row>
    <row r="5" spans="1:16" ht="12.75" hidden="1" outlineLevel="1" x14ac:dyDescent="0.2">
      <c r="B5" s="10" t="str">
        <f>Lookup!B14</f>
        <v>Period Start Date</v>
      </c>
      <c r="I5" s="49">
        <f>Lookup!L14</f>
        <v>45566</v>
      </c>
      <c r="J5" s="49">
        <f>Lookup!M14</f>
        <v>45931</v>
      </c>
      <c r="K5" s="49">
        <f>Lookup!N14</f>
        <v>46296</v>
      </c>
    </row>
    <row r="6" spans="1:16" ht="12.75" hidden="1" outlineLevel="1" x14ac:dyDescent="0.2">
      <c r="B6" s="10" t="str">
        <f>Lookup!B15</f>
        <v>Period End Date</v>
      </c>
      <c r="I6" s="49">
        <f>Lookup!L15</f>
        <v>45930</v>
      </c>
      <c r="J6" s="49">
        <f>Lookup!M15</f>
        <v>46295</v>
      </c>
      <c r="K6" s="49">
        <f>Lookup!N15</f>
        <v>46660</v>
      </c>
    </row>
    <row r="7" spans="1:16" ht="12.75" hidden="1" outlineLevel="1" x14ac:dyDescent="0.2">
      <c r="B7" s="10" t="str">
        <f>Lookup!B16</f>
        <v>Period Counter</v>
      </c>
      <c r="I7" s="50">
        <f>Lookup!L16</f>
        <v>4</v>
      </c>
      <c r="J7" s="50">
        <f>Lookup!M16</f>
        <v>5</v>
      </c>
      <c r="K7" s="50">
        <f>Lookup!N16</f>
        <v>6</v>
      </c>
    </row>
    <row r="8" spans="1:16" ht="12.75" hidden="1" outlineLevel="1" x14ac:dyDescent="0.2">
      <c r="B8" s="10" t="str">
        <f>Lookup!B17</f>
        <v>Year</v>
      </c>
      <c r="I8" s="51">
        <f>Lookup!L17</f>
        <v>2025</v>
      </c>
      <c r="J8" s="51">
        <f>Lookup!M17</f>
        <v>2026</v>
      </c>
      <c r="K8" s="51">
        <f>Lookup!N17</f>
        <v>2027</v>
      </c>
    </row>
    <row r="9" spans="1:16" ht="12.75" hidden="1" outlineLevel="1" x14ac:dyDescent="0.2">
      <c r="B9" s="10" t="str">
        <f>Lookup!B18</f>
        <v>Period Type</v>
      </c>
      <c r="I9" s="51" t="str">
        <f>Lookup!L18</f>
        <v>Actual</v>
      </c>
      <c r="J9" s="51" t="str">
        <f>Lookup!M18</f>
        <v>Estimate</v>
      </c>
      <c r="K9" s="51" t="str">
        <f>Lookup!N18</f>
        <v>Forecast</v>
      </c>
    </row>
    <row r="10" spans="1:16" ht="12.75" collapsed="1" x14ac:dyDescent="0.2">
      <c r="B10" s="5" t="str">
        <f>Lookup!B19</f>
        <v>Regulatory Year</v>
      </c>
      <c r="E10" s="48" t="str">
        <f>Lookup!E19</f>
        <v>Source</v>
      </c>
      <c r="F10" s="48" t="str">
        <f>Lookup!F19</f>
        <v>Unit</v>
      </c>
      <c r="G10" s="48" t="str">
        <f>Lookup!G19</f>
        <v>Basis</v>
      </c>
      <c r="H10" s="48" t="str">
        <f>Lookup!H19</f>
        <v>Timing</v>
      </c>
      <c r="J10" s="48" t="str">
        <f>Lookup!I19</f>
        <v>FY22</v>
      </c>
      <c r="K10" s="48" t="str">
        <f>Lookup!J19</f>
        <v>FY23</v>
      </c>
      <c r="L10" s="48" t="str">
        <f>Lookup!K19</f>
        <v>FY24</v>
      </c>
      <c r="M10" s="48" t="str">
        <f>Lookup!L19</f>
        <v>FY25</v>
      </c>
      <c r="N10" s="48" t="str">
        <f>Lookup!M19</f>
        <v>FY26</v>
      </c>
      <c r="O10" s="48" t="str">
        <f>Lookup!N19</f>
        <v>FY27</v>
      </c>
      <c r="P10" s="48" t="str">
        <f>Lookup!O19</f>
        <v>FY28</v>
      </c>
    </row>
    <row r="11" spans="1:16" x14ac:dyDescent="0.2"/>
    <row r="12" spans="1:16" s="2" customFormat="1" ht="15.75" x14ac:dyDescent="0.2">
      <c r="B12" s="2" t="s">
        <v>148</v>
      </c>
    </row>
    <row r="13" spans="1:16" ht="4.5" customHeight="1" x14ac:dyDescent="0.2"/>
    <row r="14" spans="1:16" s="8" customFormat="1" ht="15" x14ac:dyDescent="0.2">
      <c r="C14" s="8" t="s">
        <v>195</v>
      </c>
    </row>
    <row r="15" spans="1:16" x14ac:dyDescent="0.2"/>
    <row r="16" spans="1:16" ht="12.6" customHeight="1" x14ac:dyDescent="0.2">
      <c r="D16" s="59" t="s">
        <v>101</v>
      </c>
      <c r="E16" s="58" t="str">
        <f>Lookup!E$19</f>
        <v>Source</v>
      </c>
      <c r="F16" s="58" t="str">
        <f>Lookup!F$19</f>
        <v>Unit</v>
      </c>
      <c r="G16" s="58" t="str">
        <f>Lookup!G$19</f>
        <v>Basis</v>
      </c>
      <c r="H16" s="58" t="str">
        <f>Lookup!H$19</f>
        <v>Timing</v>
      </c>
      <c r="J16" s="58" t="str">
        <f t="shared" ref="J16:K16" si="0">J$10</f>
        <v>FY22</v>
      </c>
      <c r="K16" s="58" t="str">
        <f t="shared" si="0"/>
        <v>FY23</v>
      </c>
      <c r="L16" s="58" t="str">
        <f>L$10</f>
        <v>FY24</v>
      </c>
      <c r="M16" s="58" t="str">
        <f>M$10</f>
        <v>FY25</v>
      </c>
      <c r="N16" s="58" t="str">
        <f>N$10</f>
        <v>FY26</v>
      </c>
      <c r="O16" s="58" t="str">
        <f>O$10</f>
        <v>FY27</v>
      </c>
      <c r="P16" s="58" t="str">
        <f>P$10</f>
        <v>FY28</v>
      </c>
    </row>
    <row r="17" spans="3:17" ht="12.6" customHeight="1" x14ac:dyDescent="0.2"/>
    <row r="18" spans="3:17" ht="12.6" customHeight="1" x14ac:dyDescent="0.2">
      <c r="D18" s="7" t="s">
        <v>59</v>
      </c>
      <c r="E18" s="61" t="s">
        <v>130</v>
      </c>
      <c r="F18" s="51" t="str">
        <f t="shared" ref="F18:F21" si="1">Percent</f>
        <v>Percent</v>
      </c>
      <c r="G18" s="51" t="str">
        <f t="shared" ref="G18:H21" si="2">NA</f>
        <v>N/A</v>
      </c>
      <c r="H18" s="51" t="str">
        <f t="shared" si="2"/>
        <v>N/A</v>
      </c>
      <c r="J18" s="66">
        <v>5.0890585241730291E-2</v>
      </c>
      <c r="K18" s="66">
        <v>7.0217917675544639E-2</v>
      </c>
      <c r="L18" s="66">
        <v>3.6199095022624528E-2</v>
      </c>
      <c r="M18" s="66">
        <v>2.4017467248908186E-2</v>
      </c>
      <c r="N18" s="66"/>
      <c r="O18" s="66"/>
      <c r="P18" s="66"/>
    </row>
    <row r="19" spans="3:17" ht="12.6" customHeight="1" x14ac:dyDescent="0.2">
      <c r="D19" s="7" t="s">
        <v>60</v>
      </c>
      <c r="E19" s="61" t="s">
        <v>97</v>
      </c>
      <c r="F19" s="51" t="str">
        <f t="shared" si="1"/>
        <v>Percent</v>
      </c>
      <c r="G19" s="51" t="str">
        <f t="shared" si="2"/>
        <v>N/A</v>
      </c>
      <c r="H19" s="51" t="str">
        <f t="shared" si="2"/>
        <v>N/A</v>
      </c>
      <c r="J19" s="78"/>
      <c r="K19" s="78"/>
      <c r="L19" s="78"/>
      <c r="M19" s="78"/>
      <c r="N19" s="66">
        <f>(1+M45)^0.5*(1+N33)^0.5-1</f>
        <v>3.9803563181593393E-2</v>
      </c>
      <c r="O19" s="66">
        <f>(1+N45)^0.5*(1+O33)^0.5-1</f>
        <v>3.2494067779568425E-2</v>
      </c>
      <c r="P19" s="66">
        <f>(1+O45)^0.5*(1+P33)^0.5-1</f>
        <v>2.6499878226977636E-2</v>
      </c>
      <c r="Q19" s="95" t="s">
        <v>200</v>
      </c>
    </row>
    <row r="20" spans="3:17" ht="12.6" customHeight="1" x14ac:dyDescent="0.2">
      <c r="J20" s="84" t="s">
        <v>203</v>
      </c>
      <c r="K20" s="84" t="s">
        <v>202</v>
      </c>
      <c r="L20" s="84" t="s">
        <v>196</v>
      </c>
      <c r="M20" s="84" t="s">
        <v>197</v>
      </c>
      <c r="N20" s="84" t="s">
        <v>198</v>
      </c>
      <c r="O20" s="84" t="s">
        <v>199</v>
      </c>
      <c r="P20" s="84" t="s">
        <v>209</v>
      </c>
    </row>
    <row r="21" spans="3:17" ht="12.6" customHeight="1" x14ac:dyDescent="0.2">
      <c r="D21" s="79" t="str">
        <f>"Applied - "&amp;C14</f>
        <v>Applied - Lagged - March to March</v>
      </c>
      <c r="E21" s="80" t="s">
        <v>88</v>
      </c>
      <c r="F21" s="81" t="str">
        <f t="shared" si="1"/>
        <v>Percent</v>
      </c>
      <c r="G21" s="81" t="str">
        <f t="shared" si="2"/>
        <v>N/A</v>
      </c>
      <c r="H21" s="81" t="str">
        <f t="shared" si="2"/>
        <v>N/A</v>
      </c>
      <c r="J21" s="82">
        <f t="shared" ref="J21" si="3">IF(ISBLANK(J18),J19,J18)</f>
        <v>5.0890585241730291E-2</v>
      </c>
      <c r="K21" s="82">
        <f t="shared" ref="K21" si="4">IF(ISBLANK(K18),K19,K18)</f>
        <v>7.0217917675544639E-2</v>
      </c>
      <c r="L21" s="82">
        <f t="shared" ref="L21:O21" si="5">IF(ISBLANK(L18),L19,L18)</f>
        <v>3.6199095022624528E-2</v>
      </c>
      <c r="M21" s="82">
        <f t="shared" si="5"/>
        <v>2.4017467248908186E-2</v>
      </c>
      <c r="N21" s="82">
        <f t="shared" si="5"/>
        <v>3.9803563181593393E-2</v>
      </c>
      <c r="O21" s="82">
        <f t="shared" si="5"/>
        <v>3.2494067779568425E-2</v>
      </c>
      <c r="P21" s="82">
        <f t="shared" ref="P21" si="6">IF(ISBLANK(P18),P19,P18)</f>
        <v>2.6499878226977636E-2</v>
      </c>
    </row>
    <row r="22" spans="3:17" ht="12.6" customHeight="1" x14ac:dyDescent="0.2">
      <c r="D22" s="7"/>
      <c r="E22" s="61"/>
      <c r="F22" s="51"/>
      <c r="G22" s="51"/>
      <c r="H22" s="51"/>
    </row>
    <row r="23" spans="3:17" ht="15" customHeight="1" x14ac:dyDescent="0.2">
      <c r="C23" s="62" t="s">
        <v>201</v>
      </c>
    </row>
    <row r="24" spans="3:17" ht="15" customHeight="1" x14ac:dyDescent="0.2">
      <c r="C24" s="62" t="s">
        <v>207</v>
      </c>
    </row>
    <row r="25" spans="3:17" x14ac:dyDescent="0.2"/>
    <row r="26" spans="3:17" s="8" customFormat="1" ht="15" x14ac:dyDescent="0.2">
      <c r="C26" s="8" t="s">
        <v>167</v>
      </c>
    </row>
    <row r="27" spans="3:17" x14ac:dyDescent="0.2"/>
    <row r="28" spans="3:17" ht="12.6" customHeight="1" x14ac:dyDescent="0.2">
      <c r="D28" s="59" t="s">
        <v>101</v>
      </c>
      <c r="E28" s="58" t="str">
        <f>Lookup!E$19</f>
        <v>Source</v>
      </c>
      <c r="F28" s="58" t="str">
        <f>Lookup!F$19</f>
        <v>Unit</v>
      </c>
      <c r="G28" s="58" t="str">
        <f>Lookup!G$19</f>
        <v>Basis</v>
      </c>
      <c r="H28" s="58" t="str">
        <f>Lookup!H$19</f>
        <v>Timing</v>
      </c>
      <c r="J28" s="58" t="str">
        <f t="shared" ref="J28:P28" si="7">J$10</f>
        <v>FY22</v>
      </c>
      <c r="K28" s="58" t="str">
        <f t="shared" si="7"/>
        <v>FY23</v>
      </c>
      <c r="L28" s="58" t="str">
        <f t="shared" si="7"/>
        <v>FY24</v>
      </c>
      <c r="M28" s="58" t="str">
        <f t="shared" si="7"/>
        <v>FY25</v>
      </c>
      <c r="N28" s="58" t="str">
        <f t="shared" si="7"/>
        <v>FY26</v>
      </c>
      <c r="O28" s="58" t="str">
        <f t="shared" si="7"/>
        <v>FY27</v>
      </c>
      <c r="P28" s="58" t="str">
        <f t="shared" si="7"/>
        <v>FY28</v>
      </c>
    </row>
    <row r="29" spans="3:17" ht="12.6" customHeight="1" x14ac:dyDescent="0.2"/>
    <row r="30" spans="3:17" ht="12.6" customHeight="1" x14ac:dyDescent="0.2">
      <c r="D30" s="7" t="s">
        <v>59</v>
      </c>
      <c r="E30" s="61" t="s">
        <v>130</v>
      </c>
      <c r="F30" s="51" t="str">
        <f t="shared" ref="F30:F33" si="8">Percent</f>
        <v>Percent</v>
      </c>
      <c r="G30" s="51" t="str">
        <f t="shared" ref="G30:H33" si="9">NA</f>
        <v>N/A</v>
      </c>
      <c r="H30" s="51" t="str">
        <f t="shared" si="9"/>
        <v>N/A</v>
      </c>
      <c r="J30" s="66">
        <v>6.1447811447811418E-2</v>
      </c>
      <c r="K30" s="66">
        <v>6.0269627279936566E-2</v>
      </c>
      <c r="L30" s="66">
        <v>3.8145100972326373E-2</v>
      </c>
      <c r="M30" s="66">
        <v>2.0893371757924939E-2</v>
      </c>
      <c r="N30" s="66"/>
      <c r="O30" s="66"/>
      <c r="P30" s="66"/>
    </row>
    <row r="31" spans="3:17" ht="12.6" customHeight="1" x14ac:dyDescent="0.2">
      <c r="D31" s="7" t="s">
        <v>60</v>
      </c>
      <c r="E31" s="61" t="s">
        <v>97</v>
      </c>
      <c r="F31" s="51" t="str">
        <f t="shared" si="8"/>
        <v>Percent</v>
      </c>
      <c r="G31" s="51" t="str">
        <f t="shared" si="9"/>
        <v>N/A</v>
      </c>
      <c r="H31" s="51" t="str">
        <f t="shared" si="9"/>
        <v>N/A</v>
      </c>
      <c r="J31" s="78"/>
      <c r="K31" s="78"/>
      <c r="L31" s="78"/>
      <c r="M31" s="78"/>
      <c r="N31" s="66">
        <v>4.2000000000000003E-2</v>
      </c>
      <c r="O31" s="66">
        <v>2.9000000000000001E-2</v>
      </c>
      <c r="P31" s="66">
        <v>2.5999999999999999E-2</v>
      </c>
    </row>
    <row r="32" spans="3:17" ht="12.6" customHeight="1" x14ac:dyDescent="0.2">
      <c r="J32" s="84" t="s">
        <v>204</v>
      </c>
      <c r="K32" s="84" t="s">
        <v>205</v>
      </c>
      <c r="L32" s="84" t="s">
        <v>180</v>
      </c>
      <c r="M32" s="84" t="s">
        <v>163</v>
      </c>
      <c r="N32" s="84" t="s">
        <v>164</v>
      </c>
      <c r="O32" s="84" t="s">
        <v>165</v>
      </c>
      <c r="P32" s="84" t="s">
        <v>206</v>
      </c>
    </row>
    <row r="33" spans="3:16" ht="12.6" customHeight="1" x14ac:dyDescent="0.2">
      <c r="D33" s="79" t="str">
        <f>"Applied - "&amp;C26</f>
        <v>Applied - Lagged - June to June</v>
      </c>
      <c r="E33" s="80" t="s">
        <v>88</v>
      </c>
      <c r="F33" s="81" t="str">
        <f t="shared" si="8"/>
        <v>Percent</v>
      </c>
      <c r="G33" s="81" t="str">
        <f t="shared" si="9"/>
        <v>N/A</v>
      </c>
      <c r="H33" s="81" t="str">
        <f t="shared" si="9"/>
        <v>N/A</v>
      </c>
      <c r="J33" s="82">
        <f t="shared" ref="J33" si="10">IF(ISBLANK(J30),J31,J30)</f>
        <v>6.1447811447811418E-2</v>
      </c>
      <c r="K33" s="82">
        <f t="shared" ref="K33:L33" si="11">IF(ISBLANK(K30),K31,K30)</f>
        <v>6.0269627279936566E-2</v>
      </c>
      <c r="L33" s="82">
        <f t="shared" si="11"/>
        <v>3.8145100972326373E-2</v>
      </c>
      <c r="M33" s="82">
        <f t="shared" ref="M33:N33" si="12">IF(ISBLANK(M30),M31,M30)</f>
        <v>2.0893371757924939E-2</v>
      </c>
      <c r="N33" s="82">
        <f t="shared" si="12"/>
        <v>4.2000000000000003E-2</v>
      </c>
      <c r="O33" s="82">
        <f t="shared" ref="O33:P33" si="13">IF(ISBLANK(O30),O31,O30)</f>
        <v>2.9000000000000001E-2</v>
      </c>
      <c r="P33" s="82">
        <f t="shared" si="13"/>
        <v>2.5999999999999999E-2</v>
      </c>
    </row>
    <row r="34" spans="3:16" ht="12.6" customHeight="1" x14ac:dyDescent="0.2">
      <c r="D34" s="7"/>
      <c r="E34" s="61"/>
      <c r="F34" s="51"/>
      <c r="G34" s="51"/>
      <c r="H34" s="51"/>
    </row>
    <row r="35" spans="3:16" ht="15" customHeight="1" x14ac:dyDescent="0.2">
      <c r="C35" s="62" t="s">
        <v>134</v>
      </c>
    </row>
    <row r="36" spans="3:16" ht="15" customHeight="1" x14ac:dyDescent="0.2">
      <c r="C36" s="62" t="s">
        <v>207</v>
      </c>
    </row>
    <row r="37" spans="3:16" x14ac:dyDescent="0.2"/>
    <row r="38" spans="3:16" s="8" customFormat="1" ht="15" x14ac:dyDescent="0.2">
      <c r="C38" s="8" t="s">
        <v>166</v>
      </c>
    </row>
    <row r="39" spans="3:16" x14ac:dyDescent="0.2"/>
    <row r="40" spans="3:16" ht="12.4" customHeight="1" x14ac:dyDescent="0.2">
      <c r="D40" s="59" t="s">
        <v>101</v>
      </c>
      <c r="E40" s="58" t="str">
        <f>Lookup!E$19</f>
        <v>Source</v>
      </c>
      <c r="F40" s="58" t="str">
        <f>Lookup!F$19</f>
        <v>Unit</v>
      </c>
      <c r="G40" s="58" t="str">
        <f>Lookup!G$19</f>
        <v>Basis</v>
      </c>
      <c r="H40" s="58" t="str">
        <f>Lookup!H$19</f>
        <v>Timing</v>
      </c>
      <c r="J40" s="58" t="str">
        <f t="shared" ref="J40:K40" si="14">J$10</f>
        <v>FY22</v>
      </c>
      <c r="K40" s="58" t="str">
        <f t="shared" si="14"/>
        <v>FY23</v>
      </c>
      <c r="L40" s="58" t="str">
        <f>L$10</f>
        <v>FY24</v>
      </c>
      <c r="M40" s="58" t="str">
        <f>M$10</f>
        <v>FY25</v>
      </c>
      <c r="N40" s="58" t="str">
        <f>N$10</f>
        <v>FY26</v>
      </c>
      <c r="O40" s="58" t="str">
        <f>O$10</f>
        <v>FY27</v>
      </c>
    </row>
    <row r="41" spans="3:16" ht="12.4" customHeight="1" x14ac:dyDescent="0.2"/>
    <row r="42" spans="3:16" ht="12.4" customHeight="1" x14ac:dyDescent="0.2">
      <c r="D42" s="7" t="s">
        <v>59</v>
      </c>
      <c r="E42" s="61" t="s">
        <v>130</v>
      </c>
      <c r="F42" s="51" t="str">
        <f t="shared" ref="F42:F45" si="15">Percent</f>
        <v>Percent</v>
      </c>
      <c r="G42" s="51" t="str">
        <f t="shared" ref="G42:H45" si="16">NA</f>
        <v>N/A</v>
      </c>
      <c r="H42" s="51" t="str">
        <f t="shared" si="16"/>
        <v>N/A</v>
      </c>
      <c r="J42" s="66">
        <v>7.8318219291014124E-2</v>
      </c>
      <c r="K42" s="66">
        <v>4.0519877675840865E-2</v>
      </c>
      <c r="L42" s="66">
        <v>2.4246877296105973E-2</v>
      </c>
      <c r="M42" s="66">
        <v>3.7611756242935002E-2</v>
      </c>
      <c r="N42" s="66"/>
      <c r="O42" s="66"/>
    </row>
    <row r="43" spans="3:16" ht="12.4" customHeight="1" x14ac:dyDescent="0.2">
      <c r="D43" s="7" t="s">
        <v>60</v>
      </c>
      <c r="E43" s="61" t="s">
        <v>97</v>
      </c>
      <c r="F43" s="51" t="str">
        <f t="shared" si="15"/>
        <v>Percent</v>
      </c>
      <c r="G43" s="51" t="str">
        <f t="shared" si="16"/>
        <v>N/A</v>
      </c>
      <c r="H43" s="51" t="str">
        <f t="shared" si="16"/>
        <v>N/A</v>
      </c>
      <c r="J43" s="78"/>
      <c r="K43" s="78"/>
      <c r="L43" s="78"/>
      <c r="M43" s="78"/>
      <c r="N43" s="66">
        <v>3.5999999999999997E-2</v>
      </c>
      <c r="O43" s="66">
        <v>2.7E-2</v>
      </c>
    </row>
    <row r="44" spans="3:16" ht="12.4" customHeight="1" x14ac:dyDescent="0.2">
      <c r="J44" s="84" t="s">
        <v>189</v>
      </c>
      <c r="K44" s="84" t="s">
        <v>190</v>
      </c>
      <c r="L44" s="84" t="s">
        <v>152</v>
      </c>
      <c r="M44" s="84" t="s">
        <v>153</v>
      </c>
      <c r="N44" s="84" t="s">
        <v>162</v>
      </c>
      <c r="O44" s="84" t="s">
        <v>179</v>
      </c>
    </row>
    <row r="45" spans="3:16" ht="12.4" customHeight="1" x14ac:dyDescent="0.2">
      <c r="D45" s="79" t="str">
        <f>"Applied - "&amp;C38</f>
        <v>Applied - Unlagged - Dec to Dec</v>
      </c>
      <c r="E45" s="80" t="s">
        <v>88</v>
      </c>
      <c r="F45" s="81" t="str">
        <f t="shared" si="15"/>
        <v>Percent</v>
      </c>
      <c r="G45" s="81" t="str">
        <f t="shared" si="16"/>
        <v>N/A</v>
      </c>
      <c r="H45" s="81" t="str">
        <f t="shared" si="16"/>
        <v>N/A</v>
      </c>
      <c r="J45" s="82">
        <f t="shared" ref="J45:K45" si="17">IF(ISBLANK(J42),J43,J42)</f>
        <v>7.8318219291014124E-2</v>
      </c>
      <c r="K45" s="82">
        <f t="shared" si="17"/>
        <v>4.0519877675840865E-2</v>
      </c>
      <c r="L45" s="82">
        <f t="shared" ref="L45:M45" si="18">IF(ISBLANK(L42),L43,L42)</f>
        <v>2.4246877296105973E-2</v>
      </c>
      <c r="M45" s="82">
        <f t="shared" si="18"/>
        <v>3.7611756242935002E-2</v>
      </c>
      <c r="N45" s="82">
        <f t="shared" ref="N45:O45" si="19">IF(ISBLANK(N42),N43,N42)</f>
        <v>3.5999999999999997E-2</v>
      </c>
      <c r="O45" s="82">
        <f t="shared" si="19"/>
        <v>2.7E-2</v>
      </c>
    </row>
    <row r="46" spans="3:16" ht="12.4" customHeight="1" x14ac:dyDescent="0.2">
      <c r="D46" s="7"/>
      <c r="E46" s="61"/>
      <c r="F46" s="51"/>
      <c r="G46" s="51"/>
      <c r="H46" s="51"/>
    </row>
    <row r="47" spans="3:16" ht="17.649999999999999" customHeight="1" x14ac:dyDescent="0.2">
      <c r="C47" s="62" t="s">
        <v>176</v>
      </c>
    </row>
    <row r="48" spans="3:16" ht="15.4" customHeight="1" x14ac:dyDescent="0.2">
      <c r="C48" s="62" t="s">
        <v>208</v>
      </c>
    </row>
    <row r="49" spans="2:16" ht="11.25" customHeight="1" x14ac:dyDescent="0.2"/>
    <row r="50" spans="2:16" s="8" customFormat="1" ht="15" x14ac:dyDescent="0.2">
      <c r="C50" s="8" t="s">
        <v>185</v>
      </c>
    </row>
    <row r="51" spans="2:16" x14ac:dyDescent="0.2"/>
    <row r="52" spans="2:16" ht="12.4" customHeight="1" x14ac:dyDescent="0.2">
      <c r="D52" s="59" t="s">
        <v>101</v>
      </c>
      <c r="E52" s="58" t="str">
        <f>Lookup!E$19</f>
        <v>Source</v>
      </c>
      <c r="F52" s="58" t="str">
        <f>Lookup!F$19</f>
        <v>Unit</v>
      </c>
      <c r="G52" s="58" t="str">
        <f>Lookup!G$19</f>
        <v>Basis</v>
      </c>
      <c r="H52" s="58" t="str">
        <f>Lookup!H$19</f>
        <v>Timing</v>
      </c>
      <c r="J52" s="58" t="str">
        <f t="shared" ref="J52:K52" si="20">J$10</f>
        <v>FY22</v>
      </c>
      <c r="K52" s="58" t="str">
        <f t="shared" si="20"/>
        <v>FY23</v>
      </c>
      <c r="L52" s="58" t="str">
        <f>L$10</f>
        <v>FY24</v>
      </c>
      <c r="M52" s="58" t="str">
        <f>M$10</f>
        <v>FY25</v>
      </c>
      <c r="N52" s="58" t="str">
        <f>N$10</f>
        <v>FY26</v>
      </c>
      <c r="O52" s="58" t="str">
        <f>O$10</f>
        <v>FY27</v>
      </c>
    </row>
    <row r="53" spans="2:16" ht="12.4" customHeight="1" x14ac:dyDescent="0.2"/>
    <row r="54" spans="2:16" ht="12.4" customHeight="1" x14ac:dyDescent="0.2">
      <c r="D54" s="7" t="s">
        <v>59</v>
      </c>
      <c r="E54" s="61" t="s">
        <v>130</v>
      </c>
      <c r="F54" s="51" t="str">
        <f t="shared" ref="F54:F57" si="21">Percent</f>
        <v>Percent</v>
      </c>
      <c r="G54" s="51" t="str">
        <f t="shared" ref="G54:H57" si="22">NA</f>
        <v>N/A</v>
      </c>
      <c r="H54" s="51" t="str">
        <f t="shared" si="22"/>
        <v>N/A</v>
      </c>
      <c r="J54" s="66">
        <v>7.268170426065157E-2</v>
      </c>
      <c r="K54" s="66">
        <v>5.3738317757009435E-2</v>
      </c>
      <c r="L54" s="66">
        <v>2.8085735402808343E-2</v>
      </c>
      <c r="M54" s="66">
        <v>3.2350826743350103E-2</v>
      </c>
      <c r="N54" s="66"/>
      <c r="O54" s="66"/>
    </row>
    <row r="55" spans="2:16" ht="12.4" customHeight="1" x14ac:dyDescent="0.2">
      <c r="D55" s="7" t="s">
        <v>60</v>
      </c>
      <c r="E55" s="61" t="s">
        <v>97</v>
      </c>
      <c r="F55" s="51" t="str">
        <f t="shared" si="21"/>
        <v>Percent</v>
      </c>
      <c r="G55" s="51" t="str">
        <f t="shared" si="22"/>
        <v>N/A</v>
      </c>
      <c r="H55" s="51" t="str">
        <f t="shared" si="22"/>
        <v>N/A</v>
      </c>
      <c r="J55" s="78"/>
      <c r="K55" s="78"/>
      <c r="L55" s="78"/>
      <c r="M55" s="78"/>
      <c r="N55" s="66">
        <f>(1+N33)^0.5*(1+N45)^0.5-1</f>
        <v>3.899566890338857E-2</v>
      </c>
      <c r="O55" s="66">
        <f>(1+O33)^0.5*(1+O45)^0.5-1</f>
        <v>2.7999513618562011E-2</v>
      </c>
      <c r="P55" s="95" t="s">
        <v>200</v>
      </c>
    </row>
    <row r="56" spans="2:16" ht="12.4" customHeight="1" x14ac:dyDescent="0.2">
      <c r="J56" s="84" t="s">
        <v>187</v>
      </c>
      <c r="K56" s="84" t="s">
        <v>188</v>
      </c>
      <c r="L56" s="84" t="s">
        <v>191</v>
      </c>
      <c r="M56" s="84" t="s">
        <v>192</v>
      </c>
      <c r="N56" s="84" t="s">
        <v>194</v>
      </c>
      <c r="O56" s="84" t="s">
        <v>193</v>
      </c>
    </row>
    <row r="57" spans="2:16" ht="12.4" customHeight="1" x14ac:dyDescent="0.2">
      <c r="D57" s="79" t="str">
        <f>"Applied - "&amp;C50</f>
        <v>Applied - Unlagged - Sept to Sept</v>
      </c>
      <c r="E57" s="80" t="s">
        <v>88</v>
      </c>
      <c r="F57" s="81" t="str">
        <f t="shared" si="21"/>
        <v>Percent</v>
      </c>
      <c r="G57" s="81" t="str">
        <f t="shared" si="22"/>
        <v>N/A</v>
      </c>
      <c r="H57" s="81" t="str">
        <f t="shared" si="22"/>
        <v>N/A</v>
      </c>
      <c r="J57" s="82">
        <f t="shared" ref="J57:O57" si="23">IF(ISBLANK(J54),J55,J54)</f>
        <v>7.268170426065157E-2</v>
      </c>
      <c r="K57" s="82">
        <f t="shared" si="23"/>
        <v>5.3738317757009435E-2</v>
      </c>
      <c r="L57" s="82">
        <f t="shared" si="23"/>
        <v>2.8085735402808343E-2</v>
      </c>
      <c r="M57" s="82">
        <f t="shared" si="23"/>
        <v>3.2350826743350103E-2</v>
      </c>
      <c r="N57" s="82">
        <f t="shared" si="23"/>
        <v>3.899566890338857E-2</v>
      </c>
      <c r="O57" s="82">
        <f t="shared" si="23"/>
        <v>2.7999513618562011E-2</v>
      </c>
    </row>
    <row r="58" spans="2:16" ht="12.4" customHeight="1" x14ac:dyDescent="0.2">
      <c r="D58" s="7"/>
      <c r="E58" s="61"/>
      <c r="F58" s="51"/>
      <c r="G58" s="51"/>
      <c r="H58" s="51"/>
    </row>
    <row r="59" spans="2:16" ht="17.649999999999999" customHeight="1" x14ac:dyDescent="0.2">
      <c r="C59" s="62" t="s">
        <v>186</v>
      </c>
    </row>
    <row r="60" spans="2:16" ht="15.4" customHeight="1" x14ac:dyDescent="0.2">
      <c r="C60" s="62" t="s">
        <v>178</v>
      </c>
    </row>
    <row r="61" spans="2:16" ht="11.25" customHeight="1" x14ac:dyDescent="0.2"/>
    <row r="62" spans="2:16" s="2" customFormat="1" ht="15.75" x14ac:dyDescent="0.2">
      <c r="B62" s="2" t="s">
        <v>32</v>
      </c>
    </row>
  </sheetData>
  <conditionalFormatting sqref="B2">
    <cfRule type="cellIs" dxfId="6" priority="1" operator="notEqual">
      <formula>"No Errors Found"</formula>
    </cfRule>
  </conditionalFormatting>
  <hyperlinks>
    <hyperlink ref="B3:E3" location="TOC!A1" display="TOC!A1" xr:uid="{BC323F3C-9FA8-491D-A80D-4291FA4AB1B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V74"/>
  <sheetViews>
    <sheetView showGridLines="0" zoomScaleNormal="100" workbookViewId="0">
      <pane xSplit="1" ySplit="10" topLeftCell="B11" activePane="bottomRight" state="frozen"/>
      <selection activeCell="E30" sqref="E30"/>
      <selection pane="topRight" activeCell="E30" sqref="E30"/>
      <selection pane="bottomLeft" activeCell="E30" sqref="E30"/>
      <selection pane="bottomRight"/>
    </sheetView>
  </sheetViews>
  <sheetFormatPr defaultColWidth="9.33203125" defaultRowHeight="11.25" zeroHeight="1" outlineLevelRow="1" x14ac:dyDescent="0.2"/>
  <cols>
    <col min="1" max="1" width="3.33203125" customWidth="1"/>
    <col min="2" max="2" width="2.83203125" customWidth="1"/>
    <col min="3" max="3" width="5" customWidth="1"/>
    <col min="4" max="4" width="37.1640625" customWidth="1"/>
    <col min="5" max="8" width="12.6640625" customWidth="1"/>
    <col min="9" max="9" width="5.33203125" customWidth="1"/>
    <col min="10" max="29" width="12.83203125" customWidth="1"/>
    <col min="30" max="33" width="12.5" bestFit="1" customWidth="1"/>
  </cols>
  <sheetData>
    <row r="1" spans="1:22" ht="19.5" x14ac:dyDescent="0.2">
      <c r="A1" s="56">
        <f>IF(SUM($A11:$A74)&gt;0,1,0)</f>
        <v>0</v>
      </c>
      <c r="B1" s="3" t="s">
        <v>131</v>
      </c>
    </row>
    <row r="2" spans="1:22" x14ac:dyDescent="0.2">
      <c r="B2" s="13" t="str">
        <f>Title_Msg</f>
        <v>No Errors Found</v>
      </c>
    </row>
    <row r="3" spans="1:22" x14ac:dyDescent="0.2">
      <c r="B3" s="44" t="str">
        <f>TOC!B1</f>
        <v>Table of Contents</v>
      </c>
      <c r="C3" s="39"/>
      <c r="D3" s="39"/>
      <c r="E3" s="39"/>
    </row>
    <row r="4" spans="1:22" ht="12.75" x14ac:dyDescent="0.2">
      <c r="B4" s="37" t="str">
        <f>Model_Name</f>
        <v>Rate of Return Model - Transgrid (TGD) - Accelerated Syncons</v>
      </c>
    </row>
    <row r="5" spans="1:22" ht="12.75" hidden="1" outlineLevel="1" x14ac:dyDescent="0.2">
      <c r="B5" s="10" t="str">
        <f>Lookup!B14</f>
        <v>Period Start Date</v>
      </c>
      <c r="J5" s="49" t="e">
        <f>Lookup!#REF!</f>
        <v>#REF!</v>
      </c>
      <c r="K5" s="49" t="e">
        <f>Lookup!#REF!</f>
        <v>#REF!</v>
      </c>
      <c r="L5" s="49" t="e">
        <f>Lookup!#REF!</f>
        <v>#REF!</v>
      </c>
      <c r="M5" s="49" t="e">
        <f>Lookup!#REF!</f>
        <v>#REF!</v>
      </c>
      <c r="N5" s="49" t="e">
        <f>Lookup!#REF!</f>
        <v>#REF!</v>
      </c>
      <c r="O5" s="49" t="e">
        <f>Lookup!#REF!</f>
        <v>#REF!</v>
      </c>
      <c r="P5" s="49">
        <f>Lookup!L14</f>
        <v>45566</v>
      </c>
      <c r="Q5" s="49">
        <f>Lookup!M14</f>
        <v>45931</v>
      </c>
      <c r="R5" s="49">
        <f>Lookup!N14</f>
        <v>46296</v>
      </c>
      <c r="S5" s="49">
        <f>Lookup!O14</f>
        <v>46661</v>
      </c>
      <c r="T5" s="49">
        <f>Lookup!P14</f>
        <v>47027</v>
      </c>
      <c r="U5" s="49">
        <f>Lookup!Q14</f>
        <v>47392</v>
      </c>
      <c r="V5" s="49">
        <f>Lookup!R14</f>
        <v>47757</v>
      </c>
    </row>
    <row r="6" spans="1:22" ht="12.75" hidden="1" outlineLevel="1" x14ac:dyDescent="0.2">
      <c r="B6" s="10" t="str">
        <f>Lookup!B15</f>
        <v>Period End Date</v>
      </c>
      <c r="J6" s="49" t="e">
        <f>Lookup!#REF!</f>
        <v>#REF!</v>
      </c>
      <c r="K6" s="49" t="e">
        <f>Lookup!#REF!</f>
        <v>#REF!</v>
      </c>
      <c r="L6" s="49" t="e">
        <f>Lookup!#REF!</f>
        <v>#REF!</v>
      </c>
      <c r="M6" s="49" t="e">
        <f>Lookup!#REF!</f>
        <v>#REF!</v>
      </c>
      <c r="N6" s="49" t="e">
        <f>Lookup!#REF!</f>
        <v>#REF!</v>
      </c>
      <c r="O6" s="49" t="e">
        <f>Lookup!#REF!</f>
        <v>#REF!</v>
      </c>
      <c r="P6" s="49">
        <f>Lookup!L15</f>
        <v>45930</v>
      </c>
      <c r="Q6" s="49">
        <f>Lookup!M15</f>
        <v>46295</v>
      </c>
      <c r="R6" s="49">
        <f>Lookup!N15</f>
        <v>46660</v>
      </c>
      <c r="S6" s="49">
        <f>Lookup!O15</f>
        <v>47026</v>
      </c>
      <c r="T6" s="49">
        <f>Lookup!P15</f>
        <v>47391</v>
      </c>
      <c r="U6" s="49">
        <f>Lookup!Q15</f>
        <v>47756</v>
      </c>
      <c r="V6" s="49">
        <f>Lookup!R15</f>
        <v>48121</v>
      </c>
    </row>
    <row r="7" spans="1:22" ht="12.75" hidden="1" outlineLevel="1" x14ac:dyDescent="0.2">
      <c r="B7" s="10" t="str">
        <f>Lookup!B16</f>
        <v>Period Counter</v>
      </c>
      <c r="J7" s="50" t="e">
        <f>Lookup!#REF!</f>
        <v>#REF!</v>
      </c>
      <c r="K7" s="50" t="e">
        <f>Lookup!#REF!</f>
        <v>#REF!</v>
      </c>
      <c r="L7" s="50" t="e">
        <f>Lookup!#REF!</f>
        <v>#REF!</v>
      </c>
      <c r="M7" s="50" t="e">
        <f>Lookup!#REF!</f>
        <v>#REF!</v>
      </c>
      <c r="N7" s="50" t="e">
        <f>Lookup!#REF!</f>
        <v>#REF!</v>
      </c>
      <c r="O7" s="50" t="e">
        <f>Lookup!#REF!</f>
        <v>#REF!</v>
      </c>
      <c r="P7" s="50">
        <f>Lookup!L16</f>
        <v>4</v>
      </c>
      <c r="Q7" s="50">
        <f>Lookup!M16</f>
        <v>5</v>
      </c>
      <c r="R7" s="50">
        <f>Lookup!N16</f>
        <v>6</v>
      </c>
      <c r="S7" s="50">
        <f>Lookup!O16</f>
        <v>7</v>
      </c>
      <c r="T7" s="50">
        <f>Lookup!P16</f>
        <v>8</v>
      </c>
      <c r="U7" s="50">
        <f>Lookup!Q16</f>
        <v>9</v>
      </c>
      <c r="V7" s="50">
        <f>Lookup!R16</f>
        <v>10</v>
      </c>
    </row>
    <row r="8" spans="1:22" ht="12.75" hidden="1" outlineLevel="1" x14ac:dyDescent="0.2">
      <c r="B8" s="10" t="str">
        <f>Lookup!B17</f>
        <v>Year</v>
      </c>
      <c r="J8" s="51" t="e">
        <f>Lookup!#REF!</f>
        <v>#REF!</v>
      </c>
      <c r="K8" s="51" t="e">
        <f>Lookup!#REF!</f>
        <v>#REF!</v>
      </c>
      <c r="L8" s="51" t="e">
        <f>Lookup!#REF!</f>
        <v>#REF!</v>
      </c>
      <c r="M8" s="51" t="e">
        <f>Lookup!#REF!</f>
        <v>#REF!</v>
      </c>
      <c r="N8" s="51" t="e">
        <f>Lookup!#REF!</f>
        <v>#REF!</v>
      </c>
      <c r="O8" s="51" t="e">
        <f>Lookup!#REF!</f>
        <v>#REF!</v>
      </c>
      <c r="P8" s="51">
        <f>Lookup!L17</f>
        <v>2025</v>
      </c>
      <c r="Q8" s="51">
        <f>Lookup!M17</f>
        <v>2026</v>
      </c>
      <c r="R8" s="51">
        <f>Lookup!N17</f>
        <v>2027</v>
      </c>
      <c r="S8" s="51">
        <f>Lookup!O17</f>
        <v>2028</v>
      </c>
      <c r="T8" s="51">
        <f>Lookup!P17</f>
        <v>2029</v>
      </c>
      <c r="U8" s="51">
        <f>Lookup!Q17</f>
        <v>2030</v>
      </c>
      <c r="V8" s="51">
        <f>Lookup!R17</f>
        <v>2031</v>
      </c>
    </row>
    <row r="9" spans="1:22" ht="12.75" hidden="1" outlineLevel="1" x14ac:dyDescent="0.2">
      <c r="B9" s="10" t="str">
        <f>Lookup!B18</f>
        <v>Period Type</v>
      </c>
      <c r="J9" s="51" t="e">
        <f>Lookup!#REF!</f>
        <v>#REF!</v>
      </c>
      <c r="K9" s="51" t="e">
        <f>Lookup!#REF!</f>
        <v>#REF!</v>
      </c>
      <c r="L9" s="51" t="e">
        <f>Lookup!#REF!</f>
        <v>#REF!</v>
      </c>
      <c r="M9" s="51" t="e">
        <f>Lookup!#REF!</f>
        <v>#REF!</v>
      </c>
      <c r="N9" s="51" t="e">
        <f>Lookup!#REF!</f>
        <v>#REF!</v>
      </c>
      <c r="O9" s="51" t="e">
        <f>Lookup!#REF!</f>
        <v>#REF!</v>
      </c>
      <c r="P9" s="51" t="str">
        <f>Lookup!L18</f>
        <v>Actual</v>
      </c>
      <c r="Q9" s="51" t="str">
        <f>Lookup!M18</f>
        <v>Estimate</v>
      </c>
      <c r="R9" s="51" t="str">
        <f>Lookup!N18</f>
        <v>Forecast</v>
      </c>
      <c r="S9" s="51" t="str">
        <f>Lookup!O18</f>
        <v>Forecast</v>
      </c>
      <c r="T9" s="51" t="str">
        <f>Lookup!P18</f>
        <v>Forecast</v>
      </c>
      <c r="U9" s="51" t="str">
        <f>Lookup!Q18</f>
        <v>Forecast</v>
      </c>
      <c r="V9" s="51" t="str">
        <f>Lookup!R18</f>
        <v>Forecast</v>
      </c>
    </row>
    <row r="10" spans="1:22" ht="12.75" collapsed="1" x14ac:dyDescent="0.2">
      <c r="B10" s="5" t="str">
        <f>Lookup!B19</f>
        <v>Regulatory Year</v>
      </c>
      <c r="E10" s="48" t="str">
        <f>Lookup!E19</f>
        <v>Source</v>
      </c>
      <c r="F10" s="48" t="str">
        <f>Lookup!F19</f>
        <v>Unit</v>
      </c>
      <c r="G10" s="48" t="str">
        <f>Lookup!G19</f>
        <v>Basis</v>
      </c>
      <c r="H10" s="48" t="str">
        <f>Lookup!H19</f>
        <v>Timing</v>
      </c>
      <c r="I10" s="57"/>
      <c r="J10" s="48" t="str">
        <f>Lookup!I19</f>
        <v>FY22</v>
      </c>
      <c r="K10" s="48" t="str">
        <f>Lookup!J19</f>
        <v>FY23</v>
      </c>
      <c r="L10" s="48" t="str">
        <f>Lookup!K19</f>
        <v>FY24</v>
      </c>
      <c r="M10" s="48" t="str">
        <f>Lookup!L19</f>
        <v>FY25</v>
      </c>
      <c r="N10" s="48" t="str">
        <f>Lookup!M19</f>
        <v>FY26</v>
      </c>
      <c r="O10" s="48" t="str">
        <f>Lookup!N19</f>
        <v>FY27</v>
      </c>
      <c r="P10" s="48" t="str">
        <f>Lookup!O19</f>
        <v>FY28</v>
      </c>
      <c r="Q10" s="48" t="str">
        <f>Lookup!P19</f>
        <v>FY29</v>
      </c>
      <c r="R10" s="48" t="str">
        <f>Lookup!Q19</f>
        <v>FY30</v>
      </c>
      <c r="S10" s="48" t="str">
        <f>Lookup!R19</f>
        <v>FY31</v>
      </c>
    </row>
    <row r="11" spans="1:22" x14ac:dyDescent="0.2"/>
    <row r="12" spans="1:22" s="2" customFormat="1" ht="15.75" x14ac:dyDescent="0.2">
      <c r="B12" s="2" t="s">
        <v>96</v>
      </c>
    </row>
    <row r="13" spans="1:22" ht="4.5" customHeight="1" x14ac:dyDescent="0.2"/>
    <row r="14" spans="1:22" s="8" customFormat="1" ht="15" x14ac:dyDescent="0.2">
      <c r="C14" s="8" t="s">
        <v>183</v>
      </c>
    </row>
    <row r="15" spans="1:22" x14ac:dyDescent="0.2"/>
    <row r="16" spans="1:22" ht="12.75" x14ac:dyDescent="0.2">
      <c r="D16" s="59" t="s">
        <v>101</v>
      </c>
      <c r="E16" s="58" t="str">
        <f>Lookup!E$19</f>
        <v>Source</v>
      </c>
      <c r="F16" s="58" t="str">
        <f>Lookup!F$19</f>
        <v>Unit</v>
      </c>
      <c r="G16" s="58" t="str">
        <f>Lookup!G$19</f>
        <v>Basis</v>
      </c>
      <c r="H16" s="58" t="str">
        <f>Lookup!H$19</f>
        <v>Timing</v>
      </c>
      <c r="I16" s="58"/>
      <c r="J16" s="58" t="str">
        <f t="shared" ref="J16:S16" si="0">J$10</f>
        <v>FY22</v>
      </c>
      <c r="K16" s="58" t="str">
        <f t="shared" si="0"/>
        <v>FY23</v>
      </c>
      <c r="L16" s="58" t="str">
        <f t="shared" si="0"/>
        <v>FY24</v>
      </c>
      <c r="M16" s="58" t="str">
        <f t="shared" si="0"/>
        <v>FY25</v>
      </c>
      <c r="N16" s="65" t="str">
        <f t="shared" si="0"/>
        <v>FY26</v>
      </c>
      <c r="O16" s="58" t="str">
        <f t="shared" si="0"/>
        <v>FY27</v>
      </c>
      <c r="P16" s="58" t="str">
        <f t="shared" si="0"/>
        <v>FY28</v>
      </c>
      <c r="Q16" s="58" t="str">
        <f t="shared" si="0"/>
        <v>FY29</v>
      </c>
      <c r="R16" s="58" t="str">
        <f t="shared" si="0"/>
        <v>FY30</v>
      </c>
      <c r="S16" s="58" t="str">
        <f t="shared" si="0"/>
        <v>FY31</v>
      </c>
    </row>
    <row r="17" spans="2:19" x14ac:dyDescent="0.2">
      <c r="N17" s="64"/>
    </row>
    <row r="18" spans="2:19" ht="12.75" x14ac:dyDescent="0.2">
      <c r="D18" s="10" t="s">
        <v>129</v>
      </c>
      <c r="E18" s="61" t="s">
        <v>130</v>
      </c>
      <c r="F18" s="51" t="str">
        <f t="shared" ref="F18:F19" si="1">Percent</f>
        <v>Percent</v>
      </c>
      <c r="G18" s="51" t="str">
        <f t="shared" ref="G18:H19" si="2">NA</f>
        <v>N/A</v>
      </c>
      <c r="H18" s="51" t="str">
        <f t="shared" si="2"/>
        <v>N/A</v>
      </c>
      <c r="J18" s="87">
        <f>Input_CPI!J54</f>
        <v>7.268170426065157E-2</v>
      </c>
      <c r="K18" s="87">
        <f>Input_CPI!K54</f>
        <v>5.3738317757009435E-2</v>
      </c>
      <c r="L18" s="87">
        <f>Input_CPI!L54</f>
        <v>2.8085735402808343E-2</v>
      </c>
      <c r="M18" s="87">
        <f>Input_CPI!M54</f>
        <v>3.2350826743350103E-2</v>
      </c>
    </row>
    <row r="19" spans="2:19" ht="12.75" x14ac:dyDescent="0.2">
      <c r="D19" s="10" t="s">
        <v>117</v>
      </c>
      <c r="E19" s="61" t="s">
        <v>97</v>
      </c>
      <c r="F19" s="51" t="str">
        <f t="shared" si="1"/>
        <v>Percent</v>
      </c>
      <c r="G19" s="51" t="str">
        <f t="shared" si="2"/>
        <v>N/A</v>
      </c>
      <c r="H19" s="51" t="str">
        <f t="shared" si="2"/>
        <v>N/A</v>
      </c>
      <c r="N19" s="87">
        <f>Input_CPI!N55</f>
        <v>3.899566890338857E-2</v>
      </c>
      <c r="O19" s="88">
        <f>Input_CPI!O55</f>
        <v>2.7999513618562011E-2</v>
      </c>
      <c r="P19" s="98">
        <f>O19-(($O19-$S19)/4*1)</f>
        <v>2.7249635213921507E-2</v>
      </c>
      <c r="Q19" s="89">
        <f>P19-(($O19-$S19)/4*1)</f>
        <v>2.6499756809281003E-2</v>
      </c>
      <c r="R19" s="90">
        <f>Q19-(($O19-$S19)/4*1)</f>
        <v>2.5749878404640499E-2</v>
      </c>
      <c r="S19" s="86">
        <v>2.5000000000000001E-2</v>
      </c>
    </row>
    <row r="20" spans="2:19" ht="12.75" x14ac:dyDescent="0.2">
      <c r="N20" s="96" t="s">
        <v>157</v>
      </c>
      <c r="O20" s="97"/>
      <c r="P20" s="96" t="s">
        <v>158</v>
      </c>
      <c r="Q20" s="96"/>
      <c r="R20" s="96"/>
      <c r="S20" s="76" t="s">
        <v>136</v>
      </c>
    </row>
    <row r="21" spans="2:19" x14ac:dyDescent="0.2"/>
    <row r="22" spans="2:19" ht="14.65" customHeight="1" x14ac:dyDescent="0.2">
      <c r="C22" s="62" t="s">
        <v>184</v>
      </c>
      <c r="R22" s="85"/>
    </row>
    <row r="23" spans="2:19" ht="14.65" customHeight="1" x14ac:dyDescent="0.2">
      <c r="C23" s="62" t="s">
        <v>177</v>
      </c>
    </row>
    <row r="24" spans="2:19" x14ac:dyDescent="0.2"/>
    <row r="25" spans="2:19" s="2" customFormat="1" ht="15.75" x14ac:dyDescent="0.2">
      <c r="B25" s="2" t="s">
        <v>169</v>
      </c>
    </row>
    <row r="26" spans="2:19" ht="4.5" customHeight="1" x14ac:dyDescent="0.2"/>
    <row r="27" spans="2:19" s="8" customFormat="1" ht="15" x14ac:dyDescent="0.2">
      <c r="C27" s="8" t="s">
        <v>173</v>
      </c>
    </row>
    <row r="28" spans="2:19" x14ac:dyDescent="0.2"/>
    <row r="29" spans="2:19" ht="26.65" customHeight="1" x14ac:dyDescent="0.2">
      <c r="D29" s="59" t="s">
        <v>170</v>
      </c>
      <c r="E29" s="58" t="s">
        <v>62</v>
      </c>
      <c r="F29" s="58" t="s">
        <v>63</v>
      </c>
      <c r="G29" s="58" t="s">
        <v>64</v>
      </c>
      <c r="H29" s="58" t="str">
        <f>Lookup!H$19</f>
        <v>Timing</v>
      </c>
      <c r="I29" s="68"/>
      <c r="J29" s="58" t="str">
        <f t="shared" ref="J29:O29" si="3">"FY"&amp;RIGHT(J$10,2)</f>
        <v>FY22</v>
      </c>
      <c r="K29" s="58" t="str">
        <f t="shared" si="3"/>
        <v>FY23</v>
      </c>
      <c r="L29" s="58" t="str">
        <f t="shared" si="3"/>
        <v>FY24</v>
      </c>
      <c r="M29" s="58" t="str">
        <f t="shared" si="3"/>
        <v>FY25</v>
      </c>
      <c r="N29" s="58" t="str">
        <f t="shared" si="3"/>
        <v>FY26</v>
      </c>
      <c r="O29" s="58" t="str">
        <f t="shared" si="3"/>
        <v>FY27</v>
      </c>
    </row>
    <row r="30" spans="2:19" x14ac:dyDescent="0.2"/>
    <row r="31" spans="2:19" ht="12.75" x14ac:dyDescent="0.2">
      <c r="D31" s="10" t="s">
        <v>149</v>
      </c>
      <c r="E31" s="61" t="s">
        <v>105</v>
      </c>
      <c r="F31" s="51" t="str">
        <f t="shared" ref="F31:F35" si="4">Percent</f>
        <v>Percent</v>
      </c>
      <c r="G31" s="51" t="s">
        <v>67</v>
      </c>
      <c r="H31" s="51" t="str">
        <f t="shared" ref="H31:H35" si="5">NA</f>
        <v>N/A</v>
      </c>
      <c r="J31" s="66">
        <v>5.7547596226483366E-2</v>
      </c>
      <c r="K31" s="66">
        <v>5.7547596226483366E-2</v>
      </c>
      <c r="L31" s="66">
        <v>5.7676167388836366E-2</v>
      </c>
      <c r="M31" s="66">
        <v>5.7339047884456484E-2</v>
      </c>
      <c r="N31" s="66">
        <v>5.7700569934630283E-2</v>
      </c>
      <c r="O31" s="66">
        <v>5.8847966238737781E-2</v>
      </c>
    </row>
    <row r="32" spans="2:19" ht="12.75" x14ac:dyDescent="0.2">
      <c r="D32" s="10" t="s">
        <v>117</v>
      </c>
      <c r="E32" s="61" t="s">
        <v>105</v>
      </c>
      <c r="F32" s="51" t="str">
        <f t="shared" si="4"/>
        <v>Percent</v>
      </c>
      <c r="G32" s="51" t="str">
        <f t="shared" ref="G32:G33" si="6">NA</f>
        <v>N/A</v>
      </c>
      <c r="H32" s="51" t="str">
        <f t="shared" si="5"/>
        <v>N/A</v>
      </c>
      <c r="J32" s="66">
        <v>2.4499511480040148E-2</v>
      </c>
      <c r="K32" s="66">
        <v>2.4499511480040148E-2</v>
      </c>
      <c r="L32" s="66">
        <v>2.9193048507912156E-2</v>
      </c>
      <c r="M32" s="66">
        <v>2.9193048507912156E-2</v>
      </c>
      <c r="N32" s="66">
        <v>2.9193048507912156E-2</v>
      </c>
      <c r="O32" s="66">
        <v>2.9193048507912156E-2</v>
      </c>
    </row>
    <row r="33" spans="2:20" ht="12.75" x14ac:dyDescent="0.2">
      <c r="D33" s="10" t="s">
        <v>171</v>
      </c>
      <c r="E33" s="61" t="s">
        <v>172</v>
      </c>
      <c r="F33" s="51" t="str">
        <f t="shared" si="4"/>
        <v>Percent</v>
      </c>
      <c r="G33" s="51" t="str">
        <f t="shared" si="6"/>
        <v>N/A</v>
      </c>
      <c r="H33" s="51" t="str">
        <f t="shared" si="5"/>
        <v>N/A</v>
      </c>
      <c r="J33" s="87">
        <f>Input_CPI!J45</f>
        <v>7.8318219291014124E-2</v>
      </c>
      <c r="K33" s="87">
        <f>Input_CPI!K45</f>
        <v>4.0519877675840865E-2</v>
      </c>
      <c r="L33" s="87">
        <f>Input_CPI!L45</f>
        <v>2.4246877296105973E-2</v>
      </c>
      <c r="M33" s="87">
        <f>Input_CPI!M45</f>
        <v>3.7611756242935002E-2</v>
      </c>
      <c r="N33" s="87">
        <f>Input_CPI!N45</f>
        <v>3.5999999999999997E-2</v>
      </c>
      <c r="O33" s="87">
        <f>Input_CPI!O45</f>
        <v>2.7E-2</v>
      </c>
    </row>
    <row r="34" spans="2:20" x14ac:dyDescent="0.2"/>
    <row r="35" spans="2:20" ht="12.75" x14ac:dyDescent="0.2">
      <c r="D35" s="60" t="s">
        <v>149</v>
      </c>
      <c r="E35" s="54" t="s">
        <v>88</v>
      </c>
      <c r="F35" s="54" t="str">
        <f t="shared" si="4"/>
        <v>Percent</v>
      </c>
      <c r="G35" s="54" t="s">
        <v>67</v>
      </c>
      <c r="H35" s="54" t="str">
        <f t="shared" si="5"/>
        <v>N/A</v>
      </c>
      <c r="J35" s="73">
        <f t="shared" ref="J35:O35" si="7">(1+J31)/(1+J32)*(1+J33)-1</f>
        <v>0.11310237633105147</v>
      </c>
      <c r="K35" s="73">
        <f t="shared" si="7"/>
        <v>7.4084743947092191E-2</v>
      </c>
      <c r="L35" s="73">
        <f t="shared" si="7"/>
        <v>5.2593109921496906E-2</v>
      </c>
      <c r="M35" s="73">
        <f t="shared" si="7"/>
        <v>6.5987987394756864E-2</v>
      </c>
      <c r="N35" s="73">
        <f t="shared" si="7"/>
        <v>6.4696066535716579E-2</v>
      </c>
      <c r="O35" s="73">
        <f t="shared" si="7"/>
        <v>5.6591727765467725E-2</v>
      </c>
    </row>
    <row r="36" spans="2:20" x14ac:dyDescent="0.2"/>
    <row r="37" spans="2:20" x14ac:dyDescent="0.2">
      <c r="K37" s="93"/>
    </row>
    <row r="38" spans="2:20" s="8" customFormat="1" ht="15" x14ac:dyDescent="0.2">
      <c r="C38" s="8" t="s">
        <v>181</v>
      </c>
      <c r="J38" s="94" t="s">
        <v>182</v>
      </c>
    </row>
    <row r="39" spans="2:20" x14ac:dyDescent="0.2"/>
    <row r="40" spans="2:20" ht="26.65" customHeight="1" x14ac:dyDescent="0.2">
      <c r="D40" s="59" t="s">
        <v>170</v>
      </c>
      <c r="E40" s="58" t="s">
        <v>62</v>
      </c>
      <c r="F40" s="58" t="s">
        <v>63</v>
      </c>
      <c r="G40" s="58" t="s">
        <v>64</v>
      </c>
      <c r="H40" s="58" t="str">
        <f>Lookup!H$19</f>
        <v>Timing</v>
      </c>
      <c r="I40" s="68"/>
      <c r="J40" s="58" t="str">
        <f>J$10</f>
        <v>FY22</v>
      </c>
      <c r="K40" s="58" t="str">
        <f>K$10</f>
        <v>FY23</v>
      </c>
      <c r="L40" s="58" t="str">
        <f>L$10</f>
        <v>FY24</v>
      </c>
      <c r="M40" s="58" t="str">
        <f>M$10</f>
        <v>FY25</v>
      </c>
      <c r="N40" s="58" t="str">
        <f>N$10</f>
        <v>FY26</v>
      </c>
    </row>
    <row r="41" spans="2:20" x14ac:dyDescent="0.2"/>
    <row r="42" spans="2:20" ht="12.75" x14ac:dyDescent="0.2">
      <c r="D42" s="10" t="s">
        <v>149</v>
      </c>
      <c r="E42" s="61" t="s">
        <v>88</v>
      </c>
      <c r="F42" s="51" t="str">
        <f t="shared" ref="F42" si="8">Percent</f>
        <v>Percent</v>
      </c>
      <c r="G42" s="51" t="s">
        <v>67</v>
      </c>
      <c r="H42" s="51" t="str">
        <f t="shared" ref="H42" si="9">NA</f>
        <v>N/A</v>
      </c>
      <c r="J42" s="87">
        <f>(1+J35)^0.75*(1+K35)^0.25-1</f>
        <v>0.10321706088232885</v>
      </c>
      <c r="K42" s="87">
        <f>(1+K35)^0.75*(1+L35)^0.25-1</f>
        <v>6.8671042845773522E-2</v>
      </c>
      <c r="L42" s="87">
        <f>(1+L35)^0.75*(1+M35)^0.25-1</f>
        <v>5.5925966466671362E-2</v>
      </c>
      <c r="M42" s="87">
        <f>(1+M35)^0.75*(1+N35)^0.25-1</f>
        <v>6.5664860288056737E-2</v>
      </c>
      <c r="N42" s="87">
        <f>(1+N35)^0.75*(1+O35)^0.25-1</f>
        <v>6.2664172660686246E-2</v>
      </c>
    </row>
    <row r="43" spans="2:20" x14ac:dyDescent="0.2"/>
    <row r="44" spans="2:20" x14ac:dyDescent="0.2"/>
    <row r="45" spans="2:20" s="2" customFormat="1" ht="15.75" x14ac:dyDescent="0.2">
      <c r="B45" s="2" t="s">
        <v>116</v>
      </c>
    </row>
    <row r="46" spans="2:20" ht="4.5" customHeight="1" x14ac:dyDescent="0.2"/>
    <row r="47" spans="2:20" ht="26.65" customHeight="1" x14ac:dyDescent="0.2">
      <c r="D47" s="59" t="s">
        <v>103</v>
      </c>
      <c r="E47" s="58" t="s">
        <v>62</v>
      </c>
      <c r="F47" s="58" t="s">
        <v>63</v>
      </c>
      <c r="G47" s="58" t="s">
        <v>64</v>
      </c>
      <c r="H47" s="58" t="str">
        <f>Lookup!H$19</f>
        <v>Timing</v>
      </c>
      <c r="I47" s="68"/>
      <c r="J47" s="58" t="s">
        <v>102</v>
      </c>
      <c r="K47" s="83" t="s">
        <v>213</v>
      </c>
      <c r="M47" s="68"/>
      <c r="N47" s="68"/>
      <c r="Q47" s="68"/>
      <c r="R47" s="68"/>
      <c r="T47" s="69"/>
    </row>
    <row r="48" spans="2:20" ht="11.25" customHeight="1" x14ac:dyDescent="0.2"/>
    <row r="49" spans="2:20" ht="12.6" customHeight="1" x14ac:dyDescent="0.2">
      <c r="D49" s="70" t="s">
        <v>125</v>
      </c>
      <c r="E49" s="61" t="s">
        <v>154</v>
      </c>
      <c r="F49" s="51" t="str">
        <f t="shared" ref="F49:F72" si="10">Percent</f>
        <v>Percent</v>
      </c>
      <c r="G49" s="51" t="s">
        <v>67</v>
      </c>
      <c r="H49" s="51" t="str">
        <f t="shared" ref="H49:H72" si="11">NA</f>
        <v>N/A</v>
      </c>
      <c r="I49" s="68"/>
      <c r="J49" s="66">
        <v>4.8153558980402099E-2</v>
      </c>
      <c r="M49" s="68"/>
      <c r="N49" s="68"/>
      <c r="Q49" s="68"/>
      <c r="R49" s="68"/>
    </row>
    <row r="50" spans="2:20" ht="12.6" customHeight="1" x14ac:dyDescent="0.2">
      <c r="D50" s="70" t="s">
        <v>210</v>
      </c>
      <c r="E50" s="61" t="s">
        <v>154</v>
      </c>
      <c r="F50" s="51" t="str">
        <f t="shared" si="10"/>
        <v>Percent</v>
      </c>
      <c r="G50" s="51" t="s">
        <v>67</v>
      </c>
      <c r="H50" s="51" t="str">
        <f t="shared" si="11"/>
        <v>N/A</v>
      </c>
      <c r="I50" s="68"/>
      <c r="J50" s="66">
        <v>6.0581226093966697E-2</v>
      </c>
      <c r="M50" s="68"/>
      <c r="N50" s="68"/>
      <c r="Q50" s="68"/>
      <c r="R50" s="68"/>
    </row>
    <row r="51" spans="2:20" ht="11.25" customHeight="1" x14ac:dyDescent="0.2"/>
    <row r="52" spans="2:20" s="2" customFormat="1" ht="15.75" x14ac:dyDescent="0.2">
      <c r="B52" s="2" t="s">
        <v>212</v>
      </c>
    </row>
    <row r="53" spans="2:20" ht="4.5" customHeight="1" x14ac:dyDescent="0.2"/>
    <row r="54" spans="2:20" s="8" customFormat="1" ht="15" x14ac:dyDescent="0.2">
      <c r="C54" s="8" t="s">
        <v>109</v>
      </c>
    </row>
    <row r="55" spans="2:20" ht="11.25" customHeight="1" x14ac:dyDescent="0.2"/>
    <row r="56" spans="2:20" ht="26.65" customHeight="1" x14ac:dyDescent="0.2">
      <c r="D56" s="59" t="s">
        <v>103</v>
      </c>
      <c r="E56" s="58" t="s">
        <v>62</v>
      </c>
      <c r="F56" s="58" t="s">
        <v>63</v>
      </c>
      <c r="G56" s="58" t="s">
        <v>64</v>
      </c>
      <c r="H56" s="58" t="str">
        <f>Lookup!H$19</f>
        <v>Timing</v>
      </c>
      <c r="I56" s="68"/>
      <c r="J56" s="58" t="s">
        <v>102</v>
      </c>
      <c r="K56" s="83" t="s">
        <v>156</v>
      </c>
      <c r="M56" s="68"/>
      <c r="N56" s="68"/>
      <c r="Q56" s="68"/>
      <c r="R56" s="68"/>
      <c r="T56" s="69"/>
    </row>
    <row r="57" spans="2:20" ht="11.25" customHeight="1" x14ac:dyDescent="0.2"/>
    <row r="58" spans="2:20" ht="12.6" customHeight="1" x14ac:dyDescent="0.2">
      <c r="D58" s="70" t="s">
        <v>104</v>
      </c>
      <c r="E58" s="61" t="s">
        <v>105</v>
      </c>
      <c r="F58" s="51" t="str">
        <f t="shared" si="10"/>
        <v>Percent</v>
      </c>
      <c r="G58" s="51" t="s">
        <v>67</v>
      </c>
      <c r="H58" s="51" t="str">
        <f t="shared" si="11"/>
        <v>N/A</v>
      </c>
      <c r="I58" s="68"/>
      <c r="J58" s="66">
        <v>6.2E-2</v>
      </c>
      <c r="M58" s="68"/>
      <c r="N58" s="68"/>
      <c r="Q58" s="68"/>
      <c r="R58" s="68"/>
    </row>
    <row r="59" spans="2:20" ht="12.6" customHeight="1" x14ac:dyDescent="0.2">
      <c r="D59" s="70" t="s">
        <v>106</v>
      </c>
      <c r="E59" s="61" t="s">
        <v>105</v>
      </c>
      <c r="F59" s="51" t="str">
        <f t="shared" si="10"/>
        <v>Percent</v>
      </c>
      <c r="G59" s="51" t="s">
        <v>67</v>
      </c>
      <c r="H59" s="51" t="str">
        <f t="shared" si="11"/>
        <v>N/A</v>
      </c>
      <c r="I59" s="68"/>
      <c r="J59" s="66">
        <v>0.6</v>
      </c>
      <c r="M59" s="68"/>
      <c r="N59" s="68"/>
      <c r="Q59" s="68"/>
      <c r="R59" s="68"/>
    </row>
    <row r="60" spans="2:20" ht="12.6" customHeight="1" x14ac:dyDescent="0.2">
      <c r="D60" s="7" t="s">
        <v>115</v>
      </c>
      <c r="E60" s="61" t="s">
        <v>105</v>
      </c>
      <c r="F60" s="51" t="str">
        <f t="shared" si="10"/>
        <v>Percent</v>
      </c>
      <c r="G60" s="51" t="s">
        <v>67</v>
      </c>
      <c r="H60" s="51" t="str">
        <f t="shared" si="11"/>
        <v>N/A</v>
      </c>
      <c r="I60" s="68"/>
      <c r="J60" s="66">
        <v>0.56999999999999995</v>
      </c>
      <c r="M60" s="68"/>
      <c r="N60" s="68"/>
      <c r="Q60" s="68"/>
      <c r="R60" s="68"/>
    </row>
    <row r="61" spans="2:20" ht="12.6" customHeight="1" x14ac:dyDescent="0.2">
      <c r="D61" s="7" t="s">
        <v>107</v>
      </c>
      <c r="E61" s="61" t="s">
        <v>105</v>
      </c>
      <c r="F61" s="51" t="str">
        <f t="shared" si="10"/>
        <v>Percent</v>
      </c>
      <c r="G61" s="51" t="s">
        <v>67</v>
      </c>
      <c r="H61" s="51" t="str">
        <f t="shared" si="11"/>
        <v>N/A</v>
      </c>
      <c r="I61" s="68"/>
      <c r="J61" s="66">
        <v>0.6</v>
      </c>
      <c r="M61" s="68"/>
      <c r="N61" s="68"/>
      <c r="Q61" s="68"/>
      <c r="R61" s="68"/>
    </row>
    <row r="62" spans="2:20" ht="12.6" customHeight="1" x14ac:dyDescent="0.2">
      <c r="D62" s="70" t="s">
        <v>145</v>
      </c>
      <c r="E62" s="61" t="s">
        <v>105</v>
      </c>
      <c r="F62" s="51" t="str">
        <f t="shared" ref="F62" si="12">Percent</f>
        <v>Percent</v>
      </c>
      <c r="G62" s="51" t="s">
        <v>67</v>
      </c>
      <c r="H62" s="51" t="str">
        <f t="shared" ref="H62" si="13">NA</f>
        <v>N/A</v>
      </c>
      <c r="I62" s="68"/>
      <c r="J62" s="66">
        <v>0.1</v>
      </c>
      <c r="L62" s="68"/>
      <c r="M62" s="68"/>
      <c r="N62" s="68"/>
    </row>
    <row r="63" spans="2:20" ht="11.25" customHeight="1" x14ac:dyDescent="0.2"/>
    <row r="64" spans="2:20" s="8" customFormat="1" ht="15" x14ac:dyDescent="0.2">
      <c r="C64" s="8" t="s">
        <v>110</v>
      </c>
    </row>
    <row r="65" spans="2:20" ht="11.25" customHeight="1" x14ac:dyDescent="0.2"/>
    <row r="66" spans="2:20" ht="26.65" customHeight="1" x14ac:dyDescent="0.2">
      <c r="D66" s="59" t="s">
        <v>103</v>
      </c>
      <c r="E66" s="58" t="s">
        <v>62</v>
      </c>
      <c r="F66" s="58" t="s">
        <v>63</v>
      </c>
      <c r="G66" s="58" t="s">
        <v>64</v>
      </c>
      <c r="H66" s="58" t="str">
        <f>Lookup!H$19</f>
        <v>Timing</v>
      </c>
      <c r="I66" s="68"/>
      <c r="J66" s="58" t="s">
        <v>102</v>
      </c>
      <c r="K66" s="83" t="s">
        <v>156</v>
      </c>
      <c r="M66" s="68"/>
      <c r="N66" s="68"/>
      <c r="Q66" s="68"/>
      <c r="R66" s="68"/>
      <c r="T66" s="69"/>
    </row>
    <row r="67" spans="2:20" ht="11.25" customHeight="1" x14ac:dyDescent="0.2"/>
    <row r="68" spans="2:20" ht="12.75" x14ac:dyDescent="0.2">
      <c r="D68" s="7" t="s">
        <v>111</v>
      </c>
      <c r="E68" s="61" t="s">
        <v>105</v>
      </c>
      <c r="F68" s="51" t="str">
        <f t="shared" si="10"/>
        <v>Percent</v>
      </c>
      <c r="G68" s="51" t="s">
        <v>67</v>
      </c>
      <c r="H68" s="51" t="str">
        <f t="shared" si="11"/>
        <v>N/A</v>
      </c>
      <c r="I68" s="68"/>
      <c r="J68" s="66">
        <v>0.878670689</v>
      </c>
      <c r="K68" s="68"/>
      <c r="M68" s="68"/>
      <c r="N68" s="68"/>
      <c r="Q68" s="68"/>
      <c r="R68" s="68"/>
    </row>
    <row r="69" spans="2:20" ht="12.75" x14ac:dyDescent="0.2">
      <c r="D69" s="7" t="s">
        <v>112</v>
      </c>
      <c r="E69" s="61" t="s">
        <v>105</v>
      </c>
      <c r="F69" s="51" t="str">
        <f t="shared" si="10"/>
        <v>Percent</v>
      </c>
      <c r="G69" s="51" t="s">
        <v>67</v>
      </c>
      <c r="H69" s="51" t="str">
        <f t="shared" si="11"/>
        <v>N/A</v>
      </c>
      <c r="I69" s="68"/>
      <c r="J69" s="66">
        <v>0.03</v>
      </c>
      <c r="K69" s="68"/>
      <c r="M69" s="68"/>
      <c r="N69" s="68"/>
      <c r="Q69" s="68"/>
      <c r="R69" s="68"/>
    </row>
    <row r="70" spans="2:20" ht="12.75" x14ac:dyDescent="0.2">
      <c r="D70" s="7" t="s">
        <v>113</v>
      </c>
      <c r="E70" s="61" t="s">
        <v>105</v>
      </c>
      <c r="F70" s="51" t="str">
        <f t="shared" si="10"/>
        <v>Percent</v>
      </c>
      <c r="G70" s="51" t="s">
        <v>67</v>
      </c>
      <c r="H70" s="51" t="str">
        <f t="shared" si="11"/>
        <v>N/A</v>
      </c>
      <c r="I70" s="68"/>
      <c r="J70" s="66">
        <v>0.01</v>
      </c>
      <c r="K70" s="68"/>
      <c r="M70" s="68"/>
      <c r="N70" s="68"/>
      <c r="Q70" s="68"/>
      <c r="R70" s="68"/>
    </row>
    <row r="71" spans="2:20" ht="12.75" x14ac:dyDescent="0.2">
      <c r="D71" s="7" t="s">
        <v>114</v>
      </c>
      <c r="E71" s="61" t="s">
        <v>105</v>
      </c>
      <c r="F71" s="51" t="str">
        <f t="shared" si="10"/>
        <v>Percent</v>
      </c>
      <c r="G71" s="51" t="s">
        <v>67</v>
      </c>
      <c r="H71" s="51" t="str">
        <f t="shared" si="11"/>
        <v>N/A</v>
      </c>
      <c r="I71" s="68"/>
      <c r="J71" s="66">
        <v>0.3</v>
      </c>
      <c r="K71" s="68"/>
      <c r="M71" s="68"/>
      <c r="N71" s="68"/>
      <c r="Q71" s="68"/>
      <c r="R71" s="68"/>
    </row>
    <row r="72" spans="2:20" ht="12.75" x14ac:dyDescent="0.2">
      <c r="D72" s="7" t="s">
        <v>100</v>
      </c>
      <c r="E72" s="61" t="s">
        <v>154</v>
      </c>
      <c r="F72" s="51" t="str">
        <f t="shared" si="10"/>
        <v>Percent</v>
      </c>
      <c r="G72" s="51" t="s">
        <v>67</v>
      </c>
      <c r="H72" s="51" t="str">
        <f t="shared" si="11"/>
        <v>N/A</v>
      </c>
      <c r="I72" s="68"/>
      <c r="J72" s="66">
        <v>8.277476239331251E-4</v>
      </c>
      <c r="M72" s="68"/>
      <c r="N72" s="68"/>
      <c r="Q72" s="68"/>
      <c r="R72" s="68"/>
    </row>
    <row r="73" spans="2:20" ht="11.25" customHeight="1" x14ac:dyDescent="0.2"/>
    <row r="74" spans="2:20" s="2" customFormat="1" ht="15.75" x14ac:dyDescent="0.2">
      <c r="B74" s="2" t="s">
        <v>32</v>
      </c>
    </row>
  </sheetData>
  <conditionalFormatting sqref="B2">
    <cfRule type="cellIs" dxfId="5" priority="1" operator="notEqual">
      <formula>"No Errors Found"</formula>
    </cfRule>
  </conditionalFormatting>
  <hyperlinks>
    <hyperlink ref="B3:E3" location="TOC!A1" display="TOC!A1" xr:uid="{00000000-0004-0000-04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1:W41"/>
  <sheetViews>
    <sheetView showGridLines="0" zoomScaleNormal="100" workbookViewId="0">
      <pane xSplit="1" ySplit="10" topLeftCell="B11" activePane="bottomRight" state="frozen"/>
      <selection activeCell="E30" sqref="E30"/>
      <selection pane="topRight" activeCell="E30" sqref="E30"/>
      <selection pane="bottomLeft" activeCell="E30" sqref="E30"/>
      <selection pane="bottomRight"/>
    </sheetView>
  </sheetViews>
  <sheetFormatPr defaultColWidth="9.33203125" defaultRowHeight="11.25" zeroHeight="1" outlineLevelRow="1" x14ac:dyDescent="0.2"/>
  <cols>
    <col min="1" max="1" width="3.33203125" customWidth="1"/>
    <col min="2" max="3" width="2.83203125" customWidth="1"/>
    <col min="4" max="4" width="25.83203125" customWidth="1"/>
    <col min="5" max="5" width="11.83203125" customWidth="1"/>
    <col min="6" max="6" width="9.1640625" customWidth="1"/>
    <col min="7" max="7" width="12" customWidth="1"/>
    <col min="8" max="8" width="10" customWidth="1"/>
    <col min="9" max="9" width="5.6640625" customWidth="1"/>
    <col min="10" max="13" width="13" customWidth="1"/>
    <col min="14" max="34" width="12.83203125" customWidth="1"/>
  </cols>
  <sheetData>
    <row r="1" spans="1:14" ht="19.5" x14ac:dyDescent="0.2">
      <c r="A1" s="56">
        <f>IF(SUM($A11:$A41)&gt;0,1,0)</f>
        <v>0</v>
      </c>
      <c r="B1" s="3" t="s">
        <v>132</v>
      </c>
    </row>
    <row r="2" spans="1:14" x14ac:dyDescent="0.2">
      <c r="B2" s="13" t="str">
        <f>Title_Msg</f>
        <v>No Errors Found</v>
      </c>
    </row>
    <row r="3" spans="1:14" x14ac:dyDescent="0.2">
      <c r="B3" s="44" t="str">
        <f>TOC!B1</f>
        <v>Table of Contents</v>
      </c>
      <c r="C3" s="39"/>
      <c r="D3" s="39"/>
      <c r="E3" s="39"/>
    </row>
    <row r="4" spans="1:14" ht="12.75" x14ac:dyDescent="0.2">
      <c r="B4" s="37" t="str">
        <f>Model_Name</f>
        <v>Rate of Return Model - Transgrid (TGD) - Accelerated Syncons</v>
      </c>
    </row>
    <row r="5" spans="1:14" ht="12.75" hidden="1" outlineLevel="1" x14ac:dyDescent="0.2">
      <c r="B5" s="10" t="str">
        <f>Lookup!B14</f>
        <v>Period Start Date</v>
      </c>
      <c r="J5" s="49">
        <f>Lookup!N14</f>
        <v>46296</v>
      </c>
      <c r="K5" s="49">
        <f>Lookup!O14</f>
        <v>46661</v>
      </c>
      <c r="L5" s="49">
        <f>Lookup!P14</f>
        <v>47027</v>
      </c>
      <c r="M5" s="49">
        <f>Lookup!Q14</f>
        <v>47392</v>
      </c>
      <c r="N5" s="49">
        <f>Lookup!R14</f>
        <v>47757</v>
      </c>
    </row>
    <row r="6" spans="1:14" ht="12.75" hidden="1" outlineLevel="1" x14ac:dyDescent="0.2">
      <c r="B6" s="10" t="str">
        <f>Lookup!B15</f>
        <v>Period End Date</v>
      </c>
      <c r="J6" s="49">
        <f>Lookup!N15</f>
        <v>46660</v>
      </c>
      <c r="K6" s="49">
        <f>Lookup!O15</f>
        <v>47026</v>
      </c>
      <c r="L6" s="49">
        <f>Lookup!P15</f>
        <v>47391</v>
      </c>
      <c r="M6" s="49">
        <f>Lookup!Q15</f>
        <v>47756</v>
      </c>
      <c r="N6" s="49">
        <f>Lookup!R15</f>
        <v>48121</v>
      </c>
    </row>
    <row r="7" spans="1:14" ht="12.75" hidden="1" outlineLevel="1" x14ac:dyDescent="0.2">
      <c r="B7" s="10" t="str">
        <f>Lookup!B16</f>
        <v>Period Counter</v>
      </c>
      <c r="J7" s="50">
        <f>Lookup!N16</f>
        <v>6</v>
      </c>
      <c r="K7" s="50">
        <f>Lookup!O16</f>
        <v>7</v>
      </c>
      <c r="L7" s="50">
        <f>Lookup!P16</f>
        <v>8</v>
      </c>
      <c r="M7" s="50">
        <f>Lookup!Q16</f>
        <v>9</v>
      </c>
      <c r="N7" s="50">
        <f>Lookup!R16</f>
        <v>10</v>
      </c>
    </row>
    <row r="8" spans="1:14" ht="12.75" hidden="1" outlineLevel="1" x14ac:dyDescent="0.2">
      <c r="B8" s="10" t="str">
        <f>Lookup!B17</f>
        <v>Year</v>
      </c>
      <c r="J8" s="51">
        <f>Lookup!N17</f>
        <v>2027</v>
      </c>
      <c r="K8" s="51">
        <f>Lookup!O17</f>
        <v>2028</v>
      </c>
      <c r="L8" s="51">
        <f>Lookup!P17</f>
        <v>2029</v>
      </c>
      <c r="M8" s="51">
        <f>Lookup!Q17</f>
        <v>2030</v>
      </c>
      <c r="N8" s="51">
        <f>Lookup!R17</f>
        <v>2031</v>
      </c>
    </row>
    <row r="9" spans="1:14" ht="12.75" hidden="1" outlineLevel="1" x14ac:dyDescent="0.2">
      <c r="B9" s="10" t="str">
        <f>Lookup!B18</f>
        <v>Period Type</v>
      </c>
      <c r="J9" s="51" t="str">
        <f>Lookup!N18</f>
        <v>Forecast</v>
      </c>
      <c r="K9" s="51" t="str">
        <f>Lookup!O18</f>
        <v>Forecast</v>
      </c>
      <c r="L9" s="51" t="str">
        <f>Lookup!P18</f>
        <v>Forecast</v>
      </c>
      <c r="M9" s="51" t="str">
        <f>Lookup!Q18</f>
        <v>Forecast</v>
      </c>
      <c r="N9" s="51" t="str">
        <f>Lookup!R18</f>
        <v>Forecast</v>
      </c>
    </row>
    <row r="10" spans="1:14" ht="12.75" collapsed="1" x14ac:dyDescent="0.2">
      <c r="B10" s="5" t="str">
        <f>Lookup!B19</f>
        <v>Regulatory Year</v>
      </c>
      <c r="E10" s="48" t="str">
        <f>Lookup!E19</f>
        <v>Source</v>
      </c>
      <c r="F10" s="48" t="str">
        <f>Lookup!F19</f>
        <v>Unit</v>
      </c>
      <c r="G10" s="48" t="str">
        <f>Lookup!G19</f>
        <v>Basis</v>
      </c>
      <c r="H10" s="48" t="str">
        <f>Lookup!H19</f>
        <v>Timing</v>
      </c>
      <c r="I10" s="48"/>
      <c r="J10" s="48" t="str">
        <f>Lookup!N19</f>
        <v>FY27</v>
      </c>
      <c r="K10" s="48" t="str">
        <f>Lookup!O19</f>
        <v>FY28</v>
      </c>
      <c r="L10" s="48" t="str">
        <f>Lookup!P19</f>
        <v>FY29</v>
      </c>
      <c r="M10" s="48" t="str">
        <f>Lookup!Q19</f>
        <v>FY30</v>
      </c>
      <c r="N10" s="48" t="str">
        <f>Lookup!R19</f>
        <v>FY31</v>
      </c>
    </row>
    <row r="11" spans="1:14" x14ac:dyDescent="0.2"/>
    <row r="12" spans="1:14" s="2" customFormat="1" ht="15.75" x14ac:dyDescent="0.2">
      <c r="B12" s="2" t="s">
        <v>211</v>
      </c>
    </row>
    <row r="13" spans="1:14" ht="4.5" customHeight="1" x14ac:dyDescent="0.2"/>
    <row r="14" spans="1:14" s="8" customFormat="1" ht="15" x14ac:dyDescent="0.2">
      <c r="C14" s="8" t="s">
        <v>108</v>
      </c>
    </row>
    <row r="15" spans="1:14" x14ac:dyDescent="0.2"/>
    <row r="16" spans="1:14" ht="12.75" x14ac:dyDescent="0.2">
      <c r="D16" s="59" t="s">
        <v>87</v>
      </c>
      <c r="E16" s="52" t="str">
        <f>Lookup!E$19</f>
        <v>Source</v>
      </c>
      <c r="F16" s="52" t="str">
        <f>Lookup!F$19</f>
        <v>Unit</v>
      </c>
      <c r="G16" s="52" t="str">
        <f>Lookup!G$19</f>
        <v>Basis</v>
      </c>
      <c r="H16" s="52" t="str">
        <f>Lookup!H$19</f>
        <v>Timing</v>
      </c>
      <c r="J16" s="52" t="str">
        <f>J$10</f>
        <v>FY27</v>
      </c>
      <c r="K16" s="52" t="str">
        <f t="shared" ref="K16:N16" si="0">K$10</f>
        <v>FY28</v>
      </c>
      <c r="L16" s="52" t="str">
        <f t="shared" si="0"/>
        <v>FY29</v>
      </c>
      <c r="M16" s="52" t="str">
        <f t="shared" si="0"/>
        <v>FY30</v>
      </c>
      <c r="N16" s="52" t="str">
        <f t="shared" si="0"/>
        <v>FY31</v>
      </c>
    </row>
    <row r="17" spans="3:23" x14ac:dyDescent="0.2">
      <c r="L17" s="74"/>
    </row>
    <row r="18" spans="3:23" ht="12.75" x14ac:dyDescent="0.2">
      <c r="D18" s="10" t="s">
        <v>125</v>
      </c>
      <c r="E18" s="61" t="s">
        <v>88</v>
      </c>
      <c r="F18" s="51" t="str">
        <f t="shared" ref="F18:F20" si="1">Percent</f>
        <v>Percent</v>
      </c>
      <c r="G18" s="51" t="s">
        <v>67</v>
      </c>
      <c r="H18" s="51" t="str">
        <f t="shared" ref="H18:H20" si="2">NA</f>
        <v>N/A</v>
      </c>
      <c r="J18" s="71">
        <f>RFR</f>
        <v>4.8153558980402099E-2</v>
      </c>
      <c r="K18" s="41"/>
      <c r="L18" s="41"/>
      <c r="M18" s="41"/>
      <c r="N18" s="41"/>
    </row>
    <row r="19" spans="3:23" ht="12.75" x14ac:dyDescent="0.2">
      <c r="D19" s="70" t="s">
        <v>104</v>
      </c>
      <c r="E19" s="61" t="s">
        <v>88</v>
      </c>
      <c r="F19" s="51" t="str">
        <f t="shared" si="1"/>
        <v>Percent</v>
      </c>
      <c r="G19" s="51" t="s">
        <v>67</v>
      </c>
      <c r="H19" s="51" t="str">
        <f t="shared" si="2"/>
        <v>N/A</v>
      </c>
      <c r="J19" s="71">
        <f>MRP</f>
        <v>6.2E-2</v>
      </c>
      <c r="K19" s="41"/>
      <c r="L19" s="41"/>
      <c r="M19" s="41"/>
      <c r="N19" s="41"/>
    </row>
    <row r="20" spans="3:23" ht="12.75" x14ac:dyDescent="0.2">
      <c r="D20" s="70" t="s">
        <v>106</v>
      </c>
      <c r="E20" s="61" t="s">
        <v>88</v>
      </c>
      <c r="F20" s="51" t="str">
        <f t="shared" si="1"/>
        <v>Percent</v>
      </c>
      <c r="G20" s="51" t="s">
        <v>67</v>
      </c>
      <c r="H20" s="51" t="str">
        <f t="shared" si="2"/>
        <v>N/A</v>
      </c>
      <c r="J20" s="71">
        <f>Beta</f>
        <v>0.6</v>
      </c>
      <c r="K20" s="41"/>
      <c r="L20" s="41"/>
      <c r="M20" s="41"/>
      <c r="N20" s="41"/>
    </row>
    <row r="21" spans="3:23" ht="12.75" x14ac:dyDescent="0.2">
      <c r="D21" s="10"/>
      <c r="E21" s="61"/>
      <c r="F21" s="61"/>
      <c r="G21" s="61"/>
      <c r="H21" s="61"/>
      <c r="I21" s="61"/>
      <c r="J21" s="61"/>
      <c r="K21" s="61"/>
      <c r="L21" s="61"/>
      <c r="M21" s="61"/>
      <c r="P21" s="67"/>
      <c r="Q21" s="53"/>
      <c r="R21" s="53"/>
    </row>
    <row r="22" spans="3:23" ht="12.75" x14ac:dyDescent="0.2">
      <c r="D22" s="60" t="s">
        <v>108</v>
      </c>
      <c r="E22" s="54" t="s">
        <v>88</v>
      </c>
      <c r="F22" s="54" t="str">
        <f>Percent</f>
        <v>Percent</v>
      </c>
      <c r="G22" s="54" t="s">
        <v>67</v>
      </c>
      <c r="H22" s="54" t="str">
        <f t="shared" ref="H22" si="3">NA</f>
        <v>N/A</v>
      </c>
      <c r="J22" s="73">
        <f>RFR+MRP*Beta</f>
        <v>8.5353558980402089E-2</v>
      </c>
      <c r="N22" s="67"/>
      <c r="O22" s="67"/>
      <c r="P22" s="67"/>
      <c r="Q22" s="53"/>
    </row>
    <row r="23" spans="3:23" ht="12.75" x14ac:dyDescent="0.2">
      <c r="D23" s="10"/>
      <c r="E23" s="61"/>
      <c r="F23" s="61"/>
      <c r="G23" s="61"/>
      <c r="H23" s="61"/>
      <c r="I23" s="61"/>
      <c r="J23" s="61"/>
      <c r="K23" s="61"/>
      <c r="L23" s="61"/>
      <c r="M23" s="61"/>
      <c r="N23" s="67"/>
      <c r="O23" s="67"/>
      <c r="P23" s="67"/>
      <c r="Q23" s="67"/>
      <c r="R23" s="67"/>
      <c r="S23" s="67"/>
      <c r="T23" s="67"/>
      <c r="U23" s="53"/>
      <c r="V23" s="53"/>
      <c r="W23" s="53"/>
    </row>
    <row r="24" spans="3:23" s="8" customFormat="1" ht="15" x14ac:dyDescent="0.2">
      <c r="C24" s="8" t="s">
        <v>140</v>
      </c>
    </row>
    <row r="25" spans="3:23" x14ac:dyDescent="0.2"/>
    <row r="26" spans="3:23" ht="12.75" x14ac:dyDescent="0.2">
      <c r="D26" s="59" t="s">
        <v>137</v>
      </c>
      <c r="E26" s="52" t="str">
        <f>Lookup!E$19</f>
        <v>Source</v>
      </c>
      <c r="F26" s="52" t="str">
        <f>Lookup!F$19</f>
        <v>Unit</v>
      </c>
      <c r="G26" s="52" t="str">
        <f>Lookup!G$19</f>
        <v>Basis</v>
      </c>
      <c r="H26" s="52" t="str">
        <f>Lookup!H$19</f>
        <v>Timing</v>
      </c>
      <c r="J26" s="52" t="str">
        <f>J$10</f>
        <v>FY27</v>
      </c>
      <c r="K26" s="52" t="str">
        <f t="shared" ref="K26:N26" si="4">K$10</f>
        <v>FY28</v>
      </c>
      <c r="L26" s="52" t="str">
        <f t="shared" si="4"/>
        <v>FY29</v>
      </c>
      <c r="M26" s="52" t="str">
        <f t="shared" si="4"/>
        <v>FY30</v>
      </c>
      <c r="N26" s="52" t="str">
        <f t="shared" si="4"/>
        <v>FY31</v>
      </c>
    </row>
    <row r="27" spans="3:23" x14ac:dyDescent="0.2"/>
    <row r="28" spans="3:23" ht="12.75" x14ac:dyDescent="0.2">
      <c r="D28" s="10" t="s">
        <v>144</v>
      </c>
      <c r="E28" s="61" t="s">
        <v>172</v>
      </c>
      <c r="F28" s="51" t="str">
        <f t="shared" ref="F28" si="5">Percent</f>
        <v>Percent</v>
      </c>
      <c r="G28" s="51" t="s">
        <v>67</v>
      </c>
      <c r="H28" s="51" t="str">
        <f t="shared" ref="H28" si="6">NA</f>
        <v>N/A</v>
      </c>
      <c r="J28" s="91">
        <f>ROD_First</f>
        <v>6.0581226093966697E-2</v>
      </c>
      <c r="K28" s="72">
        <f>J28</f>
        <v>6.0581226093966697E-2</v>
      </c>
      <c r="L28" s="72">
        <f t="shared" ref="L28:N28" si="7">K28</f>
        <v>6.0581226093966697E-2</v>
      </c>
      <c r="M28" s="72">
        <f t="shared" si="7"/>
        <v>6.0581226093966697E-2</v>
      </c>
      <c r="N28" s="72">
        <f t="shared" si="7"/>
        <v>6.0581226093966697E-2</v>
      </c>
    </row>
    <row r="29" spans="3:23" ht="12.75" x14ac:dyDescent="0.2">
      <c r="D29" s="10" t="s">
        <v>174</v>
      </c>
      <c r="E29" s="61" t="s">
        <v>88</v>
      </c>
      <c r="F29" s="51" t="str">
        <f t="shared" ref="F29" si="8">Percent</f>
        <v>Percent</v>
      </c>
      <c r="G29" s="51" t="str">
        <f t="shared" ref="G29:H29" si="9">NA</f>
        <v>N/A</v>
      </c>
      <c r="H29" s="51" t="str">
        <f t="shared" si="9"/>
        <v>N/A</v>
      </c>
      <c r="J29" s="72">
        <f t="shared" ref="J29:N29" si="10">Weight_New_Debt</f>
        <v>0.1</v>
      </c>
      <c r="K29" s="72">
        <f t="shared" si="10"/>
        <v>0.1</v>
      </c>
      <c r="L29" s="72">
        <f t="shared" si="10"/>
        <v>0.1</v>
      </c>
      <c r="M29" s="72">
        <f t="shared" si="10"/>
        <v>0.1</v>
      </c>
      <c r="N29" s="72">
        <f t="shared" si="10"/>
        <v>0.1</v>
      </c>
    </row>
    <row r="30" spans="3:23" x14ac:dyDescent="0.2"/>
    <row r="31" spans="3:23" ht="12.75" x14ac:dyDescent="0.2">
      <c r="D31" s="60" t="s">
        <v>138</v>
      </c>
      <c r="E31" s="54" t="s">
        <v>88</v>
      </c>
      <c r="F31" s="54" t="str">
        <f t="shared" ref="F31" si="11">Percent</f>
        <v>Percent</v>
      </c>
      <c r="G31" s="54" t="s">
        <v>67</v>
      </c>
      <c r="H31" s="54" t="str">
        <f t="shared" ref="H31" si="12">NA</f>
        <v>N/A</v>
      </c>
      <c r="J31" s="77">
        <f>IFERROR($J$28,"")</f>
        <v>6.0581226093966697E-2</v>
      </c>
      <c r="K31" s="73">
        <f>IFERROR(J31+(K$28-$J$28)*K29,J31)</f>
        <v>6.0581226093966697E-2</v>
      </c>
      <c r="L31" s="73">
        <f t="shared" ref="L31:N31" si="13">IFERROR(K31+(L$28-$J$28)*L29,K31)</f>
        <v>6.0581226093966697E-2</v>
      </c>
      <c r="M31" s="73">
        <f t="shared" si="13"/>
        <v>6.0581226093966697E-2</v>
      </c>
      <c r="N31" s="73">
        <f t="shared" si="13"/>
        <v>6.0581226093966697E-2</v>
      </c>
    </row>
    <row r="32" spans="3:23" x14ac:dyDescent="0.2"/>
    <row r="33" spans="2:14" s="8" customFormat="1" ht="15" x14ac:dyDescent="0.2">
      <c r="C33" s="8" t="s">
        <v>126</v>
      </c>
    </row>
    <row r="34" spans="2:14" ht="11.25" customHeight="1" x14ac:dyDescent="0.2"/>
    <row r="35" spans="2:14" ht="12.75" x14ac:dyDescent="0.2">
      <c r="D35" s="59" t="s">
        <v>87</v>
      </c>
      <c r="E35" s="52" t="str">
        <f>Lookup!E$19</f>
        <v>Source</v>
      </c>
      <c r="F35" s="52" t="str">
        <f>Lookup!F$19</f>
        <v>Unit</v>
      </c>
      <c r="G35" s="52" t="str">
        <f>Lookup!G$19</f>
        <v>Basis</v>
      </c>
      <c r="H35" s="52" t="str">
        <f>Lookup!H$19</f>
        <v>Timing</v>
      </c>
      <c r="J35" s="52" t="str">
        <f>J$10</f>
        <v>FY27</v>
      </c>
      <c r="K35" s="52" t="str">
        <f t="shared" ref="K35:N35" si="14">K$10</f>
        <v>FY28</v>
      </c>
      <c r="L35" s="52" t="str">
        <f t="shared" si="14"/>
        <v>FY29</v>
      </c>
      <c r="M35" s="52" t="str">
        <f t="shared" si="14"/>
        <v>FY30</v>
      </c>
      <c r="N35" s="52" t="str">
        <f t="shared" si="14"/>
        <v>FY31</v>
      </c>
    </row>
    <row r="36" spans="2:14" x14ac:dyDescent="0.2">
      <c r="L36" s="74"/>
    </row>
    <row r="37" spans="2:14" ht="12.75" x14ac:dyDescent="0.2">
      <c r="D37" s="10" t="s">
        <v>117</v>
      </c>
      <c r="E37" s="61" t="s">
        <v>88</v>
      </c>
      <c r="F37" s="51" t="str">
        <f t="shared" ref="F37:F38" si="15">Percent</f>
        <v>Percent</v>
      </c>
      <c r="G37" s="51" t="s">
        <v>67</v>
      </c>
      <c r="H37" s="51" t="str">
        <f t="shared" ref="H37:H39" si="16">NA</f>
        <v>N/A</v>
      </c>
      <c r="J37" s="71">
        <f t="array" ref="J37">GEOMEAN(1+Input_Data!N19:S19)-1</f>
        <v>2.8571465652650119E-2</v>
      </c>
      <c r="K37" s="41"/>
      <c r="L37" s="41"/>
      <c r="M37" s="41"/>
      <c r="N37" s="41"/>
    </row>
    <row r="38" spans="2:14" ht="12.75" x14ac:dyDescent="0.2">
      <c r="D38" s="10" t="s">
        <v>108</v>
      </c>
      <c r="E38" s="61" t="s">
        <v>88</v>
      </c>
      <c r="F38" s="51" t="str">
        <f t="shared" si="15"/>
        <v>Percent</v>
      </c>
      <c r="G38" s="51" t="s">
        <v>67</v>
      </c>
      <c r="H38" s="51" t="str">
        <f t="shared" si="16"/>
        <v>N/A</v>
      </c>
      <c r="J38" s="71">
        <f>J22</f>
        <v>8.5353558980402089E-2</v>
      </c>
      <c r="K38" s="41"/>
      <c r="L38" s="41"/>
      <c r="M38" s="41"/>
      <c r="N38" s="41"/>
    </row>
    <row r="39" spans="2:14" ht="12.75" x14ac:dyDescent="0.2">
      <c r="D39" s="10" t="s">
        <v>127</v>
      </c>
      <c r="E39" s="61" t="s">
        <v>88</v>
      </c>
      <c r="F39" s="61" t="str">
        <f>Dollars</f>
        <v>Dollars</v>
      </c>
      <c r="G39" s="51" t="s">
        <v>67</v>
      </c>
      <c r="H39" s="51" t="str">
        <f t="shared" si="16"/>
        <v>N/A</v>
      </c>
      <c r="J39" s="71">
        <f>J31</f>
        <v>6.0581226093966697E-2</v>
      </c>
      <c r="K39" s="71">
        <f t="shared" ref="K39:N39" si="17">K31</f>
        <v>6.0581226093966697E-2</v>
      </c>
      <c r="L39" s="71">
        <f t="shared" si="17"/>
        <v>6.0581226093966697E-2</v>
      </c>
      <c r="M39" s="71">
        <f t="shared" si="17"/>
        <v>6.0581226093966697E-2</v>
      </c>
      <c r="N39" s="71">
        <f t="shared" si="17"/>
        <v>6.0581226093966697E-2</v>
      </c>
    </row>
    <row r="40" spans="2:14" ht="11.25" customHeight="1" x14ac:dyDescent="0.2"/>
    <row r="41" spans="2:14" s="2" customFormat="1" ht="15.75" x14ac:dyDescent="0.2">
      <c r="B41" s="2" t="s">
        <v>32</v>
      </c>
    </row>
  </sheetData>
  <conditionalFormatting sqref="B2">
    <cfRule type="cellIs" dxfId="4" priority="1" operator="notEqual">
      <formula>"No Errors Found"</formula>
    </cfRule>
  </conditionalFormatting>
  <hyperlinks>
    <hyperlink ref="B3:E3" location="TOC!A1" display="TOC!A1" xr:uid="{00000000-0004-0000-05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34998626667073579"/>
  </sheetPr>
  <dimension ref="A1:U39"/>
  <sheetViews>
    <sheetView showGridLines="0" zoomScaleNormal="100" workbookViewId="0">
      <pane xSplit="1" ySplit="10" topLeftCell="B11" activePane="bottomRight" state="frozen"/>
      <selection activeCell="E30" sqref="E30"/>
      <selection pane="topRight" activeCell="E30" sqref="E30"/>
      <selection pane="bottomLeft" activeCell="E30" sqref="E30"/>
      <selection pane="bottomRight"/>
    </sheetView>
  </sheetViews>
  <sheetFormatPr defaultColWidth="9.33203125" defaultRowHeight="11.25" zeroHeight="1" outlineLevelRow="1" x14ac:dyDescent="0.2"/>
  <cols>
    <col min="1" max="1" width="3.33203125" customWidth="1"/>
    <col min="2" max="3" width="2.83203125" customWidth="1"/>
    <col min="4" max="4" width="45.1640625" customWidth="1"/>
    <col min="5" max="5" width="11.83203125" customWidth="1"/>
    <col min="6" max="6" width="9.1640625" customWidth="1"/>
    <col min="7" max="7" width="12" customWidth="1"/>
    <col min="8" max="8" width="10" customWidth="1"/>
    <col min="9" max="9" width="5.33203125" customWidth="1"/>
    <col min="10" max="17" width="12.83203125" customWidth="1"/>
    <col min="18" max="19" width="13.33203125" customWidth="1"/>
    <col min="20" max="20" width="5.5" customWidth="1"/>
    <col min="21" max="21" width="13.33203125" customWidth="1"/>
  </cols>
  <sheetData>
    <row r="1" spans="1:19" ht="19.5" x14ac:dyDescent="0.2">
      <c r="A1" s="56">
        <f>IF(SUM($A11:$A39)&gt;0,1,0)</f>
        <v>0</v>
      </c>
      <c r="B1" s="3" t="s">
        <v>133</v>
      </c>
    </row>
    <row r="2" spans="1:19" x14ac:dyDescent="0.2">
      <c r="B2" s="13" t="str">
        <f>Title_Msg</f>
        <v>No Errors Found</v>
      </c>
    </row>
    <row r="3" spans="1:19" x14ac:dyDescent="0.2">
      <c r="B3" s="44" t="str">
        <f>TOC!B1</f>
        <v>Table of Contents</v>
      </c>
      <c r="C3" s="39"/>
      <c r="D3" s="39"/>
      <c r="E3" s="39"/>
    </row>
    <row r="4" spans="1:19" ht="12.75" x14ac:dyDescent="0.2">
      <c r="B4" s="37" t="str">
        <f>Model_Name</f>
        <v>Rate of Return Model - Transgrid (TGD) - Accelerated Syncons</v>
      </c>
    </row>
    <row r="5" spans="1:19" ht="12.75" hidden="1" outlineLevel="1" x14ac:dyDescent="0.2">
      <c r="B5" s="10" t="str">
        <f>Lookup!B14</f>
        <v>Period Start Date</v>
      </c>
      <c r="J5" s="49">
        <f>Lookup!L14</f>
        <v>45566</v>
      </c>
      <c r="K5" s="49">
        <f>Lookup!M14</f>
        <v>45931</v>
      </c>
      <c r="L5" s="49">
        <f>Lookup!N14</f>
        <v>46296</v>
      </c>
      <c r="M5" s="49">
        <f>Lookup!O14</f>
        <v>46661</v>
      </c>
      <c r="N5" s="49">
        <f>Lookup!P14</f>
        <v>47027</v>
      </c>
      <c r="O5" s="49">
        <f>Lookup!Q14</f>
        <v>47392</v>
      </c>
      <c r="P5" s="49">
        <f>Lookup!R14</f>
        <v>47757</v>
      </c>
    </row>
    <row r="6" spans="1:19" ht="12.75" hidden="1" outlineLevel="1" x14ac:dyDescent="0.2">
      <c r="B6" s="10" t="str">
        <f>Lookup!B15</f>
        <v>Period End Date</v>
      </c>
      <c r="J6" s="49">
        <f>Lookup!L15</f>
        <v>45930</v>
      </c>
      <c r="K6" s="49">
        <f>Lookup!M15</f>
        <v>46295</v>
      </c>
      <c r="L6" s="49">
        <f>Lookup!N15</f>
        <v>46660</v>
      </c>
      <c r="M6" s="49">
        <f>Lookup!O15</f>
        <v>47026</v>
      </c>
      <c r="N6" s="49">
        <f>Lookup!P15</f>
        <v>47391</v>
      </c>
      <c r="O6" s="49">
        <f>Lookup!Q15</f>
        <v>47756</v>
      </c>
      <c r="P6" s="49">
        <f>Lookup!R15</f>
        <v>48121</v>
      </c>
    </row>
    <row r="7" spans="1:19" ht="12.75" hidden="1" outlineLevel="1" x14ac:dyDescent="0.2">
      <c r="B7" s="10" t="str">
        <f>Lookup!B16</f>
        <v>Period Counter</v>
      </c>
      <c r="J7" s="50">
        <f>Lookup!L16</f>
        <v>4</v>
      </c>
      <c r="K7" s="50">
        <f>Lookup!M16</f>
        <v>5</v>
      </c>
      <c r="L7" s="50">
        <f>Lookup!N16</f>
        <v>6</v>
      </c>
      <c r="M7" s="50">
        <f>Lookup!O16</f>
        <v>7</v>
      </c>
      <c r="N7" s="50">
        <f>Lookup!P16</f>
        <v>8</v>
      </c>
      <c r="O7" s="50">
        <f>Lookup!Q16</f>
        <v>9</v>
      </c>
      <c r="P7" s="50">
        <f>Lookup!R16</f>
        <v>10</v>
      </c>
    </row>
    <row r="8" spans="1:19" ht="12.75" hidden="1" outlineLevel="1" x14ac:dyDescent="0.2">
      <c r="B8" s="10" t="str">
        <f>Lookup!B17</f>
        <v>Year</v>
      </c>
      <c r="J8" s="51">
        <f>Lookup!L17</f>
        <v>2025</v>
      </c>
      <c r="K8" s="51">
        <f>Lookup!M17</f>
        <v>2026</v>
      </c>
      <c r="L8" s="51">
        <f>Lookup!N17</f>
        <v>2027</v>
      </c>
      <c r="M8" s="51">
        <f>Lookup!O17</f>
        <v>2028</v>
      </c>
      <c r="N8" s="51">
        <f>Lookup!P17</f>
        <v>2029</v>
      </c>
      <c r="O8" s="51">
        <f>Lookup!Q17</f>
        <v>2030</v>
      </c>
      <c r="P8" s="51">
        <f>Lookup!R17</f>
        <v>2031</v>
      </c>
    </row>
    <row r="9" spans="1:19" ht="12.75" hidden="1" outlineLevel="1" x14ac:dyDescent="0.2">
      <c r="B9" s="10" t="str">
        <f>Lookup!B18</f>
        <v>Period Type</v>
      </c>
      <c r="J9" s="51" t="str">
        <f>Lookup!L18</f>
        <v>Actual</v>
      </c>
      <c r="K9" s="51" t="str">
        <f>Lookup!M18</f>
        <v>Estimate</v>
      </c>
      <c r="L9" s="51" t="str">
        <f>Lookup!N18</f>
        <v>Forecast</v>
      </c>
      <c r="M9" s="51" t="str">
        <f>Lookup!O18</f>
        <v>Forecast</v>
      </c>
      <c r="N9" s="51" t="str">
        <f>Lookup!P18</f>
        <v>Forecast</v>
      </c>
      <c r="O9" s="51" t="str">
        <f>Lookup!Q18</f>
        <v>Forecast</v>
      </c>
      <c r="P9" s="51" t="str">
        <f>Lookup!R18</f>
        <v>Forecast</v>
      </c>
    </row>
    <row r="10" spans="1:19" ht="12.75" collapsed="1" x14ac:dyDescent="0.2">
      <c r="B10" s="5" t="str">
        <f>Lookup!B19</f>
        <v>Regulatory Year</v>
      </c>
      <c r="E10" s="48" t="str">
        <f>Lookup!E19</f>
        <v>Source</v>
      </c>
      <c r="F10" s="48" t="str">
        <f>Lookup!F19</f>
        <v>Unit</v>
      </c>
      <c r="G10" s="48" t="str">
        <f>Lookup!G19</f>
        <v>Basis</v>
      </c>
      <c r="H10" s="48" t="str">
        <f>Lookup!H19</f>
        <v>Timing</v>
      </c>
      <c r="I10" s="48"/>
      <c r="J10" s="48" t="str">
        <f>Lookup!I19</f>
        <v>FY22</v>
      </c>
      <c r="K10" s="48" t="str">
        <f>Lookup!J19</f>
        <v>FY23</v>
      </c>
      <c r="L10" s="48" t="str">
        <f>Lookup!K19</f>
        <v>FY24</v>
      </c>
      <c r="M10" s="48" t="str">
        <f>Lookup!L19</f>
        <v>FY25</v>
      </c>
      <c r="N10" s="48" t="str">
        <f>Lookup!M19</f>
        <v>FY26</v>
      </c>
      <c r="O10" s="48" t="str">
        <f>Lookup!N19</f>
        <v>FY27</v>
      </c>
      <c r="P10" s="48" t="str">
        <f>Lookup!O19</f>
        <v>FY28</v>
      </c>
      <c r="Q10" s="48" t="str">
        <f>Lookup!P19</f>
        <v>FY29</v>
      </c>
      <c r="R10" s="48" t="str">
        <f>Lookup!Q19</f>
        <v>FY30</v>
      </c>
      <c r="S10" s="48" t="str">
        <f>Lookup!R19</f>
        <v>FY31</v>
      </c>
    </row>
    <row r="11" spans="1:19" x14ac:dyDescent="0.2"/>
    <row r="12" spans="1:19" s="2" customFormat="1" ht="15.75" x14ac:dyDescent="0.2">
      <c r="B12" s="2" t="s">
        <v>118</v>
      </c>
    </row>
    <row r="13" spans="1:19" ht="4.5" customHeight="1" x14ac:dyDescent="0.2"/>
    <row r="14" spans="1:19" s="8" customFormat="1" ht="15" x14ac:dyDescent="0.2">
      <c r="C14" s="8" t="s">
        <v>119</v>
      </c>
    </row>
    <row r="15" spans="1:19" ht="11.25" customHeight="1" x14ac:dyDescent="0.2"/>
    <row r="16" spans="1:19" ht="11.25" customHeight="1" x14ac:dyDescent="0.2">
      <c r="J16" s="92" t="s">
        <v>168</v>
      </c>
      <c r="K16" s="92"/>
      <c r="L16" s="92"/>
      <c r="M16" s="92"/>
      <c r="N16" s="92"/>
      <c r="O16" s="92" t="s">
        <v>175</v>
      </c>
      <c r="P16" s="92"/>
      <c r="Q16" s="92"/>
      <c r="R16" s="92"/>
      <c r="S16" s="92"/>
    </row>
    <row r="17" spans="3:21" ht="12.75" x14ac:dyDescent="0.2">
      <c r="D17" s="59" t="s">
        <v>87</v>
      </c>
      <c r="E17" s="52" t="str">
        <f>Lookup!E$19</f>
        <v>Source</v>
      </c>
      <c r="F17" s="52" t="str">
        <f>Lookup!F$19</f>
        <v>Unit</v>
      </c>
      <c r="G17" s="52" t="str">
        <f>Lookup!G$19</f>
        <v>Basis</v>
      </c>
      <c r="H17" s="52" t="str">
        <f>Lookup!H$19</f>
        <v>Timing</v>
      </c>
      <c r="J17" s="52" t="str">
        <f t="shared" ref="J17:S17" si="0">J$10</f>
        <v>FY22</v>
      </c>
      <c r="K17" s="52" t="str">
        <f t="shared" si="0"/>
        <v>FY23</v>
      </c>
      <c r="L17" s="52" t="str">
        <f t="shared" si="0"/>
        <v>FY24</v>
      </c>
      <c r="M17" s="52" t="str">
        <f t="shared" si="0"/>
        <v>FY25</v>
      </c>
      <c r="N17" s="52" t="str">
        <f t="shared" si="0"/>
        <v>FY26</v>
      </c>
      <c r="O17" s="52" t="str">
        <f t="shared" si="0"/>
        <v>FY27</v>
      </c>
      <c r="P17" s="52" t="str">
        <f t="shared" si="0"/>
        <v>FY28</v>
      </c>
      <c r="Q17" s="52" t="str">
        <f t="shared" si="0"/>
        <v>FY29</v>
      </c>
      <c r="R17" s="52" t="str">
        <f t="shared" si="0"/>
        <v>FY30</v>
      </c>
      <c r="S17" s="52" t="str">
        <f t="shared" si="0"/>
        <v>FY31</v>
      </c>
      <c r="U17" s="52" t="str">
        <f>O$10&amp;" - "&amp;S$10</f>
        <v>FY27 - FY31</v>
      </c>
    </row>
    <row r="18" spans="3:21" x14ac:dyDescent="0.2"/>
    <row r="19" spans="3:21" ht="12.6" customHeight="1" x14ac:dyDescent="0.2">
      <c r="D19" s="10" t="s">
        <v>121</v>
      </c>
      <c r="E19" s="61" t="s">
        <v>88</v>
      </c>
      <c r="F19" s="61" t="str">
        <f>Percent</f>
        <v>Percent</v>
      </c>
      <c r="G19" s="61" t="str">
        <f>Nominal</f>
        <v>Nominal</v>
      </c>
      <c r="H19" s="61" t="str">
        <f>NA</f>
        <v>N/A</v>
      </c>
      <c r="J19" s="41"/>
      <c r="K19" s="41"/>
      <c r="L19" s="41"/>
      <c r="M19" s="41"/>
      <c r="N19" s="41"/>
      <c r="O19" s="71">
        <f>Input_Data!O19</f>
        <v>2.7999513618562011E-2</v>
      </c>
      <c r="P19" s="71">
        <f>Input_Data!P19</f>
        <v>2.7249635213921507E-2</v>
      </c>
      <c r="Q19" s="71">
        <f>Input_Data!Q19</f>
        <v>2.6499756809281003E-2</v>
      </c>
      <c r="R19" s="71">
        <f>Input_Data!R19</f>
        <v>2.5749878404640499E-2</v>
      </c>
      <c r="S19" s="71">
        <f>Input_Data!S19</f>
        <v>2.5000000000000001E-2</v>
      </c>
      <c r="U19" s="41"/>
    </row>
    <row r="20" spans="3:21" ht="12.6" customHeight="1" x14ac:dyDescent="0.2">
      <c r="D20" s="10" t="s">
        <v>159</v>
      </c>
      <c r="E20" s="61" t="s">
        <v>88</v>
      </c>
      <c r="F20" s="61" t="str">
        <f>Factor</f>
        <v>Factor</v>
      </c>
      <c r="G20" s="61" t="str">
        <f>Nominal</f>
        <v>Nominal</v>
      </c>
      <c r="H20" s="61" t="str">
        <f>NA</f>
        <v>N/A</v>
      </c>
      <c r="J20" s="41"/>
      <c r="K20" s="41"/>
      <c r="L20" s="41"/>
      <c r="M20" s="41"/>
      <c r="N20" s="41"/>
      <c r="O20" s="41"/>
      <c r="P20" s="41"/>
      <c r="Q20" s="41"/>
      <c r="R20" s="41"/>
      <c r="S20" s="41"/>
      <c r="U20" s="71" cm="1">
        <f t="array" ref="U20">GEOMEAN(--1+O19:S19)-1</f>
        <v>2.6499209007902591E-2</v>
      </c>
    </row>
    <row r="21" spans="3:21" ht="12.6" customHeight="1" x14ac:dyDescent="0.2">
      <c r="D21" s="10" t="s">
        <v>122</v>
      </c>
      <c r="E21" s="61" t="s">
        <v>88</v>
      </c>
      <c r="F21" s="61" t="str">
        <f>Percent</f>
        <v>Percent</v>
      </c>
      <c r="G21" s="61" t="str">
        <f>Nominal</f>
        <v>Nominal</v>
      </c>
      <c r="H21" s="61" t="str">
        <f>NA</f>
        <v>N/A</v>
      </c>
      <c r="J21" s="41"/>
      <c r="K21" s="41"/>
      <c r="L21" s="41"/>
      <c r="M21" s="41"/>
      <c r="N21" s="41"/>
      <c r="O21" s="71">
        <f>ROE</f>
        <v>8.5353558980402089E-2</v>
      </c>
      <c r="P21" s="41"/>
      <c r="Q21" s="41"/>
      <c r="R21" s="41"/>
      <c r="S21" s="41"/>
      <c r="U21" s="41"/>
    </row>
    <row r="22" spans="3:21" ht="12.6" customHeight="1" x14ac:dyDescent="0.2">
      <c r="D22" s="10" t="s">
        <v>123</v>
      </c>
      <c r="E22" s="61" t="s">
        <v>88</v>
      </c>
      <c r="F22" s="61" t="str">
        <f>Percent</f>
        <v>Percent</v>
      </c>
      <c r="G22" s="61" t="str">
        <f>Nominal</f>
        <v>Nominal</v>
      </c>
      <c r="H22" s="61" t="str">
        <f>NA</f>
        <v>N/A</v>
      </c>
      <c r="J22" s="41"/>
      <c r="K22" s="41"/>
      <c r="L22" s="41"/>
      <c r="M22" s="41"/>
      <c r="N22" s="41"/>
      <c r="O22" s="71">
        <f>Gamma</f>
        <v>0.56999999999999995</v>
      </c>
      <c r="P22" s="41"/>
      <c r="Q22" s="41"/>
      <c r="R22" s="41"/>
      <c r="S22" s="41"/>
      <c r="U22" s="41"/>
    </row>
    <row r="23" spans="3:21" ht="12.6" customHeight="1" x14ac:dyDescent="0.2">
      <c r="D23" s="10" t="s">
        <v>124</v>
      </c>
      <c r="E23" s="61" t="s">
        <v>88</v>
      </c>
      <c r="F23" s="61" t="str">
        <f>Percent</f>
        <v>Percent</v>
      </c>
      <c r="G23" s="61" t="str">
        <f>Nominal</f>
        <v>Nominal</v>
      </c>
      <c r="H23" s="61" t="str">
        <f>NA</f>
        <v>N/A</v>
      </c>
      <c r="J23" s="41"/>
      <c r="K23" s="41"/>
      <c r="L23" s="41"/>
      <c r="M23" s="41"/>
      <c r="N23" s="41"/>
      <c r="O23" s="71">
        <f>Leverage</f>
        <v>0.6</v>
      </c>
      <c r="P23" s="41"/>
      <c r="Q23" s="41"/>
      <c r="R23" s="41"/>
      <c r="S23" s="41"/>
      <c r="U23" s="41"/>
    </row>
    <row r="24" spans="3:21" ht="12.6" customHeight="1" x14ac:dyDescent="0.2"/>
    <row r="25" spans="3:21" ht="12.6" customHeight="1" x14ac:dyDescent="0.2">
      <c r="D25" s="10" t="s">
        <v>128</v>
      </c>
      <c r="E25" s="61" t="s">
        <v>88</v>
      </c>
      <c r="F25" s="61" t="str">
        <f>Percent</f>
        <v>Percent</v>
      </c>
      <c r="G25" s="61" t="str">
        <f>Nominal</f>
        <v>Nominal</v>
      </c>
      <c r="H25" s="61" t="str">
        <f>NA</f>
        <v>N/A</v>
      </c>
      <c r="J25" s="41"/>
      <c r="K25" s="41"/>
      <c r="L25" s="41"/>
      <c r="M25" s="41"/>
      <c r="N25" s="41"/>
      <c r="O25" s="71">
        <f>Calc_Returns!J39</f>
        <v>6.0581226093966697E-2</v>
      </c>
      <c r="P25" s="71">
        <f>Calc_Returns!K39</f>
        <v>6.0581226093966697E-2</v>
      </c>
      <c r="Q25" s="71">
        <f>Calc_Returns!L39</f>
        <v>6.0581226093966697E-2</v>
      </c>
      <c r="R25" s="71">
        <f>Calc_Returns!M39</f>
        <v>6.0581226093966697E-2</v>
      </c>
      <c r="S25" s="71">
        <f>Calc_Returns!N39</f>
        <v>6.0581226093966697E-2</v>
      </c>
      <c r="U25" s="41"/>
    </row>
    <row r="26" spans="3:21" ht="12.6" customHeight="1" x14ac:dyDescent="0.2"/>
    <row r="27" spans="3:21" ht="12.6" customHeight="1" x14ac:dyDescent="0.2">
      <c r="D27" s="10" t="s">
        <v>149</v>
      </c>
      <c r="E27" s="61" t="s">
        <v>88</v>
      </c>
      <c r="F27" s="61" t="str">
        <f>Percent</f>
        <v>Percent</v>
      </c>
      <c r="G27" s="61" t="str">
        <f>Nominal</f>
        <v>Nominal</v>
      </c>
      <c r="H27" s="61" t="str">
        <f>NA</f>
        <v>N/A</v>
      </c>
      <c r="J27" s="71">
        <f>Input_Data!J42</f>
        <v>0.10321706088232885</v>
      </c>
      <c r="K27" s="71">
        <f>Input_Data!K42</f>
        <v>6.8671042845773522E-2</v>
      </c>
      <c r="L27" s="71">
        <f>Input_Data!L42</f>
        <v>5.5925966466671362E-2</v>
      </c>
      <c r="M27" s="71">
        <f>Input_Data!M42</f>
        <v>6.5664860288056737E-2</v>
      </c>
      <c r="N27" s="91">
        <f>Input_Data!N42</f>
        <v>6.2664172660686246E-2</v>
      </c>
      <c r="O27" s="71">
        <f>$O$21*(1-$O$23)+O25*$O$23</f>
        <v>7.0490159248540851E-2</v>
      </c>
      <c r="P27" s="71">
        <f>$O$21*(1-$O$23)+P25*$O$23</f>
        <v>7.0490159248540851E-2</v>
      </c>
      <c r="Q27" s="71">
        <f>$O$21*(1-$O$23)+Q25*$O$23</f>
        <v>7.0490159248540851E-2</v>
      </c>
      <c r="R27" s="71">
        <f>$O$21*(1-$O$23)+R25*$O$23</f>
        <v>7.0490159248540851E-2</v>
      </c>
      <c r="S27" s="71">
        <f>$O$21*(1-$O$23)+S25*$O$23</f>
        <v>7.0490159248540851E-2</v>
      </c>
      <c r="U27" s="41"/>
    </row>
    <row r="28" spans="3:21" x14ac:dyDescent="0.2"/>
    <row r="29" spans="3:21" s="8" customFormat="1" ht="15" x14ac:dyDescent="0.2">
      <c r="C29" s="8" t="s">
        <v>120</v>
      </c>
    </row>
    <row r="30" spans="3:21" ht="11.25" customHeight="1" x14ac:dyDescent="0.2"/>
    <row r="31" spans="3:21" ht="12.75" x14ac:dyDescent="0.2">
      <c r="D31" s="59" t="s">
        <v>87</v>
      </c>
      <c r="E31" s="52" t="str">
        <f>Lookup!E$19</f>
        <v>Source</v>
      </c>
      <c r="F31" s="52" t="str">
        <f>Lookup!F$19</f>
        <v>Unit</v>
      </c>
      <c r="G31" s="52" t="str">
        <f>Lookup!G$19</f>
        <v>Basis</v>
      </c>
      <c r="H31" s="52" t="str">
        <f>Lookup!H$19</f>
        <v>Timing</v>
      </c>
      <c r="J31" s="52" t="str">
        <f>O$10&amp;" - "&amp;S$10</f>
        <v>FY27 - FY31</v>
      </c>
    </row>
    <row r="32" spans="3:21" ht="11.25" customHeight="1" x14ac:dyDescent="0.2"/>
    <row r="33" spans="2:10" ht="12.6" customHeight="1" x14ac:dyDescent="0.2">
      <c r="D33" s="10" t="s">
        <v>111</v>
      </c>
      <c r="E33" s="61" t="s">
        <v>88</v>
      </c>
      <c r="F33" s="61" t="str">
        <f>Percent</f>
        <v>Percent</v>
      </c>
      <c r="G33" s="61" t="str">
        <f>Nominal</f>
        <v>Nominal</v>
      </c>
      <c r="H33" s="61" t="str">
        <f>NA</f>
        <v>N/A</v>
      </c>
      <c r="J33" s="71">
        <f>Input_Data!J68</f>
        <v>0.878670689</v>
      </c>
    </row>
    <row r="34" spans="2:10" ht="12.6" customHeight="1" x14ac:dyDescent="0.2">
      <c r="D34" s="10" t="s">
        <v>112</v>
      </c>
      <c r="E34" s="61" t="s">
        <v>88</v>
      </c>
      <c r="F34" s="61" t="str">
        <f>Percent</f>
        <v>Percent</v>
      </c>
      <c r="G34" s="61" t="str">
        <f>Nominal</f>
        <v>Nominal</v>
      </c>
      <c r="H34" s="61" t="str">
        <f>NA</f>
        <v>N/A</v>
      </c>
      <c r="J34" s="71">
        <f>Input_Data!J69</f>
        <v>0.03</v>
      </c>
    </row>
    <row r="35" spans="2:10" ht="12.6" customHeight="1" x14ac:dyDescent="0.2">
      <c r="D35" s="10" t="s">
        <v>113</v>
      </c>
      <c r="E35" s="61" t="s">
        <v>88</v>
      </c>
      <c r="F35" s="61" t="str">
        <f>Percent</f>
        <v>Percent</v>
      </c>
      <c r="G35" s="61" t="str">
        <f>Nominal</f>
        <v>Nominal</v>
      </c>
      <c r="H35" s="61" t="str">
        <f>NA</f>
        <v>N/A</v>
      </c>
      <c r="J35" s="71">
        <f>Input_Data!J70</f>
        <v>0.01</v>
      </c>
    </row>
    <row r="36" spans="2:10" ht="12.6" customHeight="1" x14ac:dyDescent="0.2">
      <c r="D36" s="10" t="s">
        <v>114</v>
      </c>
      <c r="E36" s="61" t="s">
        <v>88</v>
      </c>
      <c r="F36" s="61" t="str">
        <f>Percent</f>
        <v>Percent</v>
      </c>
      <c r="G36" s="61" t="str">
        <f>Nominal</f>
        <v>Nominal</v>
      </c>
      <c r="H36" s="61" t="str">
        <f>NA</f>
        <v>N/A</v>
      </c>
      <c r="J36" s="71">
        <f>Input_Data!J71</f>
        <v>0.3</v>
      </c>
    </row>
    <row r="37" spans="2:10" ht="12.6" customHeight="1" x14ac:dyDescent="0.2">
      <c r="D37" s="10" t="s">
        <v>100</v>
      </c>
      <c r="E37" s="61" t="s">
        <v>88</v>
      </c>
      <c r="F37" s="61" t="str">
        <f>Percent</f>
        <v>Percent</v>
      </c>
      <c r="G37" s="61" t="str">
        <f>Nominal</f>
        <v>Nominal</v>
      </c>
      <c r="H37" s="61" t="str">
        <f>NA</f>
        <v>N/A</v>
      </c>
      <c r="J37" s="71">
        <f>Input_Data!J72</f>
        <v>8.277476239331251E-4</v>
      </c>
    </row>
    <row r="38" spans="2:10" x14ac:dyDescent="0.2"/>
    <row r="39" spans="2:10" s="2" customFormat="1" ht="15.75" x14ac:dyDescent="0.2">
      <c r="B39" s="2" t="s">
        <v>32</v>
      </c>
    </row>
  </sheetData>
  <conditionalFormatting sqref="B2">
    <cfRule type="cellIs" dxfId="3" priority="1" operator="notEqual">
      <formula>"No Errors Found"</formula>
    </cfRule>
  </conditionalFormatting>
  <hyperlinks>
    <hyperlink ref="B3:E3" location="TOC!A1" display="TOC!A1" xr:uid="{00000000-0004-0000-06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dimension ref="B1:R73"/>
  <sheetViews>
    <sheetView showGridLines="0" zoomScaleNormal="100" workbookViewId="0">
      <pane xSplit="1" ySplit="4" topLeftCell="B5" activePane="bottomRight" state="frozen"/>
      <selection activeCell="E30" sqref="E30"/>
      <selection pane="topRight" activeCell="E30" sqref="E30"/>
      <selection pane="bottomLeft" activeCell="E30" sqref="E30"/>
      <selection pane="bottomRight"/>
    </sheetView>
  </sheetViews>
  <sheetFormatPr defaultColWidth="9.33203125" defaultRowHeight="11.25" zeroHeight="1" outlineLevelRow="1" x14ac:dyDescent="0.2"/>
  <cols>
    <col min="1" max="3" width="2.83203125" customWidth="1"/>
    <col min="4" max="4" width="34" customWidth="1"/>
    <col min="5" max="8" width="20.6640625" customWidth="1"/>
    <col min="9" max="18" width="12.6640625" customWidth="1"/>
  </cols>
  <sheetData>
    <row r="1" spans="2:18" ht="19.5" x14ac:dyDescent="0.2">
      <c r="B1" s="3" t="s">
        <v>45</v>
      </c>
    </row>
    <row r="2" spans="2:18" x14ac:dyDescent="0.2">
      <c r="B2" s="13" t="str">
        <f>Title_Msg</f>
        <v>No Errors Found</v>
      </c>
    </row>
    <row r="3" spans="2:18" x14ac:dyDescent="0.2">
      <c r="B3" s="44" t="str">
        <f>TOC!B1</f>
        <v>Table of Contents</v>
      </c>
      <c r="C3" s="39"/>
      <c r="D3" s="39"/>
      <c r="E3" s="39"/>
    </row>
    <row r="4" spans="2:18" ht="12.75" x14ac:dyDescent="0.2">
      <c r="B4" s="37" t="str">
        <f>Model_Name</f>
        <v>Rate of Return Model - Transgrid (TGD) - Accelerated Syncons</v>
      </c>
    </row>
    <row r="5" spans="2:18" x14ac:dyDescent="0.2"/>
    <row r="6" spans="2:18" s="2" customFormat="1" ht="15.75" x14ac:dyDescent="0.2">
      <c r="B6" s="2" t="s">
        <v>30</v>
      </c>
    </row>
    <row r="7" spans="2:18" ht="6.75" customHeight="1" x14ac:dyDescent="0.2"/>
    <row r="8" spans="2:18" s="8" customFormat="1" ht="15" x14ac:dyDescent="0.2">
      <c r="C8" s="8" t="s">
        <v>55</v>
      </c>
    </row>
    <row r="9" spans="2:18" x14ac:dyDescent="0.2">
      <c r="D9" s="1"/>
    </row>
    <row r="10" spans="2:18" ht="12.75" x14ac:dyDescent="0.2">
      <c r="D10" s="11" t="s">
        <v>54</v>
      </c>
      <c r="E10" s="45">
        <v>44470</v>
      </c>
    </row>
    <row r="11" spans="2:18" x14ac:dyDescent="0.2"/>
    <row r="12" spans="2:18" s="8" customFormat="1" ht="15" x14ac:dyDescent="0.2">
      <c r="C12" s="8" t="s">
        <v>56</v>
      </c>
    </row>
    <row r="13" spans="2:18" x14ac:dyDescent="0.2"/>
    <row r="14" spans="2:18" ht="12.75" outlineLevel="1" x14ac:dyDescent="0.2">
      <c r="B14" s="11" t="s">
        <v>52</v>
      </c>
      <c r="I14" s="46">
        <f t="shared" ref="I14" si="0">IF(I16=1,Model_Start_Date,H15+1)</f>
        <v>44470</v>
      </c>
      <c r="J14" s="46">
        <f t="shared" ref="J14" si="1">IF(J16=1,Model_Start_Date,I15+1)</f>
        <v>44835</v>
      </c>
      <c r="K14" s="46">
        <f t="shared" ref="K14:R14" si="2">IF(K16=1,Model_Start_Date,J15+1)</f>
        <v>45200</v>
      </c>
      <c r="L14" s="46">
        <f t="shared" si="2"/>
        <v>45566</v>
      </c>
      <c r="M14" s="46">
        <f t="shared" si="2"/>
        <v>45931</v>
      </c>
      <c r="N14" s="46">
        <f t="shared" si="2"/>
        <v>46296</v>
      </c>
      <c r="O14" s="46">
        <f t="shared" si="2"/>
        <v>46661</v>
      </c>
      <c r="P14" s="46">
        <f t="shared" si="2"/>
        <v>47027</v>
      </c>
      <c r="Q14" s="46">
        <f t="shared" si="2"/>
        <v>47392</v>
      </c>
      <c r="R14" s="46">
        <f t="shared" si="2"/>
        <v>47757</v>
      </c>
    </row>
    <row r="15" spans="2:18" ht="12.75" outlineLevel="1" x14ac:dyDescent="0.2">
      <c r="B15" s="11" t="s">
        <v>53</v>
      </c>
      <c r="I15" s="46">
        <f t="shared" ref="I15:J15" si="3">EOMONTH(I14,Mths_In_Yr-1)</f>
        <v>44834</v>
      </c>
      <c r="J15" s="46">
        <f t="shared" si="3"/>
        <v>45199</v>
      </c>
      <c r="K15" s="46">
        <f t="shared" ref="K15:L15" si="4">EOMONTH(K14,Mths_In_Yr-1)</f>
        <v>45565</v>
      </c>
      <c r="L15" s="46">
        <f t="shared" si="4"/>
        <v>45930</v>
      </c>
      <c r="M15" s="46">
        <f t="shared" ref="M15" si="5">EOMONTH(M14,Mths_In_Yr-1)</f>
        <v>46295</v>
      </c>
      <c r="N15" s="46">
        <f t="shared" ref="N15:P15" si="6">EOMONTH(N14,Mths_In_Yr-1)</f>
        <v>46660</v>
      </c>
      <c r="O15" s="46">
        <f t="shared" si="6"/>
        <v>47026</v>
      </c>
      <c r="P15" s="46">
        <f t="shared" si="6"/>
        <v>47391</v>
      </c>
      <c r="Q15" s="46">
        <f t="shared" ref="Q15:R15" si="7">EOMONTH(Q14,Mths_In_Yr-1)</f>
        <v>47756</v>
      </c>
      <c r="R15" s="46">
        <f t="shared" si="7"/>
        <v>48121</v>
      </c>
    </row>
    <row r="16" spans="2:18" ht="12.75" outlineLevel="1" x14ac:dyDescent="0.2">
      <c r="B16" s="11" t="s">
        <v>51</v>
      </c>
      <c r="I16" s="19">
        <f t="shared" ref="I16:J16" si="8">N(H16)+1</f>
        <v>1</v>
      </c>
      <c r="J16" s="19">
        <f t="shared" si="8"/>
        <v>2</v>
      </c>
      <c r="K16" s="19">
        <f>N(J16)+1</f>
        <v>3</v>
      </c>
      <c r="L16" s="19">
        <f t="shared" ref="L16:R16" si="9">N(K16)+1</f>
        <v>4</v>
      </c>
      <c r="M16" s="19">
        <f t="shared" si="9"/>
        <v>5</v>
      </c>
      <c r="N16" s="19">
        <f t="shared" si="9"/>
        <v>6</v>
      </c>
      <c r="O16" s="19">
        <f t="shared" si="9"/>
        <v>7</v>
      </c>
      <c r="P16" s="19">
        <f t="shared" si="9"/>
        <v>8</v>
      </c>
      <c r="Q16" s="19">
        <f t="shared" si="9"/>
        <v>9</v>
      </c>
      <c r="R16" s="19">
        <f t="shared" si="9"/>
        <v>10</v>
      </c>
    </row>
    <row r="17" spans="2:18" ht="12.75" outlineLevel="1" x14ac:dyDescent="0.2">
      <c r="B17" s="11" t="s">
        <v>57</v>
      </c>
      <c r="I17" s="7">
        <f t="shared" ref="I17:J17" si="10">YEAR(I15)</f>
        <v>2022</v>
      </c>
      <c r="J17" s="7">
        <f t="shared" si="10"/>
        <v>2023</v>
      </c>
      <c r="K17" s="7">
        <f t="shared" ref="K17:L17" si="11">YEAR(K15)</f>
        <v>2024</v>
      </c>
      <c r="L17" s="7">
        <f t="shared" si="11"/>
        <v>2025</v>
      </c>
      <c r="M17" s="7">
        <f t="shared" ref="M17" si="12">YEAR(M15)</f>
        <v>2026</v>
      </c>
      <c r="N17" s="7">
        <f t="shared" ref="N17:P17" si="13">YEAR(N15)</f>
        <v>2027</v>
      </c>
      <c r="O17" s="7">
        <f t="shared" si="13"/>
        <v>2028</v>
      </c>
      <c r="P17" s="7">
        <f t="shared" si="13"/>
        <v>2029</v>
      </c>
      <c r="Q17" s="7">
        <f t="shared" ref="Q17:R17" si="14">YEAR(Q15)</f>
        <v>2030</v>
      </c>
      <c r="R17" s="7">
        <f t="shared" si="14"/>
        <v>2031</v>
      </c>
    </row>
    <row r="18" spans="2:18" ht="12.75" outlineLevel="1" x14ac:dyDescent="0.2">
      <c r="B18" s="11" t="s">
        <v>58</v>
      </c>
      <c r="I18" s="14" t="s">
        <v>59</v>
      </c>
      <c r="J18" s="14" t="s">
        <v>59</v>
      </c>
      <c r="K18" s="14" t="s">
        <v>59</v>
      </c>
      <c r="L18" s="14" t="s">
        <v>59</v>
      </c>
      <c r="M18" s="14" t="s">
        <v>146</v>
      </c>
      <c r="N18" s="14" t="s">
        <v>60</v>
      </c>
      <c r="O18" s="14" t="s">
        <v>60</v>
      </c>
      <c r="P18" s="14" t="s">
        <v>60</v>
      </c>
      <c r="Q18" s="14" t="s">
        <v>60</v>
      </c>
      <c r="R18" s="14" t="s">
        <v>60</v>
      </c>
    </row>
    <row r="19" spans="2:18" ht="12.75" x14ac:dyDescent="0.2">
      <c r="B19" s="9" t="s">
        <v>61</v>
      </c>
      <c r="E19" s="15" t="s">
        <v>62</v>
      </c>
      <c r="F19" s="15" t="s">
        <v>63</v>
      </c>
      <c r="G19" s="15" t="s">
        <v>64</v>
      </c>
      <c r="H19" s="15" t="s">
        <v>65</v>
      </c>
      <c r="I19" s="47" t="str">
        <f>"FY"&amp;RIGHT(I17,2)</f>
        <v>FY22</v>
      </c>
      <c r="J19" s="47" t="str">
        <f t="shared" ref="J19:R19" si="15">"FY"&amp;RIGHT(J17,2)</f>
        <v>FY23</v>
      </c>
      <c r="K19" s="47" t="str">
        <f t="shared" si="15"/>
        <v>FY24</v>
      </c>
      <c r="L19" s="47" t="str">
        <f t="shared" si="15"/>
        <v>FY25</v>
      </c>
      <c r="M19" s="47" t="str">
        <f t="shared" si="15"/>
        <v>FY26</v>
      </c>
      <c r="N19" s="47" t="str">
        <f t="shared" si="15"/>
        <v>FY27</v>
      </c>
      <c r="O19" s="47" t="str">
        <f t="shared" si="15"/>
        <v>FY28</v>
      </c>
      <c r="P19" s="47" t="str">
        <f t="shared" si="15"/>
        <v>FY29</v>
      </c>
      <c r="Q19" s="47" t="str">
        <f t="shared" si="15"/>
        <v>FY30</v>
      </c>
      <c r="R19" s="47" t="str">
        <f t="shared" si="15"/>
        <v>FY31</v>
      </c>
    </row>
    <row r="20" spans="2:18" x14ac:dyDescent="0.2"/>
    <row r="21" spans="2:18" s="2" customFormat="1" ht="15.75" x14ac:dyDescent="0.2">
      <c r="B21" s="2" t="s">
        <v>45</v>
      </c>
    </row>
    <row r="22" spans="2:18" x14ac:dyDescent="0.2"/>
    <row r="23" spans="2:18" ht="12.75" x14ac:dyDescent="0.2">
      <c r="C23" s="4" t="s">
        <v>0</v>
      </c>
      <c r="E23" s="15" t="s">
        <v>1</v>
      </c>
    </row>
    <row r="24" spans="2:18" x14ac:dyDescent="0.2">
      <c r="E24" s="16"/>
    </row>
    <row r="25" spans="2:18" ht="12.75" x14ac:dyDescent="0.2">
      <c r="D25" s="12">
        <v>1</v>
      </c>
      <c r="E25" s="17" t="s">
        <v>2</v>
      </c>
    </row>
    <row r="26" spans="2:18" ht="12.75" x14ac:dyDescent="0.2">
      <c r="D26" s="12">
        <v>3</v>
      </c>
      <c r="E26" s="17" t="s">
        <v>3</v>
      </c>
    </row>
    <row r="27" spans="2:18" ht="12.75" x14ac:dyDescent="0.2">
      <c r="D27" s="12">
        <v>4</v>
      </c>
      <c r="E27" s="17" t="s">
        <v>33</v>
      </c>
    </row>
    <row r="28" spans="2:18" ht="12.75" x14ac:dyDescent="0.2">
      <c r="D28" s="12">
        <v>12</v>
      </c>
      <c r="E28" s="17" t="s">
        <v>4</v>
      </c>
    </row>
    <row r="29" spans="2:18" ht="12.75" x14ac:dyDescent="0.2">
      <c r="D29" s="12">
        <v>7</v>
      </c>
      <c r="E29" s="17" t="s">
        <v>13</v>
      </c>
    </row>
    <row r="30" spans="2:18" ht="12.75" x14ac:dyDescent="0.2">
      <c r="D30" s="12">
        <v>365</v>
      </c>
      <c r="E30" s="17" t="s">
        <v>46</v>
      </c>
    </row>
    <row r="31" spans="2:18" ht="12.75" x14ac:dyDescent="0.2">
      <c r="D31" s="12">
        <v>0.5</v>
      </c>
      <c r="E31" s="17" t="s">
        <v>8</v>
      </c>
    </row>
    <row r="32" spans="2:18" ht="12.75" x14ac:dyDescent="0.2">
      <c r="D32" s="12" t="s">
        <v>6</v>
      </c>
      <c r="E32" s="17" t="s">
        <v>6</v>
      </c>
    </row>
    <row r="33" spans="3:5" ht="12.75" x14ac:dyDescent="0.2">
      <c r="D33" s="12" t="s">
        <v>34</v>
      </c>
      <c r="E33" s="17" t="s">
        <v>35</v>
      </c>
    </row>
    <row r="34" spans="3:5" ht="12.75" x14ac:dyDescent="0.2">
      <c r="D34" s="12" t="s">
        <v>7</v>
      </c>
      <c r="E34" s="17" t="s">
        <v>7</v>
      </c>
    </row>
    <row r="35" spans="3:5" x14ac:dyDescent="0.2">
      <c r="E35" s="16"/>
    </row>
    <row r="36" spans="3:5" ht="12.75" x14ac:dyDescent="0.2">
      <c r="C36" s="4" t="s">
        <v>0</v>
      </c>
      <c r="E36" s="15" t="s">
        <v>1</v>
      </c>
    </row>
    <row r="37" spans="3:5" ht="12.75" x14ac:dyDescent="0.2">
      <c r="E37" s="17" t="s">
        <v>11</v>
      </c>
    </row>
    <row r="38" spans="3:5" ht="12.75" x14ac:dyDescent="0.2">
      <c r="D38" s="12" t="s">
        <v>9</v>
      </c>
      <c r="E38" s="17" t="s">
        <v>9</v>
      </c>
    </row>
    <row r="39" spans="3:5" ht="12.75" x14ac:dyDescent="0.2">
      <c r="D39" s="12" t="s">
        <v>10</v>
      </c>
      <c r="E39" s="17" t="s">
        <v>10</v>
      </c>
    </row>
    <row r="40" spans="3:5" x14ac:dyDescent="0.2">
      <c r="E40" s="16"/>
    </row>
    <row r="41" spans="3:5" ht="12.75" x14ac:dyDescent="0.2">
      <c r="C41" s="4" t="s">
        <v>70</v>
      </c>
      <c r="E41" s="15" t="s">
        <v>1</v>
      </c>
    </row>
    <row r="42" spans="3:5" ht="12.75" x14ac:dyDescent="0.2">
      <c r="E42" s="17" t="s">
        <v>78</v>
      </c>
    </row>
    <row r="43" spans="3:5" ht="12.75" x14ac:dyDescent="0.2">
      <c r="D43" s="12" t="s">
        <v>71</v>
      </c>
      <c r="E43" s="17" t="s">
        <v>71</v>
      </c>
    </row>
    <row r="44" spans="3:5" ht="12.75" x14ac:dyDescent="0.2">
      <c r="D44" s="12" t="s">
        <v>72</v>
      </c>
      <c r="E44" s="17" t="s">
        <v>72</v>
      </c>
    </row>
    <row r="45" spans="3:5" ht="12.75" x14ac:dyDescent="0.2">
      <c r="D45" s="12" t="s">
        <v>74</v>
      </c>
      <c r="E45" s="17" t="s">
        <v>76</v>
      </c>
    </row>
    <row r="46" spans="3:5" ht="12.75" x14ac:dyDescent="0.2">
      <c r="D46" s="12" t="s">
        <v>75</v>
      </c>
      <c r="E46" s="17" t="s">
        <v>77</v>
      </c>
    </row>
    <row r="47" spans="3:5" ht="12.75" x14ac:dyDescent="0.2">
      <c r="D47" s="12" t="s">
        <v>73</v>
      </c>
      <c r="E47" s="17" t="s">
        <v>73</v>
      </c>
    </row>
    <row r="48" spans="3:5" ht="12.75" x14ac:dyDescent="0.2">
      <c r="D48" s="12" t="s">
        <v>92</v>
      </c>
      <c r="E48" s="17" t="s">
        <v>92</v>
      </c>
    </row>
    <row r="49" spans="3:6" ht="12.75" x14ac:dyDescent="0.2">
      <c r="D49" s="12" t="s">
        <v>90</v>
      </c>
      <c r="E49" s="17" t="s">
        <v>141</v>
      </c>
    </row>
    <row r="50" spans="3:6" ht="12.75" x14ac:dyDescent="0.2">
      <c r="D50" s="12" t="s">
        <v>91</v>
      </c>
      <c r="E50" s="17" t="s">
        <v>142</v>
      </c>
    </row>
    <row r="51" spans="3:6" ht="12.75" x14ac:dyDescent="0.2">
      <c r="D51" s="12" t="s">
        <v>93</v>
      </c>
      <c r="E51" s="55" t="s">
        <v>94</v>
      </c>
    </row>
    <row r="52" spans="3:6" ht="12.75" x14ac:dyDescent="0.2">
      <c r="D52" s="12" t="str">
        <f>NA</f>
        <v>N/A</v>
      </c>
      <c r="E52" s="17" t="s">
        <v>89</v>
      </c>
    </row>
    <row r="53" spans="3:6" x14ac:dyDescent="0.2">
      <c r="E53" s="16"/>
    </row>
    <row r="54" spans="3:6" ht="12.75" x14ac:dyDescent="0.2">
      <c r="C54" s="4" t="s">
        <v>64</v>
      </c>
      <c r="E54" s="15" t="s">
        <v>1</v>
      </c>
    </row>
    <row r="55" spans="3:6" ht="12.75" x14ac:dyDescent="0.2">
      <c r="E55" s="17" t="s">
        <v>69</v>
      </c>
    </row>
    <row r="56" spans="3:6" ht="12.75" x14ac:dyDescent="0.2">
      <c r="D56" s="12" t="s">
        <v>66</v>
      </c>
      <c r="E56" s="17" t="s">
        <v>68</v>
      </c>
    </row>
    <row r="57" spans="3:6" ht="12.75" x14ac:dyDescent="0.2">
      <c r="D57" s="12" t="s">
        <v>98</v>
      </c>
      <c r="E57" s="17" t="s">
        <v>99</v>
      </c>
    </row>
    <row r="58" spans="3:6" ht="12.75" x14ac:dyDescent="0.2">
      <c r="D58" s="12" t="str">
        <f>NA</f>
        <v>N/A</v>
      </c>
      <c r="E58" s="17" t="s">
        <v>89</v>
      </c>
    </row>
    <row r="59" spans="3:6" ht="12.75" x14ac:dyDescent="0.2">
      <c r="D59" s="12" t="s">
        <v>67</v>
      </c>
      <c r="E59" s="17" t="s">
        <v>67</v>
      </c>
    </row>
    <row r="60" spans="3:6" x14ac:dyDescent="0.2">
      <c r="E60" s="16"/>
    </row>
    <row r="61" spans="3:6" ht="12.75" x14ac:dyDescent="0.2">
      <c r="C61" s="4" t="s">
        <v>65</v>
      </c>
      <c r="E61" s="15"/>
      <c r="F61" s="15" t="s">
        <v>1</v>
      </c>
    </row>
    <row r="62" spans="3:6" ht="12.75" x14ac:dyDescent="0.2">
      <c r="D62" s="17" t="s">
        <v>82</v>
      </c>
      <c r="E62" s="17" t="s">
        <v>83</v>
      </c>
    </row>
    <row r="63" spans="3:6" ht="12.75" x14ac:dyDescent="0.2">
      <c r="D63" s="12" t="s">
        <v>79</v>
      </c>
      <c r="E63" s="12">
        <v>0</v>
      </c>
      <c r="F63" s="17" t="s">
        <v>86</v>
      </c>
    </row>
    <row r="64" spans="3:6" ht="12.75" x14ac:dyDescent="0.2">
      <c r="D64" s="12" t="s">
        <v>80</v>
      </c>
      <c r="E64" s="12">
        <v>0.5</v>
      </c>
      <c r="F64" s="17" t="s">
        <v>85</v>
      </c>
    </row>
    <row r="65" spans="2:6" ht="12.75" x14ac:dyDescent="0.2">
      <c r="D65" s="12" t="s">
        <v>81</v>
      </c>
      <c r="E65" s="12">
        <v>1</v>
      </c>
      <c r="F65" s="17" t="s">
        <v>84</v>
      </c>
    </row>
    <row r="66" spans="2:6" ht="12.75" x14ac:dyDescent="0.2">
      <c r="D66" s="12" t="str">
        <f>NA</f>
        <v>N/A</v>
      </c>
      <c r="E66" s="12" t="str">
        <f>NA</f>
        <v>N/A</v>
      </c>
      <c r="F66" s="17"/>
    </row>
    <row r="67" spans="2:6" x14ac:dyDescent="0.2">
      <c r="E67" s="16"/>
    </row>
    <row r="68" spans="2:6" ht="12.75" x14ac:dyDescent="0.2">
      <c r="C68" s="4" t="s">
        <v>150</v>
      </c>
      <c r="E68" s="15" t="s">
        <v>1</v>
      </c>
    </row>
    <row r="69" spans="2:6" ht="12.75" x14ac:dyDescent="0.2">
      <c r="E69" s="17" t="s">
        <v>143</v>
      </c>
    </row>
    <row r="70" spans="2:6" ht="12.75" x14ac:dyDescent="0.2">
      <c r="D70" s="12" t="s">
        <v>59</v>
      </c>
    </row>
    <row r="71" spans="2:6" ht="12.75" x14ac:dyDescent="0.2">
      <c r="D71" s="12" t="s">
        <v>139</v>
      </c>
    </row>
    <row r="72" spans="2:6" x14ac:dyDescent="0.2"/>
    <row r="73" spans="2:6" s="2" customFormat="1" ht="15.75" x14ac:dyDescent="0.2">
      <c r="B73" s="2" t="s">
        <v>32</v>
      </c>
    </row>
  </sheetData>
  <conditionalFormatting sqref="B2">
    <cfRule type="cellIs" dxfId="2" priority="1" operator="notEqual">
      <formula>"No Errors Found"</formula>
    </cfRule>
  </conditionalFormatting>
  <hyperlinks>
    <hyperlink ref="B3:E3" location="TOC!A1" display="TOC!A1" xr:uid="{00000000-0004-0000-08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H25"/>
  <sheetViews>
    <sheetView showGridLines="0" zoomScaleNormal="100" workbookViewId="0">
      <pane xSplit="1" ySplit="4" topLeftCell="B5" activePane="bottomRight" state="frozen"/>
      <selection activeCell="E30" sqref="E30"/>
      <selection pane="topRight" activeCell="E30" sqref="E30"/>
      <selection pane="bottomLeft" activeCell="E30" sqref="E30"/>
      <selection pane="bottomRight"/>
    </sheetView>
  </sheetViews>
  <sheetFormatPr defaultRowHeight="11.25" zeroHeight="1" x14ac:dyDescent="0.2"/>
  <cols>
    <col min="1" max="3" width="2.83203125" customWidth="1"/>
    <col min="4" max="4" width="65" customWidth="1"/>
    <col min="5" max="7" width="3.83203125" customWidth="1"/>
  </cols>
  <sheetData>
    <row r="1" spans="2:8" ht="19.5" x14ac:dyDescent="0.2">
      <c r="B1" s="3" t="s">
        <v>15</v>
      </c>
    </row>
    <row r="2" spans="2:8" x14ac:dyDescent="0.2">
      <c r="B2" s="13" t="str">
        <f>Title_Msg</f>
        <v>No Errors Found</v>
      </c>
    </row>
    <row r="3" spans="2:8" x14ac:dyDescent="0.2">
      <c r="B3" s="44" t="str">
        <f>TOC!B1</f>
        <v>Table of Contents</v>
      </c>
      <c r="C3" s="39"/>
      <c r="D3" s="39"/>
      <c r="E3" s="39"/>
    </row>
    <row r="4" spans="2:8" ht="12.75" x14ac:dyDescent="0.2">
      <c r="B4" s="37" t="str">
        <f>Model_Name</f>
        <v>Rate of Return Model - Transgrid (TGD) - Accelerated Syncons</v>
      </c>
    </row>
    <row r="5" spans="2:8" x14ac:dyDescent="0.2">
      <c r="B5" s="13"/>
    </row>
    <row r="6" spans="2:8" s="2" customFormat="1" ht="15.75" x14ac:dyDescent="0.2">
      <c r="B6" s="2" t="s">
        <v>17</v>
      </c>
    </row>
    <row r="7" spans="2:8" x14ac:dyDescent="0.2"/>
    <row r="8" spans="2:8" ht="12.75" x14ac:dyDescent="0.2">
      <c r="D8" s="6" t="s">
        <v>16</v>
      </c>
      <c r="H8" s="7" t="str">
        <f>IF(H23=0,"No Errors Found","Errors Found")</f>
        <v>No Errors Found</v>
      </c>
    </row>
    <row r="9" spans="2:8" ht="12.75" x14ac:dyDescent="0.2">
      <c r="D9" s="6" t="s">
        <v>18</v>
      </c>
      <c r="H9" s="6"/>
    </row>
    <row r="10" spans="2:8" ht="12.75" x14ac:dyDescent="0.2">
      <c r="D10" s="6" t="s">
        <v>19</v>
      </c>
      <c r="H10" s="21" t="str">
        <f>H8&amp;IF(H9="","",", " &amp;H9)</f>
        <v>No Errors Found</v>
      </c>
    </row>
    <row r="11" spans="2:8" x14ac:dyDescent="0.2"/>
    <row r="12" spans="2:8" s="2" customFormat="1" ht="15.75" x14ac:dyDescent="0.2">
      <c r="B12" s="2" t="s">
        <v>31</v>
      </c>
    </row>
    <row r="13" spans="2:8" x14ac:dyDescent="0.2"/>
    <row r="14" spans="2:8" s="8" customFormat="1" ht="15" x14ac:dyDescent="0.2">
      <c r="C14" s="8" t="s">
        <v>12</v>
      </c>
    </row>
    <row r="15" spans="2:8" ht="4.1500000000000004" customHeight="1" x14ac:dyDescent="0.2">
      <c r="B15" s="18"/>
    </row>
    <row r="16" spans="2:8" x14ac:dyDescent="0.2"/>
    <row r="17" spans="2:8" ht="4.1500000000000004" customHeight="1" x14ac:dyDescent="0.2">
      <c r="B17" s="18"/>
    </row>
    <row r="18" spans="2:8" ht="12.75" x14ac:dyDescent="0.2">
      <c r="D18" s="6" t="str">
        <f>Input_CPI!$B$1</f>
        <v>CPI inputs</v>
      </c>
      <c r="H18" s="56">
        <f>Input_CPI!$A$1</f>
        <v>0</v>
      </c>
    </row>
    <row r="19" spans="2:8" ht="12.75" x14ac:dyDescent="0.2">
      <c r="D19" s="6" t="str">
        <f>Input_Data!$B$1</f>
        <v>Rate of return inputs</v>
      </c>
      <c r="H19" s="56">
        <f>Input_Data!$A$1</f>
        <v>0</v>
      </c>
    </row>
    <row r="20" spans="2:8" ht="12.75" x14ac:dyDescent="0.2">
      <c r="D20" s="6" t="str">
        <f>Calc_Returns!$B$1</f>
        <v>Rate of return calculations</v>
      </c>
      <c r="H20" s="56">
        <f>Calc_Returns!$A$1</f>
        <v>0</v>
      </c>
    </row>
    <row r="21" spans="2:8" ht="12.75" x14ac:dyDescent="0.2">
      <c r="D21" s="6" t="str">
        <f>Output_PTRM!$B$1</f>
        <v>Inputs to PTRM</v>
      </c>
      <c r="H21" s="56">
        <f>Output_PTRM!$A$1</f>
        <v>0</v>
      </c>
    </row>
    <row r="22" spans="2:8" x14ac:dyDescent="0.2"/>
    <row r="23" spans="2:8" ht="12.75" x14ac:dyDescent="0.2">
      <c r="C23" s="9" t="s">
        <v>47</v>
      </c>
      <c r="H23" s="20">
        <f>IF(SUM(H18:H21)=0,0,1)</f>
        <v>0</v>
      </c>
    </row>
    <row r="24" spans="2:8" x14ac:dyDescent="0.2"/>
    <row r="25" spans="2:8" s="2" customFormat="1" ht="15.75" x14ac:dyDescent="0.2">
      <c r="B25" s="2" t="s">
        <v>32</v>
      </c>
    </row>
  </sheetData>
  <conditionalFormatting sqref="B2 B5">
    <cfRule type="cellIs" dxfId="1" priority="21" operator="notEqual">
      <formula>"No Errors Found"</formula>
    </cfRule>
  </conditionalFormatting>
  <conditionalFormatting sqref="B15 B17">
    <cfRule type="cellIs" dxfId="0" priority="16" operator="notEqual">
      <formula>"No Errors Found"</formula>
    </cfRule>
  </conditionalFormatting>
  <hyperlinks>
    <hyperlink ref="B3:E3" location="TOC!A1" display="TOC!A1" xr:uid="{00000000-0004-0000-0900-000000000000}"/>
    <hyperlink ref="D21" location="Output_PTRM!A1" display="Output_PTRM!A1" xr:uid="{5C7156FA-A14A-4C62-A091-7A69B2220228}"/>
    <hyperlink ref="D20" location="Calc_Returns!A1" display="Calc_Returns!A1" xr:uid="{442A0FBD-8F10-43D3-9D30-E8E53172BC53}"/>
    <hyperlink ref="D19" location="Input_Data!A1" display="Input_Data!A1" xr:uid="{D24CF40C-2174-4B5C-A3DB-247013D1B5D2}"/>
    <hyperlink ref="D18" location="Input_CPI!A1" display="Input_CPI!A1" xr:uid="{462E3C9E-CD68-4162-AFE1-236F41CFDC32}"/>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ct:contentTypeSchema xmlns:ct="http://schemas.microsoft.com/office/2006/metadata/contentType" xmlns:ma="http://schemas.microsoft.com/office/2006/metadata/properties/metaAttributes" ct:_="" ma:_="" ma:contentTypeName="Document" ma:contentTypeID="0x010100F3CCAFAFE2D684429A1F05B8F0F33A34" ma:contentTypeVersion="19" ma:contentTypeDescription="Create a new document." ma:contentTypeScope="" ma:versionID="f6fa6d3a1dfa5c971139cf5e1d83edc2">
  <xsd:schema xmlns:xsd="http://www.w3.org/2001/XMLSchema" xmlns:xs="http://www.w3.org/2001/XMLSchema" xmlns:p="http://schemas.microsoft.com/office/2006/metadata/properties" xmlns:ns1="http://schemas.microsoft.com/sharepoint/v3" xmlns:ns2="9c621d74-b09f-4933-9a50-834196c9b127" xmlns:ns3="b3fe0a2b-b7b2-4b02-8c4b-ca2e40ad4806" targetNamespace="http://schemas.microsoft.com/office/2006/metadata/properties" ma:root="true" ma:fieldsID="4cb60c40240b6f2c7757b466877fb6e3" ns1:_="" ns2:_="" ns3:_="">
    <xsd:import namespace="http://schemas.microsoft.com/sharepoint/v3"/>
    <xsd:import namespace="9c621d74-b09f-4933-9a50-834196c9b127"/>
    <xsd:import namespace="b3fe0a2b-b7b2-4b02-8c4b-ca2e40ad48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CR" minOccurs="0"/>
                <xsd:element ref="ns2:Numbe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621d74-b09f-4933-9a50-834196c9b1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4158398-96c9-4633-9a72-0655c0871b9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Number" ma:index="24" nillable="true" ma:displayName="Number" ma:format="Dropdown" ma:internalName="Number" ma:percentage="FALSE">
      <xsd:simpleType>
        <xsd:restriction base="dms:Number"/>
      </xsd:simpleType>
    </xsd:element>
    <xsd:element name="MediaLengthInSeconds" ma:index="25" nillable="true" ma:displayName="MediaLengthInSeconds" ma:hidden="true" ma:internalName="MediaLengthInSeconds" ma:readOnly="true">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fe0a2b-b7b2-4b02-8c4b-ca2e40ad480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1c5582c-84d1-4991-9983-f089ea9c7d3c}" ma:internalName="TaxCatchAll" ma:showField="CatchAllData" ma:web="b3fe0a2b-b7b2-4b02-8c4b-ca2e40ad4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9c621d74-b09f-4933-9a50-834196c9b127">
      <Terms xmlns="http://schemas.microsoft.com/office/infopath/2007/PartnerControls"/>
    </lcf76f155ced4ddcb4097134ff3c332f>
    <TaxCatchAll xmlns="b3fe0a2b-b7b2-4b02-8c4b-ca2e40ad4806" xsi:nil="true"/>
    <_ip_UnifiedCompliancePolicyProperties xmlns="http://schemas.microsoft.com/sharepoint/v3" xsi:nil="true"/>
    <Number xmlns="9c621d74-b09f-4933-9a50-834196c9b127" xsi:nil="true"/>
  </documentManagement>
</p:properties>
</file>

<file path=customXml/itemProps1.xml><?xml version="1.0" encoding="utf-8"?>
<ds:datastoreItem xmlns:ds="http://schemas.openxmlformats.org/officeDocument/2006/customXml" ds:itemID="{95D09A08-6893-45D3-8277-59D54DC068B4}">
  <ds:schemaRefs>
    <ds:schemaRef ds:uri="http://schemas.microsoft.com/PowerBIAddIn"/>
  </ds:schemaRefs>
</ds:datastoreItem>
</file>

<file path=customXml/itemProps2.xml><?xml version="1.0" encoding="utf-8"?>
<ds:datastoreItem xmlns:ds="http://schemas.openxmlformats.org/officeDocument/2006/customXml" ds:itemID="{D5D40BC4-29C3-4833-8095-44AB4BF279E8}"/>
</file>

<file path=customXml/itemProps3.xml><?xml version="1.0" encoding="utf-8"?>
<ds:datastoreItem xmlns:ds="http://schemas.openxmlformats.org/officeDocument/2006/customXml" ds:itemID="{2B87BDA2-400D-47C1-95EA-6097D7D80F4B}"/>
</file>

<file path=customXml/itemProps4.xml><?xml version="1.0" encoding="utf-8"?>
<ds:datastoreItem xmlns:ds="http://schemas.openxmlformats.org/officeDocument/2006/customXml" ds:itemID="{51B9918C-3731-4E79-9521-62546A35DF49}"/>
</file>

<file path=docMetadata/LabelInfo.xml><?xml version="1.0" encoding="utf-8"?>
<clbl:labelList xmlns:clbl="http://schemas.microsoft.com/office/2020/mipLabelMetadata">
  <clbl:label id="{59ee855e-7930-433f-a581-82f192afe1cc}" enabled="0" method="" siteId="{59ee855e-7930-433f-a581-82f192afe1cc}"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8</vt:i4>
      </vt:variant>
      <vt:variant>
        <vt:lpstr>Named Ranges</vt:lpstr>
      </vt:variant>
      <vt:variant>
        <vt:i4>44</vt:i4>
      </vt:variant>
    </vt:vector>
  </HeadingPairs>
  <TitlesOfParts>
    <vt:vector size="52" baseType="lpstr">
      <vt:lpstr>Cover</vt:lpstr>
      <vt:lpstr>TOC</vt:lpstr>
      <vt:lpstr>Input_CPI</vt:lpstr>
      <vt:lpstr>Input_Data</vt:lpstr>
      <vt:lpstr>Calc_Returns</vt:lpstr>
      <vt:lpstr>Output_PTRM</vt:lpstr>
      <vt:lpstr>Lookup</vt:lpstr>
      <vt:lpstr>Checks</vt:lpstr>
      <vt:lpstr>Beta</vt:lpstr>
      <vt:lpstr>Days_In_Wk</vt:lpstr>
      <vt:lpstr>Days_In_Yr</vt:lpstr>
      <vt:lpstr>Dollars</vt:lpstr>
      <vt:lpstr>End_year</vt:lpstr>
      <vt:lpstr>Error</vt:lpstr>
      <vt:lpstr>Factor</vt:lpstr>
      <vt:lpstr>Gamma</vt:lpstr>
      <vt:lpstr>Half</vt:lpstr>
      <vt:lpstr>Inflation</vt:lpstr>
      <vt:lpstr>Kilometres</vt:lpstr>
      <vt:lpstr>Leverage</vt:lpstr>
      <vt:lpstr>LU_Basis</vt:lpstr>
      <vt:lpstr>LU_Source</vt:lpstr>
      <vt:lpstr>LU_Timing</vt:lpstr>
      <vt:lpstr>LU_Timing_Value</vt:lpstr>
      <vt:lpstr>LU_Units</vt:lpstr>
      <vt:lpstr>Mid_year</vt:lpstr>
      <vt:lpstr>Millions</vt:lpstr>
      <vt:lpstr>Model_Name</vt:lpstr>
      <vt:lpstr>Model_Start_Date</vt:lpstr>
      <vt:lpstr>MRP</vt:lpstr>
      <vt:lpstr>Mths_In_Mth</vt:lpstr>
      <vt:lpstr>Mths_In_Qtr</vt:lpstr>
      <vt:lpstr>Mths_In_Yr</vt:lpstr>
      <vt:lpstr>NA</vt:lpstr>
      <vt:lpstr>No</vt:lpstr>
      <vt:lpstr>Nominal</vt:lpstr>
      <vt:lpstr>Number</vt:lpstr>
      <vt:lpstr>Ok</vt:lpstr>
      <vt:lpstr>Percent</vt:lpstr>
      <vt:lpstr>Qtrs_In_Yr</vt:lpstr>
      <vt:lpstr>Real2018</vt:lpstr>
      <vt:lpstr>Real2019</vt:lpstr>
      <vt:lpstr>RFR</vt:lpstr>
      <vt:lpstr>ROD</vt:lpstr>
      <vt:lpstr>ROD_First</vt:lpstr>
      <vt:lpstr>ROE</vt:lpstr>
      <vt:lpstr>Start_year</vt:lpstr>
      <vt:lpstr>Thousands</vt:lpstr>
      <vt:lpstr>Title_Msg</vt:lpstr>
      <vt:lpstr>Weight_New_Debt</vt:lpstr>
      <vt:lpstr>Yes</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2026-04-08T04:37:27Z</dcterms:created>
  <dcterms:modified xsi:type="dcterms:W3CDTF">2026-04-08T04:37:58Z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0x010100F3CCAFAFE2D684429A1F05B8F0F33A34</vt:lpwstr>
  </property>
</Properties>
</file>