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ccgovau-my.sharepoint.com/personal/matthew_zhang_aer_gov_au/Documents/Documents/Gas/Resets/SA Gas (AGIG)/Final/Models/"/>
    </mc:Choice>
  </mc:AlternateContent>
  <xr:revisionPtr revIDLastSave="51" documentId="13_ncr:1_{29C5AF15-8483-43EA-B8AA-E46615DF7574}" xr6:coauthVersionLast="47" xr6:coauthVersionMax="47" xr10:uidLastSave="{74F77593-34C0-4625-9654-F4D3B280C0E1}"/>
  <bookViews>
    <workbookView xWindow="28680" yWindow="-120" windowWidth="29040" windowHeight="15720" tabRatio="691" activeTab="2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Input | Reported Performance" sheetId="16" r:id="rId5"/>
    <sheet name="Input | Performance Targets" sheetId="17" state="hidden" r:id="rId6"/>
    <sheet name="Input | Asset Performance Index" sheetId="15" r:id="rId7"/>
    <sheet name="Calc | CESS Revenue Increments" sheetId="4" r:id="rId8"/>
    <sheet name="Output | Models" sheetId="10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8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4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4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RCP_y1">#REF!</definedName>
    <definedName name="CRCP_y4">#REF!</definedName>
    <definedName name="CRCP_y5">#REF!</definedName>
    <definedName name="CRY">#REF!</definedName>
    <definedName name="dms_060301_checkvalue">#REF!</definedName>
    <definedName name="dms_060301_LastRow">#REF!</definedName>
    <definedName name="dms_060701_ARR_MaxRows">#REF!</definedName>
    <definedName name="dms_060701_Reset_MaxRows">#REF!</definedName>
    <definedName name="dms_060701_StartDateTxt">#REF!</definedName>
    <definedName name="dms_0608_LastRow">#REF!</definedName>
    <definedName name="dms_0608_OffsetRows">#REF!</definedName>
    <definedName name="dms_663_List">#REF!</definedName>
    <definedName name="dms_ABN_List">#REF!</definedName>
    <definedName name="dms_Calendar_Years">#REF!</definedName>
    <definedName name="dms_CBD_flag">#REF!</definedName>
    <definedName name="dms_CFinalYear_List">#REF!</definedName>
    <definedName name="dms_CRCP_FinalYear_Result">#REF!</definedName>
    <definedName name="dms_CRCP_FirstYear_Result">#REF!</definedName>
    <definedName name="dms_CRCP_index">#REF!</definedName>
    <definedName name="dms_CRCP_years">#REF!</definedName>
    <definedName name="dms_CRCP_yZ">#REF!</definedName>
    <definedName name="dms_CRCPlength_List">#REF!</definedName>
    <definedName name="dms_CRCPlength_Num">#REF!</definedName>
    <definedName name="dms_CRCPlength_Num_List">#REF!</definedName>
    <definedName name="dms_DataQuality">#REF!</definedName>
    <definedName name="dms_DataQuality_List">#REF!</definedName>
    <definedName name="dms_DeterminationRef_List">#REF!</definedName>
    <definedName name="dms_DollarReal">#REF!</definedName>
    <definedName name="dms_FeederType_5_flag">#REF!</definedName>
    <definedName name="dms_FifthFeeder_flag_NSP">#REF!</definedName>
    <definedName name="dms_FinalYear_List">#REF!</definedName>
    <definedName name="dms_Financial_Years">#REF!</definedName>
    <definedName name="dms_FormControl_List">#REF!</definedName>
    <definedName name="dms_FRCP_y10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length_List">#REF!</definedName>
    <definedName name="dms_FRCPlength_Num">#REF!</definedName>
    <definedName name="dms_FRCPlength_Num_List">#REF!</definedName>
    <definedName name="dms_JurisdictionList">#REF!</definedName>
    <definedName name="dms_LeapYear_Result">#REF!</definedName>
    <definedName name="dms_LongRural_flag">#REF!</definedName>
    <definedName name="dms_Model">#REF!</definedName>
    <definedName name="dms_Model_List">#REF!</definedName>
    <definedName name="dms_MultiYear_FinalYear_Ref">#REF!</definedName>
    <definedName name="dms_MultiYear_FinalYear_Result">#REF!</definedName>
    <definedName name="dms_MultiYear_Flag">#REF!</definedName>
    <definedName name="dms_MultiYear_ResponseFlag">#REF!</definedName>
    <definedName name="dms_PRCPlength_Num">#REF!</definedName>
    <definedName name="dms_Public_Lighting_List">#REF!</definedName>
    <definedName name="dms_RPT">#REF!</definedName>
    <definedName name="dms_RPT_List">#REF!</definedName>
    <definedName name="dms_RPTMonth">#REF!</definedName>
    <definedName name="dms_RPTMonth_List">#REF!</definedName>
    <definedName name="dms_RYE_Formula_Result">#REF!</definedName>
    <definedName name="dms_Sector_List">#REF!</definedName>
    <definedName name="dms_Segment_List">#REF!</definedName>
    <definedName name="dms_ShortRural_flag">#REF!</definedName>
    <definedName name="dms_SingleYear_FinalYear_Ref">#REF!</definedName>
    <definedName name="dms_SingleYear_FinalYear_Result">#REF!</definedName>
    <definedName name="dms_SingleYear_Model">#REF!</definedName>
    <definedName name="dms_SourceList">#REF!</definedName>
    <definedName name="dms_Specified_FinalYear">#REF!</definedName>
    <definedName name="dms_TradingName">#REF!</definedName>
    <definedName name="dms_TradingName_List">#REF!</definedName>
    <definedName name="dms_TradingNameFull_List">#REF!</definedName>
    <definedName name="dms_Urban_flag">#REF!</definedName>
    <definedName name="dms_Worksheet_List">#REF!</definedName>
    <definedName name="dollars">#REF!</definedName>
    <definedName name="factor">#REF!</definedName>
    <definedName name="FRCP_y1">#REF!</definedName>
    <definedName name="FRCP_y2">#REF!</definedName>
    <definedName name="FRCP_y3">#REF!</definedName>
    <definedName name="FRCP_y4">#REF!</definedName>
    <definedName name="FRCP_y5">#REF!</definedName>
    <definedName name="FRY">#REF!</definedName>
    <definedName name="millions">#REF!</definedName>
    <definedName name="Nominal_to_Real">#REF!</definedName>
    <definedName name="NSP" localSheetId="5">#REF!</definedName>
    <definedName name="NSP">#REF!</definedName>
    <definedName name="number">#REF!</definedName>
    <definedName name="Pal_Workbook_GUID" hidden="1">"Q76E716EMQYMTDP8KAQDF63S"</definedName>
    <definedName name="percent" localSheetId="8">#REF!</definedName>
    <definedName name="percent">#REF!</definedName>
    <definedName name="PRCP_y2">#REF!</definedName>
    <definedName name="PRCP_y3">#REF!</definedName>
    <definedName name="PRCP_y4">#REF!</definedName>
    <definedName name="PRCP_y5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400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housands">#REF!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3" l="1"/>
  <c r="N22" i="13"/>
  <c r="O22" i="13"/>
  <c r="P22" i="13"/>
  <c r="L22" i="13"/>
  <c r="J22" i="13"/>
  <c r="I22" i="13"/>
  <c r="H22" i="13"/>
  <c r="G22" i="13"/>
  <c r="K22" i="13"/>
  <c r="G12" i="16" l="1"/>
  <c r="G54" i="16" s="1"/>
  <c r="G57" i="16"/>
  <c r="G56" i="16"/>
  <c r="G53" i="16"/>
  <c r="G23" i="16"/>
  <c r="G55" i="16" s="1"/>
  <c r="H13" i="3" l="1"/>
  <c r="J24" i="3" l="1"/>
  <c r="D10" i="4" l="1"/>
  <c r="G13" i="13" l="1"/>
  <c r="H13" i="13" l="1"/>
  <c r="I13" i="13"/>
  <c r="J13" i="13"/>
  <c r="D18" i="4" l="1"/>
  <c r="G15" i="13"/>
  <c r="H15" i="13" l="1"/>
  <c r="I15" i="13" l="1"/>
  <c r="H23" i="16" l="1"/>
  <c r="H55" i="16" s="1"/>
  <c r="H24" i="3" l="1"/>
  <c r="E15" i="15" l="1"/>
  <c r="E16" i="15"/>
  <c r="L47" i="17"/>
  <c r="K47" i="17"/>
  <c r="J47" i="17"/>
  <c r="I47" i="17"/>
  <c r="H47" i="17"/>
  <c r="E47" i="17"/>
  <c r="L46" i="17"/>
  <c r="K46" i="17"/>
  <c r="J46" i="17"/>
  <c r="I46" i="17"/>
  <c r="H46" i="17"/>
  <c r="N46" i="17" s="1"/>
  <c r="E46" i="17"/>
  <c r="L45" i="17"/>
  <c r="K45" i="17"/>
  <c r="J45" i="17"/>
  <c r="I45" i="17"/>
  <c r="H45" i="17"/>
  <c r="N45" i="17" s="1"/>
  <c r="L44" i="17"/>
  <c r="K44" i="17"/>
  <c r="J44" i="17"/>
  <c r="I44" i="17"/>
  <c r="H44" i="17"/>
  <c r="N44" i="17" s="1"/>
  <c r="E44" i="17"/>
  <c r="L43" i="17"/>
  <c r="K43" i="17"/>
  <c r="J43" i="17"/>
  <c r="I43" i="17"/>
  <c r="H43" i="17"/>
  <c r="N43" i="17" s="1"/>
  <c r="E43" i="17"/>
  <c r="L41" i="17"/>
  <c r="K41" i="17"/>
  <c r="J41" i="17"/>
  <c r="I41" i="17"/>
  <c r="H41" i="17"/>
  <c r="L27" i="17"/>
  <c r="K27" i="17"/>
  <c r="J27" i="17"/>
  <c r="I27" i="17"/>
  <c r="H27" i="17"/>
  <c r="C15" i="17"/>
  <c r="N47" i="17" l="1"/>
  <c r="I20" i="16" l="1"/>
  <c r="J20" i="16"/>
  <c r="K20" i="16" l="1"/>
  <c r="I9" i="16" l="1"/>
  <c r="H12" i="16"/>
  <c r="H54" i="16" l="1"/>
  <c r="H56" i="16"/>
  <c r="H57" i="16"/>
  <c r="H53" i="16"/>
  <c r="L6" i="16" l="1"/>
  <c r="D47" i="16" l="1"/>
  <c r="D46" i="16"/>
  <c r="D45" i="16"/>
  <c r="D41" i="16"/>
  <c r="L51" i="16"/>
  <c r="D30" i="3"/>
  <c r="D10" i="13"/>
  <c r="D9" i="13"/>
  <c r="D8" i="13"/>
  <c r="H13" i="2"/>
  <c r="H7" i="4" s="1"/>
  <c r="I12" i="16"/>
  <c r="J12" i="16"/>
  <c r="K12" i="16"/>
  <c r="I23" i="16"/>
  <c r="I55" i="16" s="1"/>
  <c r="J23" i="16"/>
  <c r="J55" i="16" s="1"/>
  <c r="C15" i="16"/>
  <c r="D37" i="16"/>
  <c r="D36" i="16"/>
  <c r="D35" i="16"/>
  <c r="D31" i="16"/>
  <c r="D30" i="16"/>
  <c r="D21" i="16"/>
  <c r="D20" i="16"/>
  <c r="D10" i="16"/>
  <c r="D9" i="16"/>
  <c r="B1" i="2"/>
  <c r="B1" i="3" s="1"/>
  <c r="B1" i="15"/>
  <c r="D19" i="2"/>
  <c r="L7" i="13" s="1"/>
  <c r="D8" i="4"/>
  <c r="D9" i="4"/>
  <c r="D11" i="4" s="1"/>
  <c r="E9" i="4"/>
  <c r="F9" i="4"/>
  <c r="F11" i="4" s="1"/>
  <c r="G9" i="4"/>
  <c r="H9" i="4"/>
  <c r="H8" i="4"/>
  <c r="G8" i="4"/>
  <c r="F8" i="4"/>
  <c r="E8" i="4"/>
  <c r="D12" i="4" l="1"/>
  <c r="G19" i="4"/>
  <c r="F19" i="4" s="1"/>
  <c r="E19" i="4" s="1"/>
  <c r="D19" i="4" s="1"/>
  <c r="D21" i="4" s="1"/>
  <c r="K56" i="16"/>
  <c r="K53" i="16"/>
  <c r="I57" i="16"/>
  <c r="I56" i="16"/>
  <c r="J57" i="16"/>
  <c r="J56" i="16"/>
  <c r="L54" i="16"/>
  <c r="L56" i="16"/>
  <c r="H28" i="3"/>
  <c r="D40" i="4"/>
  <c r="J6" i="10" s="1"/>
  <c r="F8" i="10" s="1"/>
  <c r="C42" i="4" s="1"/>
  <c r="B1" i="4"/>
  <c r="B1" i="5"/>
  <c r="G13" i="2"/>
  <c r="K6" i="16" s="1"/>
  <c r="B1" i="10"/>
  <c r="B1" i="16"/>
  <c r="L55" i="16"/>
  <c r="L53" i="16"/>
  <c r="L57" i="16"/>
  <c r="L27" i="16"/>
  <c r="L6" i="3"/>
  <c r="L13" i="3" s="1"/>
  <c r="K7" i="13"/>
  <c r="K19" i="13" s="1"/>
  <c r="L19" i="13"/>
  <c r="E19" i="2"/>
  <c r="D24" i="4"/>
  <c r="B1" i="13"/>
  <c r="N56" i="16" l="1"/>
  <c r="O56" i="16"/>
  <c r="K13" i="15" s="1"/>
  <c r="H13" i="4"/>
  <c r="F13" i="4"/>
  <c r="G13" i="4"/>
  <c r="E13" i="4"/>
  <c r="D20" i="4"/>
  <c r="C46" i="4"/>
  <c r="C44" i="4"/>
  <c r="J7" i="13"/>
  <c r="J19" i="13" s="1"/>
  <c r="K6" i="3"/>
  <c r="K13" i="3" s="1"/>
  <c r="L17" i="3"/>
  <c r="F13" i="2"/>
  <c r="J6" i="16" s="1"/>
  <c r="G7" i="4"/>
  <c r="E24" i="4"/>
  <c r="I28" i="3"/>
  <c r="F19" i="2"/>
  <c r="M7" i="13"/>
  <c r="E40" i="4"/>
  <c r="K6" i="10" s="1"/>
  <c r="K17" i="3" l="1"/>
  <c r="E13" i="2"/>
  <c r="I6" i="16" s="1"/>
  <c r="F7" i="4"/>
  <c r="J6" i="3"/>
  <c r="J13" i="3" s="1"/>
  <c r="F10" i="4" s="1"/>
  <c r="F12" i="4" s="1"/>
  <c r="I7" i="13"/>
  <c r="I19" i="13" s="1"/>
  <c r="K27" i="16"/>
  <c r="K51" i="16"/>
  <c r="M19" i="13"/>
  <c r="N7" i="13"/>
  <c r="F40" i="4"/>
  <c r="L6" i="10" s="1"/>
  <c r="J28" i="3"/>
  <c r="G19" i="2"/>
  <c r="F24" i="4"/>
  <c r="K54" i="16" l="1"/>
  <c r="K57" i="16"/>
  <c r="J17" i="3"/>
  <c r="J27" i="16"/>
  <c r="J51" i="16"/>
  <c r="D13" i="2"/>
  <c r="H6" i="16" s="1"/>
  <c r="H7" i="13"/>
  <c r="H19" i="13" s="1"/>
  <c r="I6" i="3"/>
  <c r="I13" i="3" s="1"/>
  <c r="E10" i="4" s="1"/>
  <c r="E7" i="4"/>
  <c r="N19" i="13"/>
  <c r="G40" i="4"/>
  <c r="M6" i="10" s="1"/>
  <c r="H19" i="2"/>
  <c r="G24" i="4"/>
  <c r="O7" i="13"/>
  <c r="K28" i="3"/>
  <c r="N57" i="16" l="1"/>
  <c r="O57" i="16"/>
  <c r="K14" i="15" s="1"/>
  <c r="I27" i="16"/>
  <c r="I51" i="16"/>
  <c r="G7" i="13"/>
  <c r="H6" i="3"/>
  <c r="D7" i="4"/>
  <c r="I17" i="3"/>
  <c r="J53" i="16"/>
  <c r="J54" i="16"/>
  <c r="O19" i="13"/>
  <c r="P7" i="13"/>
  <c r="H40" i="4"/>
  <c r="N6" i="10" s="1"/>
  <c r="L28" i="3"/>
  <c r="H24" i="4"/>
  <c r="F20" i="4" l="1"/>
  <c r="H15" i="4"/>
  <c r="G15" i="4"/>
  <c r="I24" i="3"/>
  <c r="H17" i="3"/>
  <c r="G19" i="13"/>
  <c r="G10" i="13"/>
  <c r="H10" i="13" s="1"/>
  <c r="I10" i="13" s="1"/>
  <c r="J10" i="13" s="1"/>
  <c r="K10" i="13" s="1"/>
  <c r="F7" i="13"/>
  <c r="F11" i="3" s="1"/>
  <c r="H51" i="16"/>
  <c r="F13" i="15" s="1"/>
  <c r="H27" i="16"/>
  <c r="I54" i="16"/>
  <c r="I53" i="16"/>
  <c r="P19" i="13"/>
  <c r="N53" i="16" l="1"/>
  <c r="O53" i="16"/>
  <c r="K10" i="15" s="1"/>
  <c r="N54" i="16"/>
  <c r="O54" i="16"/>
  <c r="K11" i="15" s="1"/>
  <c r="E11" i="4"/>
  <c r="F31" i="3"/>
  <c r="F10" i="3"/>
  <c r="F9" i="3"/>
  <c r="F8" i="3"/>
  <c r="F13" i="3"/>
  <c r="C10" i="13"/>
  <c r="C15" i="13"/>
  <c r="E12" i="4" l="1"/>
  <c r="H14" i="4" s="1"/>
  <c r="E20" i="4"/>
  <c r="G14" i="4"/>
  <c r="E18" i="4"/>
  <c r="E21" i="4" s="1"/>
  <c r="F11" i="15"/>
  <c r="G11" i="15" s="1"/>
  <c r="I11" i="15" s="1"/>
  <c r="F10" i="15"/>
  <c r="G10" i="15" s="1"/>
  <c r="I10" i="15" s="1"/>
  <c r="F14" i="15"/>
  <c r="G14" i="15" s="1"/>
  <c r="I14" i="15" s="1"/>
  <c r="G13" i="15"/>
  <c r="I13" i="15" s="1"/>
  <c r="J15" i="13"/>
  <c r="G10" i="4" s="1"/>
  <c r="F14" i="4" l="1"/>
  <c r="G18" i="4"/>
  <c r="G21" i="4" s="1"/>
  <c r="F18" i="4"/>
  <c r="F21" i="4" s="1"/>
  <c r="K15" i="13"/>
  <c r="H10" i="4" s="1"/>
  <c r="K24" i="3" l="1"/>
  <c r="G11" i="4" l="1"/>
  <c r="G12" i="4" s="1"/>
  <c r="H16" i="4" s="1"/>
  <c r="H18" i="4" s="1"/>
  <c r="H21" i="4" s="1"/>
  <c r="D35" i="4" s="1"/>
  <c r="G20" i="4" l="1"/>
  <c r="K23" i="16"/>
  <c r="K55" i="16" s="1"/>
  <c r="N55" i="16" l="1"/>
  <c r="F12" i="15" s="1"/>
  <c r="G12" i="15" s="1"/>
  <c r="I12" i="15" s="1"/>
  <c r="I17" i="15" s="1"/>
  <c r="O55" i="16"/>
  <c r="K12" i="15" s="1"/>
  <c r="F19" i="15" l="1"/>
  <c r="H19" i="15"/>
  <c r="L24" i="3" l="1"/>
  <c r="H11" i="4" l="1"/>
  <c r="H12" i="4" l="1"/>
  <c r="H20" i="4" l="1"/>
  <c r="M9" i="13" l="1"/>
  <c r="N9" i="13" s="1"/>
  <c r="H31" i="3"/>
  <c r="L10" i="13"/>
  <c r="D41" i="4"/>
  <c r="E25" i="4"/>
  <c r="H32" i="3" l="1"/>
  <c r="D26" i="4" s="1"/>
  <c r="D25" i="4"/>
  <c r="D27" i="4" s="1"/>
  <c r="M14" i="13"/>
  <c r="N14" i="13" s="1"/>
  <c r="O14" i="13" s="1"/>
  <c r="P14" i="13" s="1"/>
  <c r="L15" i="13"/>
  <c r="E41" i="4"/>
  <c r="F41" i="4" s="1"/>
  <c r="G41" i="4" s="1"/>
  <c r="H41" i="4" s="1"/>
  <c r="I31" i="3"/>
  <c r="M10" i="13"/>
  <c r="O9" i="13"/>
  <c r="F25" i="4"/>
  <c r="F27" i="4" s="1"/>
  <c r="M15" i="13" l="1"/>
  <c r="N15" i="13" s="1"/>
  <c r="O15" i="13" s="1"/>
  <c r="P15" i="13" s="1"/>
  <c r="I32" i="3"/>
  <c r="E26" i="4" s="1"/>
  <c r="D28" i="4"/>
  <c r="P9" i="13"/>
  <c r="H25" i="4" s="1"/>
  <c r="G25" i="4"/>
  <c r="G27" i="4" s="1"/>
  <c r="N10" i="13"/>
  <c r="J31" i="3"/>
  <c r="E27" i="4"/>
  <c r="J32" i="3" l="1"/>
  <c r="F26" i="4" s="1"/>
  <c r="F28" i="4" s="1"/>
  <c r="E28" i="4"/>
  <c r="K31" i="3"/>
  <c r="K32" i="3" s="1"/>
  <c r="G26" i="4" s="1"/>
  <c r="G28" i="4" s="1"/>
  <c r="O10" i="13"/>
  <c r="H27" i="4"/>
  <c r="L31" i="3" l="1"/>
  <c r="L32" i="3" s="1"/>
  <c r="H26" i="4" s="1"/>
  <c r="H28" i="4" s="1"/>
  <c r="D31" i="4" s="1"/>
  <c r="P10" i="13"/>
  <c r="D33" i="4" l="1"/>
  <c r="D34" i="4"/>
  <c r="H43" i="4" l="1"/>
  <c r="E43" i="4"/>
  <c r="D43" i="4"/>
  <c r="G43" i="4"/>
  <c r="F43" i="4"/>
  <c r="D36" i="4"/>
  <c r="D42" i="4" s="1"/>
  <c r="D44" i="4" l="1"/>
  <c r="E42" i="4"/>
  <c r="F42" i="4" l="1"/>
  <c r="E44" i="4"/>
  <c r="K8" i="10" s="1"/>
  <c r="J8" i="10"/>
  <c r="G42" i="4" l="1"/>
  <c r="F44" i="4"/>
  <c r="L8" i="10" s="1"/>
  <c r="H42" i="4" l="1"/>
  <c r="H44" i="4" s="1"/>
  <c r="N8" i="10" s="1"/>
  <c r="G44" i="4"/>
  <c r="M8" i="10" l="1"/>
  <c r="O8" i="10" s="1"/>
  <c r="D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RG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$2017
, end of year terms (Dec)</t>
        </r>
      </text>
    </comment>
    <comment ref="C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
</t>
        </r>
      </text>
    </comment>
    <comment ref="C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 (June)</t>
        </r>
      </text>
    </comment>
    <comment ref="C19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</t>
        </r>
      </text>
    </comment>
    <comment ref="C30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</t>
        </r>
      </text>
    </comment>
    <comment ref="C3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end of year terms June </t>
        </r>
      </text>
    </comment>
    <comment ref="C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  <comment ref="C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<sst xmlns="http://schemas.openxmlformats.org/spreadsheetml/2006/main" count="442" uniqueCount="181">
  <si>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</si>
  <si>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</si>
  <si>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</si>
  <si>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</si>
  <si>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</si>
  <si>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</si>
  <si>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</si>
  <si>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</si>
  <si>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</si>
  <si>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</si>
  <si>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r>
      <t xml:space="preserve">Input </t>
    </r>
    <r>
      <rPr>
        <u/>
        <sz val="9"/>
        <color theme="10"/>
        <rFont val="Calibri"/>
        <family val="2"/>
        <scheme val="minor"/>
      </rPr>
      <t>|</t>
    </r>
    <r>
      <rPr>
        <i/>
        <u/>
        <sz val="9"/>
        <color theme="10"/>
        <rFont val="Calibri"/>
        <family val="2"/>
        <scheme val="minor"/>
      </rPr>
      <t>Reported Performance</t>
    </r>
  </si>
  <si>
    <t>Inputs the actual performance components</t>
  </si>
  <si>
    <t>Input | Asset performance index</t>
  </si>
  <si>
    <t>Calculates the contingent payment factor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</si>
  <si>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</si>
  <si>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</si>
  <si>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</si>
  <si>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</si>
  <si>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</si>
  <si>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</si>
  <si>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</si>
  <si>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</si>
  <si>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NSP Name</t>
  </si>
  <si>
    <t>AGN(SA)</t>
  </si>
  <si>
    <t>Determination stage</t>
  </si>
  <si>
    <t>Determination years</t>
  </si>
  <si>
    <t>2026-31</t>
  </si>
  <si>
    <t>Base regulatory year</t>
  </si>
  <si>
    <t>2026-27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</si>
  <si>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</si>
  <si>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</si>
  <si>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</si>
  <si>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</si>
  <si>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</si>
  <si>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</si>
  <si>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</si>
  <si>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</si>
  <si>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</si>
  <si>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</si>
  <si>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</si>
  <si>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</si>
  <si>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Contingent Payment Index apply to this year's performance (Yes/No)</t>
  </si>
  <si>
    <t>No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</si>
  <si>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</si>
  <si>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</si>
  <si>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</si>
  <si>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</si>
  <si>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</si>
  <si>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</si>
  <si>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</si>
  <si>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</si>
  <si>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</si>
  <si>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</si>
  <si>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</si>
  <si>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</si>
  <si>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</si>
  <si>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</si>
  <si>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</si>
  <si>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</si>
  <si>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</si>
  <si>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</si>
  <si>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</si>
  <si>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</si>
  <si>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</si>
  <si>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Other excludable capex</t>
  </si>
  <si>
    <t>Total capex allowance applicable to CESS</t>
  </si>
  <si>
    <t>Input | Actual / Estimate Capex</t>
  </si>
  <si>
    <t>Total capex</t>
  </si>
  <si>
    <t>nominal</t>
  </si>
  <si>
    <t>Total actual capex applicable to CESS</t>
  </si>
  <si>
    <t>Input | Capex Deferred to following regulatory period</t>
  </si>
  <si>
    <t>Capex deferred and re-proposed</t>
  </si>
  <si>
    <t>Input | Reported Performance</t>
  </si>
  <si>
    <t>Input | Actual / Estimated Network Characteristics</t>
  </si>
  <si>
    <t>2020-21</t>
  </si>
  <si>
    <t>Customer numbers</t>
  </si>
  <si>
    <t>Start of year</t>
  </si>
  <si>
    <t>number of customers</t>
  </si>
  <si>
    <t>N/A</t>
  </si>
  <si>
    <t>End of year</t>
  </si>
  <si>
    <t>Average customer numbers</t>
  </si>
  <si>
    <t>Conversion factor</t>
  </si>
  <si>
    <t>Length of mains</t>
  </si>
  <si>
    <t xml:space="preserve">km of main </t>
  </si>
  <si>
    <t>km of main</t>
  </si>
  <si>
    <t>Average length of mains</t>
  </si>
  <si>
    <t>Input | Actual / Estimated Asset Performance</t>
  </si>
  <si>
    <t>Unplanned outages</t>
  </si>
  <si>
    <t>Total number of unplanned outages</t>
  </si>
  <si>
    <t>number of outages</t>
  </si>
  <si>
    <t>Total number of unplanned minutes off supply</t>
  </si>
  <si>
    <t>minutes</t>
  </si>
  <si>
    <t>Publicly reported gas leaks</t>
  </si>
  <si>
    <t>Mains</t>
  </si>
  <si>
    <t>number</t>
  </si>
  <si>
    <t>Services</t>
  </si>
  <si>
    <t>Meters</t>
  </si>
  <si>
    <t>Poor pressure events</t>
  </si>
  <si>
    <t>Meter reads</t>
  </si>
  <si>
    <t>All meter reads</t>
  </si>
  <si>
    <t>Estimated meter reads</t>
  </si>
  <si>
    <t>Excluded meter reads</t>
  </si>
  <si>
    <t>Input | Actual / Estimate Performance Measures</t>
  </si>
  <si>
    <t>Average current AA</t>
  </si>
  <si>
    <t>API target for AA 2031-36</t>
  </si>
  <si>
    <t>Unplanned SAIFI</t>
  </si>
  <si>
    <t>outages per 1000 customers</t>
  </si>
  <si>
    <t>Unplanned SAIDI</t>
  </si>
  <si>
    <t>minutes per 1000 customers</t>
  </si>
  <si>
    <t>Mains leaks</t>
  </si>
  <si>
    <t>leaks per km of main</t>
  </si>
  <si>
    <t>Services leaks</t>
  </si>
  <si>
    <t>events per 1000 customers</t>
  </si>
  <si>
    <t>Meter leaks</t>
  </si>
  <si>
    <t>Poor quality supply</t>
  </si>
  <si>
    <t>leaks per 1000 customers</t>
  </si>
  <si>
    <t>Meter read estimation rate</t>
  </si>
  <si>
    <t>% of reads estimated</t>
  </si>
  <si>
    <t>AGN SA 2021/22-2025/26 Indicative - Capital expenditure sharing scheme model</t>
  </si>
  <si>
    <t>Input | Performance Targets</t>
  </si>
  <si>
    <t>Input | Actual Network Characteristics</t>
  </si>
  <si>
    <t>2014/15</t>
  </si>
  <si>
    <t>2015/16</t>
  </si>
  <si>
    <t>2016/17</t>
  </si>
  <si>
    <t>2017/18</t>
  </si>
  <si>
    <t>2018/19</t>
  </si>
  <si>
    <t>AGN SA</t>
  </si>
  <si>
    <t>NA</t>
  </si>
  <si>
    <t>Input | Actual Asset Performance</t>
  </si>
  <si>
    <t>Average</t>
  </si>
  <si>
    <t>Service leaks</t>
  </si>
  <si>
    <t>Input | Asset Performance Index</t>
  </si>
  <si>
    <t>Performance index</t>
  </si>
  <si>
    <t>Target</t>
  </si>
  <si>
    <t>Index score</t>
  </si>
  <si>
    <t>Weight</t>
  </si>
  <si>
    <t>Weighted index score</t>
  </si>
  <si>
    <t>Asset performance index</t>
  </si>
  <si>
    <t>API&gt;100</t>
  </si>
  <si>
    <t>80&lt;API&lt;100</t>
  </si>
  <si>
    <t>API&lt;80</t>
  </si>
  <si>
    <t>Contingent payment factor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</si>
  <si>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</si>
  <si>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</si>
  <si>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</si>
  <si>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</si>
  <si>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</si>
  <si>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</si>
  <si>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</si>
  <si>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</si>
  <si>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</si>
  <si>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</si>
  <si>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</si>
  <si>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</si>
  <si>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</si>
  <si>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</si>
  <si>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</si>
  <si>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</si>
  <si>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 (30 June 2025)</t>
  </si>
  <si>
    <t>NPV financing benefit (30 June 2025)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</si>
  <si>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</si>
  <si>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</si>
  <si>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</si>
  <si>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</si>
  <si>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 (30 June 2025)</t>
  </si>
  <si>
    <t>CESS calculation (post-adjustment)</t>
  </si>
  <si>
    <t>Total underspend (NPV) adjusted for deferrals</t>
  </si>
  <si>
    <t>Relevant sharing ratio for overspend or underspend</t>
  </si>
  <si>
    <t>Consumer share</t>
  </si>
  <si>
    <t>NSP share</t>
  </si>
  <si>
    <t>Total NSP financing benefit (NPV)</t>
  </si>
  <si>
    <t>NPV of CESS payments (post-adjustment) as at 30 June 2025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</si>
  <si>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</si>
  <si>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</si>
  <si>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</si>
  <si>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</si>
  <si>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</si>
  <si>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</si>
  <si>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 xml:space="preserve">CESS increments </t>
  </si>
  <si>
    <t>Final decision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</si>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</sst>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_-* #,##0.00_-;[Red]\(#,##0.00\)_-;_-* &quot;-&quot;??_-;_-@_-"/>
    <numFmt numFmtId="171" formatCode="_(#,##0_);\(#,##0\);_(&quot;-&quot;_)"/>
    <numFmt numFmtId="172" formatCode="&quot;Warning&quot;;&quot;Warning&quot;;&quot;OK&quot;"/>
    <numFmt numFmtId="173" formatCode="mm/dd/yy"/>
    <numFmt numFmtId="174" formatCode="_([$€-2]* #,##0.00_);_([$€-2]* \(#,##0.00\);_([$€-2]* &quot;-&quot;??_)"/>
    <numFmt numFmtId="175" formatCode="0_);[Red]\(0\)"/>
    <numFmt numFmtId="176" formatCode="0.0%"/>
    <numFmt numFmtId="177" formatCode="dd/mmm"/>
    <numFmt numFmtId="178" formatCode="_(* #,##0_);_(* \(#,##0\);_(* &quot;-&quot;?_);_(@_)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_(#\ ##0.00_);\(#\ ##0.00\);_(&quot;-&quot;_)"/>
    <numFmt numFmtId="189" formatCode="0.000"/>
    <numFmt numFmtId="190" formatCode="_(* #,##0.0_);_(* \(#,##0.0\);_(* &quot;-&quot;?_);_(@_)"/>
    <numFmt numFmtId="191" formatCode="_-* #,##0.00000_-;\-* #,##0.00000_-;_-* &quot;-&quot;??_-;_-@_-"/>
    <numFmt numFmtId="192" formatCode="0.0"/>
  </numFmts>
  <fonts count="115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FF"/>
      <name val="Calibri"/>
      <family val="2"/>
      <scheme val="minor"/>
    </font>
    <font>
      <sz val="8"/>
      <color rgb="FFFF00FF"/>
      <name val="Tahoma"/>
      <family val="2"/>
    </font>
    <font>
      <i/>
      <u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</borders>
  <cellStyleXfs count="34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4" fillId="0" borderId="0"/>
    <xf numFmtId="170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1" fontId="24" fillId="0" borderId="8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2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6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7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8" fontId="23" fillId="5" borderId="0" applyFont="0" applyBorder="0">
      <alignment horizontal="right"/>
      <protection locked="0"/>
    </xf>
    <xf numFmtId="178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9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0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1" fontId="23" fillId="0" borderId="0" applyFill="0" applyBorder="0"/>
    <xf numFmtId="181" fontId="23" fillId="0" borderId="0" applyFill="0" applyBorder="0"/>
    <xf numFmtId="181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2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3" fontId="23" fillId="0" borderId="0"/>
    <xf numFmtId="183" fontId="23" fillId="0" borderId="0"/>
    <xf numFmtId="183" fontId="23" fillId="0" borderId="0"/>
    <xf numFmtId="184" fontId="24" fillId="0" borderId="0" applyFill="0" applyBorder="0">
      <alignment horizontal="right" vertical="center"/>
    </xf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9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1" fontId="24" fillId="0" borderId="27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2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0" fontId="23" fillId="39" borderId="0" applyFont="0" applyBorder="0">
      <alignment horizontal="right"/>
    </xf>
    <xf numFmtId="176" fontId="23" fillId="39" borderId="0" applyFont="0" applyBorder="0" applyAlignment="0"/>
    <xf numFmtId="190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6" fontId="51" fillId="49" borderId="0" applyBorder="0" applyAlignment="0">
      <protection locked="0"/>
    </xf>
    <xf numFmtId="176" fontId="96" fillId="50" borderId="0" applyBorder="0" applyAlignment="0"/>
    <xf numFmtId="190" fontId="97" fillId="28" borderId="35" applyFont="0" applyBorder="0" applyAlignment="0"/>
    <xf numFmtId="176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4" fillId="0" borderId="0"/>
  </cellStyleXfs>
  <cellXfs count="223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6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9" fontId="17" fillId="0" borderId="0" xfId="3" applyNumberFormat="1" applyFont="1"/>
    <xf numFmtId="169" fontId="19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0" xfId="3" applyNumberFormat="1" applyFont="1" applyBorder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3" fillId="0" borderId="0" xfId="263" applyNumberFormat="1" applyFont="1" applyAlignment="1" applyProtection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2" fontId="15" fillId="3" borderId="0" xfId="0" applyNumberFormat="1" applyFont="1" applyFill="1"/>
    <xf numFmtId="0" fontId="24" fillId="3" borderId="6" xfId="0" applyFont="1" applyFill="1" applyBorder="1" applyAlignment="1">
      <alignment horizontal="left" vertical="center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91" fontId="17" fillId="0" borderId="0" xfId="3" applyNumberFormat="1" applyFont="1"/>
    <xf numFmtId="169" fontId="22" fillId="0" borderId="0" xfId="3" applyNumberFormat="1" applyFont="1" applyAlignment="1">
      <alignment horizontal="center"/>
    </xf>
    <xf numFmtId="188" fontId="20" fillId="0" borderId="0" xfId="55" applyNumberFormat="1" applyFont="1" applyBorder="1" applyAlignment="1" applyProtection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0" fontId="15" fillId="0" borderId="34" xfId="0" applyFont="1" applyBorder="1" applyAlignment="1">
      <alignment horizontal="left" indent="1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5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7" fillId="3" borderId="0" xfId="0" applyFont="1" applyFill="1"/>
    <xf numFmtId="10" fontId="24" fillId="3" borderId="40" xfId="0" applyNumberFormat="1" applyFont="1" applyFill="1" applyBorder="1" applyAlignment="1">
      <alignment horizontal="center" vertical="center"/>
    </xf>
    <xf numFmtId="167" fontId="15" fillId="3" borderId="0" xfId="304" applyFont="1" applyFill="1" applyBorder="1"/>
    <xf numFmtId="0" fontId="24" fillId="3" borderId="0" xfId="1" applyFont="1" applyFill="1" applyBorder="1" applyAlignment="1">
      <alignment horizontal="center" vertical="center"/>
    </xf>
    <xf numFmtId="2" fontId="24" fillId="0" borderId="0" xfId="1" applyNumberFormat="1" applyFont="1" applyFill="1" applyBorder="1" applyAlignment="1">
      <alignment horizontal="center" vertical="center"/>
    </xf>
    <xf numFmtId="49" fontId="94" fillId="3" borderId="0" xfId="0" applyNumberFormat="1" applyFont="1" applyFill="1" applyAlignment="1" applyProtection="1">
      <alignment horizontal="left" vertical="center"/>
      <protection locked="0"/>
    </xf>
    <xf numFmtId="49" fontId="22" fillId="3" borderId="0" xfId="0" applyNumberFormat="1" applyFont="1" applyFill="1" applyAlignment="1" applyProtection="1">
      <alignment horizontal="left" vertical="center"/>
      <protection locked="0"/>
    </xf>
    <xf numFmtId="0" fontId="109" fillId="3" borderId="0" xfId="0" applyFont="1" applyFill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indent="1"/>
      <protection locked="0"/>
    </xf>
    <xf numFmtId="1" fontId="24" fillId="53" borderId="24" xfId="1" applyNumberFormat="1" applyFont="1" applyFill="1" applyBorder="1" applyAlignment="1">
      <alignment horizontal="center" vertical="center"/>
    </xf>
    <xf numFmtId="1" fontId="109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vertical="center"/>
    </xf>
    <xf numFmtId="1" fontId="109" fillId="3" borderId="0" xfId="0" applyNumberFormat="1" applyFont="1" applyFill="1" applyAlignment="1">
      <alignment vertical="center"/>
    </xf>
    <xf numFmtId="0" fontId="110" fillId="3" borderId="0" xfId="0" applyFont="1" applyFill="1" applyAlignment="1">
      <alignment horizontal="left" vertical="center"/>
    </xf>
    <xf numFmtId="0" fontId="14" fillId="56" borderId="0" xfId="0" applyFont="1" applyFill="1" applyAlignment="1">
      <alignment horizontal="center" vertical="center"/>
    </xf>
    <xf numFmtId="2" fontId="15" fillId="55" borderId="26" xfId="268" applyNumberFormat="1" applyFont="1" applyFill="1" applyBorder="1" applyAlignment="1">
      <alignment horizontal="center" vertical="center"/>
    </xf>
    <xf numFmtId="2" fontId="24" fillId="55" borderId="44" xfId="1" applyNumberFormat="1" applyFont="1" applyFill="1" applyBorder="1" applyAlignment="1">
      <alignment horizontal="center" vertical="center"/>
    </xf>
    <xf numFmtId="0" fontId="111" fillId="3" borderId="0" xfId="2" quotePrefix="1" applyFont="1" applyFill="1" applyBorder="1" applyAlignment="1">
      <alignment horizontal="left"/>
    </xf>
    <xf numFmtId="0" fontId="24" fillId="53" borderId="0" xfId="1" applyFont="1" applyFill="1" applyBorder="1" applyAlignment="1">
      <alignment horizontal="center" vertical="center"/>
    </xf>
    <xf numFmtId="0" fontId="24" fillId="55" borderId="24" xfId="1" applyFont="1" applyFill="1" applyBorder="1" applyAlignment="1">
      <alignment horizontal="center" vertical="center"/>
    </xf>
    <xf numFmtId="2" fontId="24" fillId="55" borderId="24" xfId="1" applyNumberFormat="1" applyFont="1" applyFill="1" applyBorder="1" applyAlignment="1">
      <alignment horizontal="center" vertical="center"/>
    </xf>
    <xf numFmtId="0" fontId="24" fillId="55" borderId="44" xfId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33" xfId="0" applyNumberFormat="1" applyFont="1" applyFill="1" applyBorder="1" applyAlignment="1">
      <alignment horizontal="right"/>
    </xf>
    <xf numFmtId="2" fontId="15" fillId="55" borderId="20" xfId="0" applyNumberFormat="1" applyFont="1" applyFill="1" applyBorder="1" applyAlignment="1">
      <alignment horizontal="right"/>
    </xf>
    <xf numFmtId="2" fontId="15" fillId="55" borderId="36" xfId="0" applyNumberFormat="1" applyFont="1" applyFill="1" applyBorder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167" fontId="15" fillId="55" borderId="0" xfId="304" applyFont="1" applyFill="1" applyBorder="1" applyAlignment="1">
      <alignment horizontal="right"/>
    </xf>
    <xf numFmtId="2" fontId="15" fillId="55" borderId="38" xfId="0" applyNumberFormat="1" applyFont="1" applyFill="1" applyBorder="1"/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0" xfId="0" applyFont="1"/>
    <xf numFmtId="9" fontId="15" fillId="53" borderId="4" xfId="0" applyNumberFormat="1" applyFont="1" applyFill="1" applyBorder="1"/>
    <xf numFmtId="2" fontId="15" fillId="55" borderId="4" xfId="0" applyNumberFormat="1" applyFont="1" applyFill="1" applyBorder="1"/>
    <xf numFmtId="167" fontId="24" fillId="55" borderId="2" xfId="304" applyFont="1" applyFill="1" applyBorder="1" applyAlignment="1">
      <alignment horizontal="right" vertical="center"/>
    </xf>
    <xf numFmtId="167" fontId="24" fillId="55" borderId="37" xfId="304" applyFont="1" applyFill="1" applyBorder="1" applyAlignment="1">
      <alignment horizontal="right" vertical="center"/>
    </xf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7" xfId="0" applyNumberFormat="1" applyFont="1" applyFill="1" applyBorder="1" applyAlignment="1">
      <alignment horizontal="right" vertical="center"/>
    </xf>
    <xf numFmtId="2" fontId="24" fillId="55" borderId="0" xfId="0" applyNumberFormat="1" applyFont="1" applyFill="1" applyAlignment="1">
      <alignment horizontal="right" vertical="center"/>
    </xf>
    <xf numFmtId="168" fontId="24" fillId="55" borderId="0" xfId="0" applyNumberFormat="1" applyFont="1" applyFill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49" fontId="103" fillId="51" borderId="0" xfId="0" applyNumberFormat="1" applyFont="1" applyFill="1" applyAlignment="1" applyProtection="1">
      <alignment horizontal="left" vertical="center" indent="1"/>
      <protection locked="0"/>
    </xf>
    <xf numFmtId="2" fontId="15" fillId="53" borderId="26" xfId="268" applyNumberFormat="1" applyFont="1" applyFill="1" applyBorder="1" applyAlignment="1">
      <alignment horizontal="center" vertical="center"/>
    </xf>
    <xf numFmtId="0" fontId="24" fillId="3" borderId="0" xfId="1" applyFont="1" applyFill="1" applyBorder="1" applyAlignment="1">
      <alignment horizontal="left" vertical="center"/>
    </xf>
    <xf numFmtId="189" fontId="24" fillId="55" borderId="26" xfId="0" applyNumberFormat="1" applyFont="1" applyFill="1" applyBorder="1" applyAlignment="1">
      <alignment horizontal="center" vertical="center"/>
    </xf>
    <xf numFmtId="189" fontId="15" fillId="55" borderId="26" xfId="268" applyNumberFormat="1" applyFont="1" applyFill="1" applyBorder="1" applyAlignment="1">
      <alignment horizontal="center" vertical="center"/>
    </xf>
    <xf numFmtId="10" fontId="24" fillId="55" borderId="26" xfId="0" applyNumberFormat="1" applyFont="1" applyFill="1" applyBorder="1" applyAlignment="1">
      <alignment horizontal="center" vertical="center"/>
    </xf>
    <xf numFmtId="189" fontId="24" fillId="55" borderId="26" xfId="268" applyNumberFormat="1" applyFont="1" applyFill="1" applyBorder="1" applyAlignment="1">
      <alignment horizontal="center" vertical="center"/>
    </xf>
    <xf numFmtId="188" fontId="20" fillId="55" borderId="24" xfId="55" applyNumberFormat="1" applyFont="1" applyFill="1" applyBorder="1" applyAlignment="1" applyProtection="1">
      <alignment horizontal="center" vertical="center"/>
    </xf>
    <xf numFmtId="2" fontId="15" fillId="57" borderId="26" xfId="268" applyNumberFormat="1" applyFont="1" applyFill="1" applyBorder="1" applyAlignment="1">
      <alignment horizontal="center" vertical="center"/>
    </xf>
    <xf numFmtId="0" fontId="24" fillId="57" borderId="24" xfId="1" applyFont="1" applyFill="1" applyBorder="1" applyAlignment="1">
      <alignment horizontal="center" vertical="center"/>
    </xf>
    <xf numFmtId="0" fontId="24" fillId="57" borderId="0" xfId="1" applyFont="1" applyFill="1" applyBorder="1" applyAlignment="1">
      <alignment horizontal="center" vertical="center"/>
    </xf>
    <xf numFmtId="2" fontId="24" fillId="57" borderId="44" xfId="1" applyNumberFormat="1" applyFont="1" applyFill="1" applyBorder="1" applyAlignment="1">
      <alignment horizontal="center" vertical="center"/>
    </xf>
    <xf numFmtId="2" fontId="24" fillId="57" borderId="24" xfId="1" applyNumberFormat="1" applyFont="1" applyFill="1" applyBorder="1" applyAlignment="1">
      <alignment horizontal="center" vertical="center"/>
    </xf>
    <xf numFmtId="10" fontId="24" fillId="57" borderId="44" xfId="268" applyNumberFormat="1" applyFont="1" applyFill="1" applyBorder="1" applyAlignment="1">
      <alignment horizontal="center" vertical="center"/>
    </xf>
    <xf numFmtId="0" fontId="3" fillId="57" borderId="0" xfId="0" applyFont="1" applyFill="1" applyAlignment="1">
      <alignment horizontal="center" vertical="center"/>
    </xf>
    <xf numFmtId="9" fontId="15" fillId="57" borderId="26" xfId="268" applyFont="1" applyFill="1" applyBorder="1" applyAlignment="1">
      <alignment horizontal="center" vertical="center"/>
    </xf>
    <xf numFmtId="49" fontId="103" fillId="58" borderId="0" xfId="0" applyNumberFormat="1" applyFont="1" applyFill="1" applyAlignment="1" applyProtection="1">
      <alignment horizontal="left" vertical="center" indent="1"/>
      <protection locked="0"/>
    </xf>
    <xf numFmtId="0" fontId="14" fillId="57" borderId="0" xfId="0" applyFont="1" applyFill="1" applyAlignment="1">
      <alignment horizontal="center" vertical="center"/>
    </xf>
    <xf numFmtId="0" fontId="104" fillId="58" borderId="0" xfId="0" applyFont="1" applyFill="1" applyAlignment="1">
      <alignment vertical="center"/>
    </xf>
    <xf numFmtId="1" fontId="24" fillId="57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center" vertical="center"/>
    </xf>
    <xf numFmtId="10" fontId="24" fillId="57" borderId="26" xfId="0" applyNumberFormat="1" applyFont="1" applyFill="1" applyBorder="1" applyAlignment="1">
      <alignment horizontal="center" vertical="center"/>
    </xf>
    <xf numFmtId="0" fontId="113" fillId="3" borderId="0" xfId="0" applyFont="1" applyFill="1" applyAlignment="1">
      <alignment horizontal="center" vertical="center"/>
    </xf>
    <xf numFmtId="0" fontId="22" fillId="3" borderId="0" xfId="146" applyFont="1" applyFill="1" applyAlignment="1">
      <alignment horizontal="center" vertical="center"/>
    </xf>
    <xf numFmtId="169" fontId="24" fillId="53" borderId="24" xfId="339" applyNumberFormat="1" applyFont="1" applyFill="1" applyBorder="1" applyAlignment="1">
      <alignment horizontal="center" vertical="center"/>
    </xf>
    <xf numFmtId="0" fontId="3" fillId="59" borderId="0" xfId="0" applyFont="1" applyFill="1" applyAlignment="1">
      <alignment horizontal="center" vertical="center"/>
    </xf>
    <xf numFmtId="0" fontId="0" fillId="59" borderId="0" xfId="0" applyFill="1" applyAlignment="1">
      <alignment vertical="center"/>
    </xf>
    <xf numFmtId="169" fontId="0" fillId="3" borderId="0" xfId="339" applyNumberFormat="1" applyFont="1" applyFill="1" applyAlignment="1">
      <alignment vertical="center"/>
    </xf>
    <xf numFmtId="2" fontId="15" fillId="3" borderId="26" xfId="268" applyNumberFormat="1" applyFont="1" applyFill="1" applyBorder="1" applyAlignment="1">
      <alignment horizontal="center" vertical="center"/>
    </xf>
    <xf numFmtId="1" fontId="15" fillId="3" borderId="26" xfId="268" applyNumberFormat="1" applyFont="1" applyFill="1" applyBorder="1" applyAlignment="1">
      <alignment horizontal="center" vertical="center"/>
    </xf>
    <xf numFmtId="10" fontId="24" fillId="53" borderId="44" xfId="1" applyNumberFormat="1" applyFont="1" applyFill="1" applyBorder="1" applyAlignment="1">
      <alignment horizontal="center" vertical="center"/>
    </xf>
    <xf numFmtId="10" fontId="24" fillId="53" borderId="24" xfId="1" applyNumberFormat="1" applyFont="1" applyFill="1" applyBorder="1" applyAlignment="1">
      <alignment horizontal="center" vertical="center"/>
    </xf>
    <xf numFmtId="192" fontId="101" fillId="55" borderId="0" xfId="265" applyNumberFormat="1" applyFont="1" applyFill="1" applyAlignment="1">
      <alignment horizontal="center" vertical="center"/>
    </xf>
    <xf numFmtId="43" fontId="24" fillId="55" borderId="2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horizontal="center" vertical="center"/>
    </xf>
    <xf numFmtId="9" fontId="7" fillId="3" borderId="0" xfId="268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0" fillId="60" borderId="0" xfId="0" applyFont="1" applyFill="1" applyAlignment="1">
      <alignment horizontal="center" vertical="center"/>
    </xf>
    <xf numFmtId="10" fontId="24" fillId="60" borderId="26" xfId="0" applyNumberFormat="1" applyFont="1" applyFill="1" applyBorder="1" applyAlignment="1">
      <alignment horizontal="center" vertical="center"/>
    </xf>
    <xf numFmtId="10" fontId="15" fillId="60" borderId="26" xfId="0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14" xfId="339" xr:uid="{78F6AB27-EAB0-4441-8B15-BC069D0B4EFD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17" xfId="340" xr:uid="{2CF6D97F-84BA-4084-8E5B-F6F7B33A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18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99FF"/>
      <color rgb="FFFF00FF"/>
      <color rgb="FFDAEEF3"/>
      <color rgb="FF0000FF"/>
      <color rgb="FF006100"/>
      <color rgb="FFC6EFCE"/>
      <color rgb="FFFFCC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zoomScale="110" zoomScaleNormal="110" workbookViewId="0">
      <selection activeCell="D7" sqref="D7"/>
    </sheetView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2:4" s="5" customFormat="1" ht="18" customHeight="1">
      <c r="B1" s="3" t="str">
        <f>'Input | General'!$B$1</f>
        <v>AGN(SA) 2026-31 Final decision - Capital expenditure sharing scheme model</v>
      </c>
      <c r="D1" s="4"/>
    </row>
    <row r="2" spans="2:4" ht="18" customHeight="1">
      <c r="B2" s="26" t="s">
        <v>0</v>
      </c>
    </row>
    <row r="3" spans="2:4" ht="18" customHeight="1">
      <c r="C3" s="2"/>
    </row>
    <row r="4" spans="2:4" s="8" customFormat="1" ht="18" customHeight="1">
      <c r="C4" s="22" t="s">
        <v>1</v>
      </c>
      <c r="D4" s="7"/>
    </row>
    <row r="5" spans="2:4" ht="11.25" customHeight="1"/>
    <row r="6" spans="2:4" ht="11.25" customHeight="1">
      <c r="C6" s="24" t="s">
        <v>2</v>
      </c>
      <c r="D6" s="24" t="s">
        <v>3</v>
      </c>
    </row>
    <row r="7" spans="2:4" ht="11.25" customHeight="1">
      <c r="C7" s="82" t="s">
        <v>4</v>
      </c>
      <c r="D7" s="25" t="s">
        <v>5</v>
      </c>
    </row>
    <row r="8" spans="2:4" ht="11.25" customHeight="1">
      <c r="C8" s="82" t="s">
        <v>6</v>
      </c>
      <c r="D8" s="25" t="s">
        <v>7</v>
      </c>
    </row>
    <row r="9" spans="2:4" ht="11.25" customHeight="1">
      <c r="C9" s="82" t="s">
        <v>8</v>
      </c>
      <c r="D9" s="25" t="s">
        <v>9</v>
      </c>
    </row>
    <row r="10" spans="2:4" ht="11.25" customHeight="1">
      <c r="C10" s="154" t="s">
        <v>10</v>
      </c>
      <c r="D10" s="25" t="s">
        <v>11</v>
      </c>
    </row>
    <row r="11" spans="2:4" ht="11.25" customHeight="1">
      <c r="C11" s="82" t="s">
        <v>12</v>
      </c>
      <c r="D11" s="25" t="s">
        <v>13</v>
      </c>
    </row>
    <row r="12" spans="2:4" ht="11.25" customHeight="1">
      <c r="C12" s="82" t="s">
        <v>14</v>
      </c>
      <c r="D12" s="25" t="s">
        <v>15</v>
      </c>
    </row>
    <row r="13" spans="2:4" ht="11.25" customHeight="1">
      <c r="C13" s="82" t="s">
        <v>16</v>
      </c>
      <c r="D13" s="25" t="s">
        <v>17</v>
      </c>
    </row>
    <row r="14" spans="2:4" ht="12.75" customHeight="1"/>
    <row r="15" spans="2:4" s="8" customFormat="1" ht="12.75" customHeight="1">
      <c r="C15" s="22" t="s">
        <v>18</v>
      </c>
      <c r="D15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'Output | Models'!A1" display="Output | Models" xr:uid="{00000000-0004-0000-0000-000004000000}"/>
    <hyperlink ref="C11" location="'Input | Asset Performance Index'!A1" display="Input | Asset performance index" xr:uid="{1487CCB5-ACC1-4C8D-B2B9-E4D5A3D6D806}"/>
    <hyperlink ref="C10" location="'Input | Reported Performance'!A1" display="Input | Reported Performance'!" xr:uid="{7C90EC87-A989-43F5-8072-368B1F3E8E1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99"/>
  </sheetPr>
  <dimension ref="A1:V22"/>
  <sheetViews>
    <sheetView zoomScaleNormal="100" workbookViewId="0">
      <selection activeCell="D7" sqref="D7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14.28515625" style="11" customWidth="1"/>
    <col min="5" max="8" width="12.7109375" style="11" customWidth="1"/>
    <col min="9" max="9" width="9.42578125" style="11" customWidth="1"/>
    <col min="10" max="10" width="11.425781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2:9" s="2" customFormat="1" ht="18" customHeight="1">
      <c r="B1" s="3" t="str">
        <f>$D$6&amp;" "&amp;$D$8&amp;" "&amp;D7&amp;" - "&amp;"Capital expenditure sharing scheme model"</f>
        <v>AGN(SA) 2026-31 Final decision - Capital expenditure sharing scheme model</v>
      </c>
      <c r="F1" s="79"/>
      <c r="G1" s="80" t="s">
        <v>19</v>
      </c>
      <c r="H1" s="107" t="s">
        <v>20</v>
      </c>
      <c r="I1" s="112" t="s">
        <v>21</v>
      </c>
    </row>
    <row r="2" spans="2:9" s="2" customFormat="1" ht="18" customHeight="1">
      <c r="B2" s="10" t="s">
        <v>4</v>
      </c>
    </row>
    <row r="3" spans="2:9" s="2" customFormat="1" ht="3" customHeight="1">
      <c r="B3" s="1"/>
    </row>
    <row r="4" spans="2:9" s="50" customFormat="1" ht="12.75" customHeight="1">
      <c r="B4" s="22" t="s">
        <v>4</v>
      </c>
    </row>
    <row r="5" spans="2:9" s="23" customFormat="1" ht="11.25" customHeight="1">
      <c r="C5" s="24"/>
    </row>
    <row r="6" spans="2:9" s="57" customFormat="1" ht="11.25" customHeight="1">
      <c r="C6" s="56" t="s">
        <v>22</v>
      </c>
      <c r="D6" s="108" t="s">
        <v>23</v>
      </c>
    </row>
    <row r="7" spans="2:9" s="57" customFormat="1" ht="11.25" customHeight="1">
      <c r="C7" s="56" t="s">
        <v>24</v>
      </c>
      <c r="D7" s="108" t="s">
        <v>179</v>
      </c>
      <c r="I7" s="66"/>
    </row>
    <row r="8" spans="2:9" s="57" customFormat="1" ht="11.25" customHeight="1">
      <c r="C8" s="56" t="s">
        <v>25</v>
      </c>
      <c r="D8" s="108" t="s">
        <v>26</v>
      </c>
    </row>
    <row r="9" spans="2:9" s="57" customFormat="1" ht="11.25" customHeight="1">
      <c r="C9" s="135" t="s">
        <v>27</v>
      </c>
      <c r="D9" s="155" t="s">
        <v>28</v>
      </c>
    </row>
    <row r="10" spans="2:9" s="57" customFormat="1" ht="11.25" customHeight="1">
      <c r="C10" s="56"/>
    </row>
    <row r="11" spans="2:9" s="57" customFormat="1" ht="11.25" customHeight="1">
      <c r="C11" s="74" t="s">
        <v>29</v>
      </c>
    </row>
    <row r="12" spans="2:9" s="57" customFormat="1" ht="11.25" customHeight="1">
      <c r="C12" s="56"/>
      <c r="D12" s="58" t="s">
        <v>30</v>
      </c>
      <c r="E12" s="58" t="s">
        <v>31</v>
      </c>
      <c r="F12" s="58" t="s">
        <v>32</v>
      </c>
      <c r="G12" s="58" t="s">
        <v>33</v>
      </c>
      <c r="H12" s="58" t="s">
        <v>34</v>
      </c>
    </row>
    <row r="13" spans="2:9" s="57" customFormat="1" ht="11.25" customHeight="1">
      <c r="C13" s="56" t="s">
        <v>35</v>
      </c>
      <c r="D13" s="156" t="str">
        <f t="shared" ref="D13:F13" si="0">IF(LEN(E13)&gt;4,CONCATENATE(LEFT(E13,4)-1&amp;"–"&amp;IF(RIGHT(E13,2)="00","99",IF(RIGHT(E13,2)-1&lt;10,"0","")&amp;RIGHT(E13,2)-1)),E13-1)</f>
        <v>2021–22</v>
      </c>
      <c r="E13" s="156" t="str">
        <f t="shared" si="0"/>
        <v>2022–23</v>
      </c>
      <c r="F13" s="156" t="str">
        <f t="shared" si="0"/>
        <v>2023–24</v>
      </c>
      <c r="G13" s="156" t="str">
        <f>IF(LEN(H13)&gt;4,CONCATENATE(LEFT(H13,4)-1&amp;"–"&amp;IF(RIGHT(H13,2)="00","99",IF(RIGHT(H13,2)-1&lt;10,"0","")&amp;RIGHT(H13,2)-1)),H13-1)</f>
        <v>2024–25</v>
      </c>
      <c r="H13" s="156" t="str">
        <f>IF(LEN(D9)&gt;4,CONCATENATE(LEFT(D9,4)-1&amp;"–"&amp;IF(RIGHT(D9,2)="00","99",IF(RIGHT(D9,2)-1&lt;10,"0","")&amp;RIGHT(D9,2)-1)),D9-1)</f>
        <v>2025–26</v>
      </c>
    </row>
    <row r="14" spans="2:9" s="57" customFormat="1" ht="11.25" customHeight="1">
      <c r="C14" s="56" t="s">
        <v>36</v>
      </c>
      <c r="D14" s="108" t="s">
        <v>37</v>
      </c>
      <c r="E14" s="108" t="s">
        <v>37</v>
      </c>
      <c r="F14" s="108" t="s">
        <v>37</v>
      </c>
      <c r="G14" s="108" t="s">
        <v>37</v>
      </c>
      <c r="H14" s="108" t="s">
        <v>37</v>
      </c>
    </row>
    <row r="15" spans="2:9" s="57" customFormat="1" ht="11.25" customHeight="1">
      <c r="C15" s="56" t="s">
        <v>38</v>
      </c>
      <c r="D15" s="108" t="s">
        <v>39</v>
      </c>
      <c r="E15" s="108" t="s">
        <v>39</v>
      </c>
      <c r="F15" s="108" t="s">
        <v>39</v>
      </c>
      <c r="G15" s="108" t="s">
        <v>39</v>
      </c>
      <c r="H15" s="108" t="s">
        <v>40</v>
      </c>
    </row>
    <row r="16" spans="2:9" s="57" customFormat="1" ht="11.25" customHeight="1">
      <c r="C16" s="56" t="s">
        <v>41</v>
      </c>
      <c r="D16" s="108" t="s">
        <v>37</v>
      </c>
      <c r="E16" s="108" t="s">
        <v>37</v>
      </c>
      <c r="F16" s="108" t="s">
        <v>37</v>
      </c>
      <c r="G16" s="108" t="s">
        <v>37</v>
      </c>
      <c r="H16" s="108" t="s">
        <v>42</v>
      </c>
    </row>
    <row r="18" spans="2:8" s="57" customFormat="1" ht="11.25" customHeight="1">
      <c r="C18" s="56"/>
      <c r="D18" s="58" t="s">
        <v>30</v>
      </c>
      <c r="E18" s="58" t="s">
        <v>31</v>
      </c>
      <c r="F18" s="58" t="s">
        <v>32</v>
      </c>
      <c r="G18" s="58" t="s">
        <v>33</v>
      </c>
      <c r="H18" s="58" t="s">
        <v>34</v>
      </c>
    </row>
    <row r="19" spans="2:8" s="57" customFormat="1" ht="11.25" customHeight="1">
      <c r="C19" s="56" t="s">
        <v>43</v>
      </c>
      <c r="D19" s="156" t="str">
        <f>D9</f>
        <v>2026-27</v>
      </c>
      <c r="E19" s="156" t="str">
        <f>IF(LEN(D19)&gt;4,CONCATENATE(LEFT(D19,4)+1&amp;"–"&amp;IF(RIGHT(D19,2)+1&gt;9,"","0")&amp;RIGHT(D19,2)+1),D19+1)</f>
        <v>2027–28</v>
      </c>
      <c r="F19" s="156" t="str">
        <f t="shared" ref="F19:H19" si="1">IF(LEN(E19)&gt;4,CONCATENATE(LEFT(E19,4)+1&amp;"–"&amp;IF(RIGHT(E19,2)+1&gt;9,"","0")&amp;RIGHT(E19,2)+1),E19+1)</f>
        <v>2028–29</v>
      </c>
      <c r="G19" s="156" t="str">
        <f t="shared" si="1"/>
        <v>2029–30</v>
      </c>
      <c r="H19" s="156" t="str">
        <f t="shared" si="1"/>
        <v>2030–31</v>
      </c>
    </row>
    <row r="20" spans="2:8" s="57" customFormat="1" ht="11.25" customHeight="1">
      <c r="C20" s="66"/>
      <c r="D20" s="66"/>
      <c r="E20" s="66"/>
      <c r="F20" s="66"/>
      <c r="G20" s="66"/>
      <c r="H20" s="66"/>
    </row>
    <row r="21" spans="2:8" s="57" customFormat="1" ht="11.25" customHeight="1"/>
    <row r="22" spans="2:8" s="50" customFormat="1" ht="12.75" customHeight="1">
      <c r="B22" s="22" t="s">
        <v>18</v>
      </c>
    </row>
  </sheetData>
  <dataValidations count="2">
    <dataValidation type="list" allowBlank="1" showInputMessage="1" showErrorMessage="1" sqref="D14:H14 D16:H16" xr:uid="{00000000-0002-0000-0200-000000000000}">
      <formula1>"Yes, No, N/A"</formula1>
    </dataValidation>
    <dataValidation type="list" allowBlank="1" showInputMessage="1" showErrorMessage="1" sqref="D15:H15" xr:uid="{00000000-0002-0000-0200-000001000000}">
      <formula1>"Actual, Estimate, N/A"</formula1>
    </dataValidation>
  </dataValidation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G24"/>
  <sheetViews>
    <sheetView showGridLines="0" tabSelected="1" zoomScale="110" zoomScaleNormal="110" workbookViewId="0">
      <selection activeCell="K20" sqref="K20"/>
    </sheetView>
  </sheetViews>
  <sheetFormatPr defaultColWidth="0" defaultRowHeight="18" customHeight="1" zeroHeight="1"/>
  <cols>
    <col min="1" max="2" width="1.140625" style="18" customWidth="1"/>
    <col min="3" max="3" width="36.7109375" style="18" customWidth="1"/>
    <col min="4" max="5" width="22.85546875" style="18" customWidth="1"/>
    <col min="6" max="6" width="12.7109375" style="18" customWidth="1"/>
    <col min="7" max="13" width="12.7109375" style="2" customWidth="1"/>
    <col min="14" max="14" width="12.5703125" style="17" customWidth="1"/>
    <col min="15" max="17" width="12.7109375" style="18" customWidth="1"/>
    <col min="18" max="19" width="2.85546875" style="18" customWidth="1"/>
    <col min="20" max="33" width="12.7109375" style="18" hidden="1" customWidth="1"/>
    <col min="34" max="16384" width="9.140625" style="18" hidden="1"/>
  </cols>
  <sheetData>
    <row r="1" spans="2:16" s="2" customFormat="1" ht="18" customHeight="1">
      <c r="B1" s="3" t="str">
        <f>'Input | General'!$B$1</f>
        <v>AGN(SA) 2026-31 Final decision - Capital expenditure sharing scheme model</v>
      </c>
      <c r="D1" s="3"/>
      <c r="E1" s="3"/>
      <c r="F1" s="3"/>
      <c r="G1" s="79"/>
      <c r="H1" s="80" t="s">
        <v>19</v>
      </c>
      <c r="I1" s="107" t="s">
        <v>20</v>
      </c>
      <c r="J1" s="112" t="s">
        <v>21</v>
      </c>
      <c r="K1" s="219" t="s">
        <v>180</v>
      </c>
      <c r="N1" s="81"/>
      <c r="O1" s="66"/>
      <c r="P1" s="66"/>
    </row>
    <row r="2" spans="2:16" s="2" customFormat="1" ht="18" customHeight="1">
      <c r="C2" s="10" t="s">
        <v>44</v>
      </c>
      <c r="D2" s="10"/>
      <c r="E2" s="10"/>
      <c r="F2" s="10"/>
    </row>
    <row r="3" spans="2:16" s="2" customFormat="1" ht="3" customHeight="1">
      <c r="C3" s="1"/>
      <c r="D3" s="1"/>
      <c r="E3" s="1"/>
      <c r="F3" s="1"/>
      <c r="M3" s="17"/>
    </row>
    <row r="4" spans="2:16" s="68" customFormat="1" ht="12.75" customHeight="1">
      <c r="C4" s="22" t="s">
        <v>45</v>
      </c>
      <c r="D4" s="69"/>
      <c r="E4" s="69"/>
      <c r="F4" s="69"/>
      <c r="M4" s="70"/>
    </row>
    <row r="5" spans="2:16" ht="11.25" customHeight="1">
      <c r="B5" s="2"/>
      <c r="C5" s="13"/>
      <c r="D5" s="66"/>
      <c r="E5" s="66"/>
      <c r="F5" s="66"/>
      <c r="M5" s="17"/>
      <c r="N5" s="2"/>
    </row>
    <row r="6" spans="2:16" ht="11.25" customHeight="1">
      <c r="B6" s="2"/>
      <c r="C6" s="13"/>
      <c r="D6" s="62" t="s">
        <v>46</v>
      </c>
      <c r="E6" s="62" t="s">
        <v>47</v>
      </c>
      <c r="F6" s="62"/>
      <c r="M6" s="17"/>
      <c r="N6" s="2"/>
    </row>
    <row r="7" spans="2:16" ht="11.25" customHeight="1">
      <c r="B7" s="2"/>
      <c r="C7" s="13"/>
      <c r="D7" s="66"/>
      <c r="E7" s="66"/>
      <c r="F7" s="123" t="str">
        <f>IF(LEN(G7)&gt;4,CONCATENATE(LEFT(G7,4)-1&amp;"–"&amp;IF(RIGHT(G7,2)="00","99",IF(RIGHT(G7,2)-1&lt;10,"0","")&amp;RIGHT(G7,2)-1)),G7-1)</f>
        <v>2020–21</v>
      </c>
      <c r="G7" s="122" t="str">
        <f>'Input | General'!D13</f>
        <v>2021–22</v>
      </c>
      <c r="H7" s="122" t="str">
        <f>'Input | General'!E13</f>
        <v>2022–23</v>
      </c>
      <c r="I7" s="122" t="str">
        <f>'Input | General'!F13</f>
        <v>2023–24</v>
      </c>
      <c r="J7" s="122" t="str">
        <f>'Input | General'!G13</f>
        <v>2024–25</v>
      </c>
      <c r="K7" s="122" t="str">
        <f>'Input | General'!H13</f>
        <v>2025–26</v>
      </c>
      <c r="L7" s="122" t="str">
        <f>'Input | General'!D19</f>
        <v>2026-27</v>
      </c>
      <c r="M7" s="122" t="str">
        <f>'Input | General'!E19</f>
        <v>2027–28</v>
      </c>
      <c r="N7" s="122" t="str">
        <f>'Input | General'!F19</f>
        <v>2028–29</v>
      </c>
      <c r="O7" s="122" t="str">
        <f>'Input | General'!G19</f>
        <v>2029–30</v>
      </c>
      <c r="P7" s="122" t="str">
        <f>'Input | General'!H19</f>
        <v>2030–31</v>
      </c>
    </row>
    <row r="8" spans="2:16" ht="11.25" customHeight="1">
      <c r="B8" s="2"/>
      <c r="C8" s="67" t="s">
        <v>48</v>
      </c>
      <c r="D8" s="65" t="str">
        <f>'Input | General'!$D$6</f>
        <v>AGN(SA)</v>
      </c>
      <c r="E8" s="65" t="s">
        <v>49</v>
      </c>
      <c r="F8" s="65"/>
      <c r="G8" s="109">
        <v>3.4982935153583528E-2</v>
      </c>
      <c r="H8" s="109">
        <v>7.8318219291014124E-2</v>
      </c>
      <c r="I8" s="109">
        <v>4.0519877675840865E-2</v>
      </c>
      <c r="J8" s="109">
        <v>2.4246877296105973E-2</v>
      </c>
      <c r="K8" s="109">
        <v>3.3000000000000002E-2</v>
      </c>
      <c r="L8" s="72"/>
      <c r="M8" s="72"/>
      <c r="N8" s="72"/>
      <c r="O8" s="72"/>
      <c r="P8" s="72"/>
    </row>
    <row r="9" spans="2:16" ht="11.25" customHeight="1">
      <c r="B9" s="2"/>
      <c r="C9" s="67" t="s">
        <v>50</v>
      </c>
      <c r="D9" s="65" t="str">
        <f>'Input | General'!$D$6</f>
        <v>AGN(SA)</v>
      </c>
      <c r="E9" s="65" t="s">
        <v>49</v>
      </c>
      <c r="F9" s="65"/>
      <c r="G9" s="92"/>
      <c r="H9" s="92"/>
      <c r="I9" s="92"/>
      <c r="J9" s="92"/>
      <c r="K9" s="92"/>
      <c r="L9" s="186">
        <v>2.5999756335213231E-2</v>
      </c>
      <c r="M9" s="186">
        <f>L9</f>
        <v>2.5999756335213231E-2</v>
      </c>
      <c r="N9" s="186">
        <f>M9</f>
        <v>2.5999756335213231E-2</v>
      </c>
      <c r="O9" s="186">
        <f>N9</f>
        <v>2.5999756335213231E-2</v>
      </c>
      <c r="P9" s="186">
        <f t="shared" ref="P9" si="0">O9</f>
        <v>2.5999756335213231E-2</v>
      </c>
    </row>
    <row r="10" spans="2:16" ht="11.25" customHeight="1">
      <c r="B10" s="2"/>
      <c r="C10" s="97" t="str">
        <f>"CPI Index (base year "&amp;F7&amp;")"</f>
        <v>CPI Index (base year 2020–21)</v>
      </c>
      <c r="D10" s="65" t="str">
        <f>'Input | General'!$D$6</f>
        <v>AGN(SA)</v>
      </c>
      <c r="E10" s="65" t="s">
        <v>0</v>
      </c>
      <c r="F10" s="184">
        <v>1</v>
      </c>
      <c r="G10" s="185">
        <f t="shared" ref="G10:K10" si="1">IF(G7&lt;&gt;"",(F10*(1+G8)),"")</f>
        <v>1.0349829351535835</v>
      </c>
      <c r="H10" s="185">
        <f t="shared" si="1"/>
        <v>1.1160409556313993</v>
      </c>
      <c r="I10" s="185">
        <f t="shared" si="1"/>
        <v>1.1612627986348121</v>
      </c>
      <c r="J10" s="185">
        <f t="shared" si="1"/>
        <v>1.189419795221843</v>
      </c>
      <c r="K10" s="185">
        <f t="shared" si="1"/>
        <v>1.2286706484641639</v>
      </c>
      <c r="L10" s="185">
        <f>IF(L7&lt;&gt;"",(K10*(1+L9)),"")</f>
        <v>1.2606157859404605</v>
      </c>
      <c r="M10" s="185">
        <f t="shared" ref="M10:P10" si="2">IF(M7&lt;&gt;"",(L10*(1+M9)),"")</f>
        <v>1.2933914892072358</v>
      </c>
      <c r="N10" s="185">
        <f t="shared" si="2"/>
        <v>1.3270193527726626</v>
      </c>
      <c r="O10" s="185">
        <f t="shared" si="2"/>
        <v>1.3615215325968641</v>
      </c>
      <c r="P10" s="185">
        <f t="shared" si="2"/>
        <v>1.3969207606895286</v>
      </c>
    </row>
    <row r="11" spans="2:16" ht="11.25" customHeight="1">
      <c r="B11" s="2"/>
      <c r="C11" s="67"/>
      <c r="D11" s="65"/>
      <c r="E11" s="65"/>
      <c r="F11" s="65"/>
      <c r="G11" s="72"/>
      <c r="H11" s="72"/>
      <c r="I11" s="72"/>
      <c r="J11" s="72"/>
      <c r="K11" s="93"/>
      <c r="L11" s="93"/>
      <c r="M11" s="93"/>
      <c r="N11" s="93"/>
      <c r="O11" s="93"/>
      <c r="P11" s="93"/>
    </row>
    <row r="12" spans="2:16" ht="11.25" customHeight="1">
      <c r="B12" s="2"/>
      <c r="C12" s="67"/>
      <c r="D12" s="65"/>
      <c r="E12" s="65"/>
      <c r="F12" s="65"/>
      <c r="G12" s="91"/>
      <c r="H12" s="91"/>
      <c r="I12" s="91"/>
      <c r="J12" s="91"/>
      <c r="K12" s="18"/>
      <c r="L12" s="18"/>
      <c r="M12" s="18"/>
      <c r="N12" s="18"/>
    </row>
    <row r="13" spans="2:16" ht="11.25" customHeight="1">
      <c r="B13" s="2"/>
      <c r="C13" s="67" t="s">
        <v>48</v>
      </c>
      <c r="D13" s="65" t="s">
        <v>51</v>
      </c>
      <c r="E13" s="65" t="s">
        <v>49</v>
      </c>
      <c r="F13" s="65"/>
      <c r="G13" s="202">
        <f>G8</f>
        <v>3.4982935153583528E-2</v>
      </c>
      <c r="H13" s="202">
        <f t="shared" ref="H13:J13" si="3">H8</f>
        <v>7.8318219291014124E-2</v>
      </c>
      <c r="I13" s="202">
        <f t="shared" si="3"/>
        <v>4.0519877675840865E-2</v>
      </c>
      <c r="J13" s="202">
        <f t="shared" si="3"/>
        <v>2.4246877296105973E-2</v>
      </c>
      <c r="K13" s="220">
        <v>3.6256585063526359E-2</v>
      </c>
      <c r="L13" s="138"/>
      <c r="M13" s="91"/>
      <c r="N13" s="91"/>
      <c r="O13" s="91"/>
      <c r="P13" s="91"/>
    </row>
    <row r="14" spans="2:16" ht="11.25" customHeight="1">
      <c r="B14" s="2"/>
      <c r="C14" s="67" t="s">
        <v>50</v>
      </c>
      <c r="D14" s="65" t="s">
        <v>51</v>
      </c>
      <c r="E14" s="65" t="s">
        <v>49</v>
      </c>
      <c r="F14" s="65"/>
      <c r="G14" s="72"/>
      <c r="H14" s="72"/>
      <c r="I14" s="72"/>
      <c r="J14" s="93"/>
      <c r="K14" s="93"/>
      <c r="L14" s="220">
        <v>2.4799921905501066E-2</v>
      </c>
      <c r="M14" s="186">
        <f>L14</f>
        <v>2.4799921905501066E-2</v>
      </c>
      <c r="N14" s="186">
        <f>M14</f>
        <v>2.4799921905501066E-2</v>
      </c>
      <c r="O14" s="186">
        <f>N14</f>
        <v>2.4799921905501066E-2</v>
      </c>
      <c r="P14" s="186">
        <f t="shared" ref="P14" si="4">O14</f>
        <v>2.4799921905501066E-2</v>
      </c>
    </row>
    <row r="15" spans="2:16" ht="11.25" customHeight="1">
      <c r="B15" s="2"/>
      <c r="C15" s="97" t="str">
        <f>"CPI Index (base year "&amp;F7&amp;")"</f>
        <v>CPI Index (base year 2020–21)</v>
      </c>
      <c r="D15" s="65" t="s">
        <v>51</v>
      </c>
      <c r="E15" s="65" t="s">
        <v>0</v>
      </c>
      <c r="F15" s="184">
        <v>1</v>
      </c>
      <c r="G15" s="185">
        <f>IF(G7&lt;&gt;"",(F15*(1+G13)),"")</f>
        <v>1.0349829351535835</v>
      </c>
      <c r="H15" s="185">
        <f>IF(H7&lt;&gt;"",(G15*(1+H13)),"")</f>
        <v>1.1160409556313993</v>
      </c>
      <c r="I15" s="185">
        <f>IF(I7&lt;&gt;"",(H15*(1+I13)),"")</f>
        <v>1.1612627986348121</v>
      </c>
      <c r="J15" s="187">
        <f t="shared" ref="J15:K15" si="5">IF(J7&lt;&gt;"",(I15*(1+J13)),"")</f>
        <v>1.189419795221843</v>
      </c>
      <c r="K15" s="187">
        <f t="shared" si="5"/>
        <v>1.2325440952035458</v>
      </c>
      <c r="L15" s="187">
        <f>IF(L7&lt;&gt;"",(K15*(1+L14)),"")</f>
        <v>1.2631110925096802</v>
      </c>
      <c r="M15" s="185">
        <f>IF(M7&lt;&gt;"",(L15*(1+M14)),"")</f>
        <v>1.2944361489618925</v>
      </c>
      <c r="N15" s="185">
        <f t="shared" ref="N15:P15" si="6">IF(N7&lt;&gt;"",(M15*(1+N14)),"")</f>
        <v>1.3265380643678051</v>
      </c>
      <c r="O15" s="185">
        <f t="shared" si="6"/>
        <v>1.3594361047688013</v>
      </c>
      <c r="P15" s="185">
        <f t="shared" si="6"/>
        <v>1.3931500140025861</v>
      </c>
    </row>
    <row r="17" spans="2:16" s="68" customFormat="1" ht="12.75" customHeight="1">
      <c r="C17" s="22" t="s">
        <v>52</v>
      </c>
      <c r="D17" s="69"/>
      <c r="E17" s="69"/>
      <c r="F17" s="69"/>
      <c r="M17" s="70"/>
    </row>
    <row r="18" spans="2:16" ht="11.25" customHeight="1">
      <c r="B18" s="66"/>
      <c r="C18" s="66"/>
      <c r="D18" s="66"/>
      <c r="E18" s="66"/>
      <c r="F18" s="62"/>
      <c r="M18" s="17"/>
      <c r="N18" s="2"/>
    </row>
    <row r="19" spans="2:16" ht="11.25" customHeight="1">
      <c r="C19" s="13"/>
      <c r="D19" s="62" t="s">
        <v>46</v>
      </c>
      <c r="E19" s="62" t="s">
        <v>47</v>
      </c>
      <c r="F19" s="66"/>
      <c r="G19" s="122" t="str">
        <f>G7</f>
        <v>2021–22</v>
      </c>
      <c r="H19" s="122" t="str">
        <f t="shared" ref="H19:P19" si="7">H7</f>
        <v>2022–23</v>
      </c>
      <c r="I19" s="122" t="str">
        <f t="shared" si="7"/>
        <v>2023–24</v>
      </c>
      <c r="J19" s="122" t="str">
        <f t="shared" si="7"/>
        <v>2024–25</v>
      </c>
      <c r="K19" s="122" t="str">
        <f t="shared" si="7"/>
        <v>2025–26</v>
      </c>
      <c r="L19" s="122" t="str">
        <f t="shared" si="7"/>
        <v>2026-27</v>
      </c>
      <c r="M19" s="122" t="str">
        <f t="shared" si="7"/>
        <v>2027–28</v>
      </c>
      <c r="N19" s="122" t="str">
        <f t="shared" si="7"/>
        <v>2028–29</v>
      </c>
      <c r="O19" s="122" t="str">
        <f t="shared" si="7"/>
        <v>2029–30</v>
      </c>
      <c r="P19" s="122" t="str">
        <f t="shared" si="7"/>
        <v>2030–31</v>
      </c>
    </row>
    <row r="20" spans="2:16" ht="11.25" customHeight="1">
      <c r="C20" s="67" t="s">
        <v>53</v>
      </c>
      <c r="D20" s="65" t="s">
        <v>51</v>
      </c>
      <c r="E20" s="65" t="s">
        <v>49</v>
      </c>
      <c r="F20" s="66"/>
      <c r="G20" s="109">
        <v>2.8994637906181928E-2</v>
      </c>
      <c r="H20" s="109">
        <v>2.8189251650922342E-2</v>
      </c>
      <c r="I20" s="109">
        <v>2.8740015675159557E-2</v>
      </c>
      <c r="J20" s="109">
        <v>2.89219034606507E-2</v>
      </c>
      <c r="K20" s="220">
        <v>2.9115095031161199E-2</v>
      </c>
      <c r="L20" s="93"/>
      <c r="M20" s="93"/>
      <c r="N20" s="93"/>
      <c r="O20" s="93"/>
      <c r="P20" s="93"/>
    </row>
    <row r="21" spans="2:16" ht="11.25" customHeight="1">
      <c r="C21" s="105" t="s">
        <v>54</v>
      </c>
      <c r="D21" s="65" t="s">
        <v>51</v>
      </c>
      <c r="E21" s="65" t="s">
        <v>49</v>
      </c>
      <c r="F21" s="66"/>
      <c r="G21" s="137"/>
      <c r="H21" s="137"/>
      <c r="I21" s="137"/>
      <c r="J21" s="137"/>
      <c r="K21" s="137"/>
      <c r="L21" s="220">
        <v>3.69521671332542E-2</v>
      </c>
      <c r="M21" s="220">
        <v>3.74954971620459E-2</v>
      </c>
      <c r="N21" s="220">
        <v>3.836168128918991E-2</v>
      </c>
      <c r="O21" s="220">
        <v>3.9356993973320618E-2</v>
      </c>
      <c r="P21" s="220">
        <v>4.1291186444519873E-2</v>
      </c>
    </row>
    <row r="22" spans="2:16" ht="11.25" customHeight="1">
      <c r="C22" s="67" t="s">
        <v>55</v>
      </c>
      <c r="D22" s="65" t="s">
        <v>56</v>
      </c>
      <c r="E22" s="65" t="s">
        <v>49</v>
      </c>
      <c r="F22" s="66"/>
      <c r="G22" s="221">
        <f t="shared" ref="G22:J22" si="8">IF(AND(G13&lt;&gt;"",G20&lt;&gt;""),((1+G20)*(1+G13)-1),"")</f>
        <v>6.4991890597438928E-2</v>
      </c>
      <c r="H22" s="221">
        <f t="shared" si="8"/>
        <v>0.10871520293438297</v>
      </c>
      <c r="I22" s="221">
        <f t="shared" si="8"/>
        <v>7.0424435270559638E-2</v>
      </c>
      <c r="J22" s="221">
        <f t="shared" si="8"/>
        <v>5.3870046601136812E-2</v>
      </c>
      <c r="K22" s="221">
        <f>IF(AND(K13&lt;&gt;"",K20&lt;&gt;""),((1+K20)*(1+K13)-1),"")</f>
        <v>6.6427294014317573E-2</v>
      </c>
      <c r="L22" s="221">
        <f>IF(AND(L14&lt;&gt;"",L21&lt;&gt;""),((1+L21)*(1+L14)-1),"")</f>
        <v>6.2668499897899022E-2</v>
      </c>
      <c r="M22" s="221">
        <f t="shared" ref="M22:P22" si="9">IF(AND(M14&lt;&gt;"",M21&lt;&gt;""),((1+M21)*(1+M14)-1),"")</f>
        <v>6.3225304468973453E-2</v>
      </c>
      <c r="N22" s="221">
        <f t="shared" si="9"/>
        <v>6.4112969894826621E-2</v>
      </c>
      <c r="O22" s="221">
        <f t="shared" si="9"/>
        <v>6.5132966255795344E-2</v>
      </c>
      <c r="P22" s="221">
        <f t="shared" si="9"/>
        <v>6.7115126549230464E-2</v>
      </c>
    </row>
    <row r="23" spans="2:16" ht="11.25" customHeight="1">
      <c r="B23" s="2"/>
      <c r="C23" s="67"/>
      <c r="D23" s="65"/>
      <c r="E23" s="65"/>
      <c r="F23" s="66"/>
      <c r="G23" s="72"/>
      <c r="H23" s="16"/>
      <c r="I23" s="16"/>
      <c r="J23" s="16"/>
      <c r="K23" s="16"/>
      <c r="L23" s="16"/>
      <c r="M23" s="16"/>
      <c r="N23" s="16"/>
      <c r="O23" s="16"/>
      <c r="P23" s="16"/>
    </row>
    <row r="24" spans="2:16" s="50" customFormat="1" ht="12.75" customHeight="1">
      <c r="B24" s="22" t="s">
        <v>18</v>
      </c>
      <c r="D24" s="51"/>
      <c r="E24" s="5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</sheetPr>
  <dimension ref="A1:W34"/>
  <sheetViews>
    <sheetView zoomScale="110" zoomScaleNormal="110" workbookViewId="0">
      <selection activeCell="H30" sqref="H30"/>
    </sheetView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9.140625" style="13" customWidth="1"/>
    <col min="7" max="7" width="2.85546875" style="13" customWidth="1"/>
    <col min="8" max="10" width="13.7109375" style="2" bestFit="1" customWidth="1"/>
    <col min="11" max="11" width="15.140625" style="2" bestFit="1" customWidth="1"/>
    <col min="12" max="12" width="13.7109375" style="2" bestFit="1" customWidth="1"/>
    <col min="13" max="14" width="2.85546875" style="2" customWidth="1"/>
    <col min="15" max="23" width="0" style="2" hidden="1" customWidth="1"/>
    <col min="24" max="16384" width="12.7109375" style="2" hidden="1"/>
  </cols>
  <sheetData>
    <row r="1" spans="2:12" ht="18" customHeight="1">
      <c r="B1" s="3" t="str">
        <f>'Input | General'!$B$1</f>
        <v>AGN(SA) 2026-31 Final decision - Capital expenditure sharing scheme model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  <c r="L1" s="218"/>
    </row>
    <row r="2" spans="2:12" ht="18" customHeight="1">
      <c r="B2" s="10" t="s">
        <v>57</v>
      </c>
      <c r="D2" s="10"/>
      <c r="E2" s="10"/>
      <c r="F2" s="10"/>
      <c r="G2" s="10"/>
    </row>
    <row r="3" spans="2:12" ht="3" customHeight="1">
      <c r="C3" s="1"/>
      <c r="D3" s="1"/>
      <c r="E3" s="1"/>
      <c r="F3" s="1"/>
      <c r="G3" s="1"/>
    </row>
    <row r="4" spans="2:12" s="8" customFormat="1" ht="12.75" customHeight="1">
      <c r="B4" s="22" t="s">
        <v>58</v>
      </c>
      <c r="D4" s="6"/>
      <c r="E4" s="6"/>
      <c r="F4" s="6"/>
      <c r="G4" s="6"/>
    </row>
    <row r="5" spans="2:12" ht="10.5" customHeight="1">
      <c r="D5" s="55"/>
      <c r="E5" s="55"/>
      <c r="F5" s="55"/>
      <c r="G5" s="55"/>
    </row>
    <row r="6" spans="2:12" s="55" customFormat="1" ht="10.5" customHeight="1">
      <c r="D6" s="62" t="s">
        <v>46</v>
      </c>
      <c r="E6" s="62" t="s">
        <v>47</v>
      </c>
      <c r="F6" s="62" t="s">
        <v>59</v>
      </c>
      <c r="G6" s="52"/>
      <c r="H6" s="124" t="str">
        <f>IF('Input | General'!D14="Yes",'Input | General'!D13,"n/a")</f>
        <v>2021–22</v>
      </c>
      <c r="I6" s="124" t="str">
        <f>IF('Input | General'!E14="Yes",'Input | General'!E13,"n/a")</f>
        <v>2022–23</v>
      </c>
      <c r="J6" s="124" t="str">
        <f>IF('Input | General'!F14="Yes",'Input | General'!F13,"n/a")</f>
        <v>2023–24</v>
      </c>
      <c r="K6" s="124" t="str">
        <f>IF('Input | General'!G14="Yes",'Input | General'!G13,"n/a")</f>
        <v>2024–25</v>
      </c>
      <c r="L6" s="124" t="str">
        <f>IF('Input | General'!H14="Yes",'Input | General'!H13,"n/a")</f>
        <v>2025–26</v>
      </c>
    </row>
    <row r="7" spans="2:12" s="55" customFormat="1" ht="10.5" customHeight="1"/>
    <row r="8" spans="2:12" ht="10.5" customHeight="1">
      <c r="C8" s="67" t="s">
        <v>60</v>
      </c>
      <c r="D8" s="65" t="s">
        <v>51</v>
      </c>
      <c r="E8" s="65" t="s">
        <v>61</v>
      </c>
      <c r="F8" s="65" t="str">
        <f>'Input | Inflation and Disc Rate'!$F$7</f>
        <v>2020–21</v>
      </c>
      <c r="G8" s="55"/>
      <c r="H8" s="110">
        <v>108.06491959008569</v>
      </c>
      <c r="I8" s="110">
        <v>109.7541844228479</v>
      </c>
      <c r="J8" s="110">
        <v>99.976053490148061</v>
      </c>
      <c r="K8" s="110">
        <v>102.08467217464474</v>
      </c>
      <c r="L8" s="110">
        <v>92.89717049437391</v>
      </c>
    </row>
    <row r="9" spans="2:12" ht="10.5" customHeight="1">
      <c r="C9" s="67" t="s">
        <v>62</v>
      </c>
      <c r="D9" s="65" t="s">
        <v>51</v>
      </c>
      <c r="E9" s="65" t="s">
        <v>61</v>
      </c>
      <c r="F9" s="65" t="str">
        <f>'Input | Inflation and Disc Rate'!$F$7</f>
        <v>2020–21</v>
      </c>
      <c r="G9" s="55"/>
      <c r="H9" s="110">
        <v>9.0093042417191363E-2</v>
      </c>
      <c r="I9" s="110">
        <v>9.0093042417191363E-2</v>
      </c>
      <c r="J9" s="110">
        <v>9.0093042417191363E-2</v>
      </c>
      <c r="K9" s="110">
        <v>9.0093042417191363E-2</v>
      </c>
      <c r="L9" s="110">
        <v>9.0093042417191363E-2</v>
      </c>
    </row>
    <row r="10" spans="2:12" ht="10.5" customHeight="1">
      <c r="C10" s="67" t="s">
        <v>63</v>
      </c>
      <c r="D10" s="65" t="s">
        <v>51</v>
      </c>
      <c r="E10" s="65" t="s">
        <v>61</v>
      </c>
      <c r="F10" s="65" t="str">
        <f>'Input | Inflation and Disc Rate'!$F$7</f>
        <v>2020–21</v>
      </c>
      <c r="G10" s="55"/>
      <c r="H10" s="110">
        <v>0</v>
      </c>
      <c r="I10" s="110">
        <v>0</v>
      </c>
      <c r="J10" s="110">
        <v>0</v>
      </c>
      <c r="K10" s="110">
        <v>0</v>
      </c>
      <c r="L10" s="110">
        <v>0</v>
      </c>
    </row>
    <row r="11" spans="2:12" ht="10.5" customHeight="1">
      <c r="C11" s="67" t="s">
        <v>64</v>
      </c>
      <c r="D11" s="65" t="s">
        <v>51</v>
      </c>
      <c r="E11" s="65" t="s">
        <v>61</v>
      </c>
      <c r="F11" s="65" t="str">
        <f>'Input | Inflation and Disc Rate'!$F$7</f>
        <v>2020–21</v>
      </c>
      <c r="G11" s="55"/>
      <c r="H11" s="110">
        <v>27.665861231342781</v>
      </c>
      <c r="I11" s="110">
        <v>24.528628812684321</v>
      </c>
      <c r="J11" s="110">
        <v>23.879914746705619</v>
      </c>
      <c r="K11" s="110">
        <v>24.659557606808004</v>
      </c>
      <c r="L11" s="110">
        <v>25.563898353157853</v>
      </c>
    </row>
    <row r="12" spans="2:12" s="55" customFormat="1" ht="10.5" customHeight="1">
      <c r="H12" s="54"/>
      <c r="I12" s="54"/>
      <c r="J12" s="54"/>
      <c r="K12" s="54"/>
      <c r="L12" s="54"/>
    </row>
    <row r="13" spans="2:12" ht="10.5" customHeight="1">
      <c r="C13" s="64" t="s">
        <v>65</v>
      </c>
      <c r="D13" s="63" t="s">
        <v>56</v>
      </c>
      <c r="E13" s="125" t="s">
        <v>61</v>
      </c>
      <c r="F13" s="126" t="str">
        <f>'Input | Inflation and Disc Rate'!$F$7</f>
        <v>2020–21</v>
      </c>
      <c r="G13" s="55"/>
      <c r="H13" s="159">
        <f>IF(H6="n/a", "", H8-H9-H10-H11)</f>
        <v>80.308965316325725</v>
      </c>
      <c r="I13" s="159">
        <f t="shared" ref="I13:L13" si="0">IF(I6="n/a", "", I8-I9-I10-I11)</f>
        <v>85.135462567746387</v>
      </c>
      <c r="J13" s="159">
        <f t="shared" si="0"/>
        <v>76.006045701025243</v>
      </c>
      <c r="K13" s="159">
        <f t="shared" si="0"/>
        <v>77.335021525419535</v>
      </c>
      <c r="L13" s="159">
        <f t="shared" si="0"/>
        <v>67.243179098798862</v>
      </c>
    </row>
    <row r="14" spans="2:12" ht="10.5" customHeight="1">
      <c r="D14" s="55"/>
      <c r="E14" s="55"/>
      <c r="F14" s="55"/>
      <c r="G14" s="55"/>
    </row>
    <row r="15" spans="2:12" s="8" customFormat="1" ht="12.75" customHeight="1">
      <c r="B15" s="61" t="s">
        <v>66</v>
      </c>
      <c r="D15" s="15"/>
      <c r="E15" s="15"/>
      <c r="F15" s="15"/>
      <c r="G15" s="15"/>
    </row>
    <row r="17" spans="2:12" ht="10.5" customHeight="1">
      <c r="B17" s="60"/>
      <c r="C17" s="55"/>
      <c r="D17" s="62" t="s">
        <v>46</v>
      </c>
      <c r="E17" s="62" t="s">
        <v>47</v>
      </c>
      <c r="F17" s="62" t="s">
        <v>59</v>
      </c>
      <c r="G17" s="52"/>
      <c r="H17" s="124" t="str">
        <f>H6</f>
        <v>2021–22</v>
      </c>
      <c r="I17" s="124" t="str">
        <f t="shared" ref="I17:L17" si="1">I6</f>
        <v>2022–23</v>
      </c>
      <c r="J17" s="124" t="str">
        <f t="shared" si="1"/>
        <v>2023–24</v>
      </c>
      <c r="K17" s="124" t="str">
        <f t="shared" si="1"/>
        <v>2024–25</v>
      </c>
      <c r="L17" s="124" t="str">
        <f t="shared" si="1"/>
        <v>2025–26</v>
      </c>
    </row>
    <row r="18" spans="2:12" ht="10.5" customHeight="1">
      <c r="B18" s="60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2:12" ht="10.5" customHeight="1">
      <c r="B19" s="60"/>
      <c r="C19" s="67" t="s">
        <v>67</v>
      </c>
      <c r="D19" s="65" t="s">
        <v>51</v>
      </c>
      <c r="E19" s="65" t="s">
        <v>61</v>
      </c>
      <c r="F19" s="65" t="s">
        <v>68</v>
      </c>
      <c r="G19" s="55"/>
      <c r="H19" s="110">
        <v>93.585303999999994</v>
      </c>
      <c r="I19" s="110">
        <v>98.713052000000005</v>
      </c>
      <c r="J19" s="110">
        <v>97.223055958482036</v>
      </c>
      <c r="K19" s="110">
        <v>127.37722012080857</v>
      </c>
      <c r="L19" s="110">
        <v>130.88696184765246</v>
      </c>
    </row>
    <row r="20" spans="2:12" ht="10.5" customHeight="1">
      <c r="B20" s="60"/>
      <c r="C20" s="67" t="s">
        <v>62</v>
      </c>
      <c r="D20" s="65" t="s">
        <v>51</v>
      </c>
      <c r="E20" s="65" t="s">
        <v>61</v>
      </c>
      <c r="F20" s="65" t="s">
        <v>68</v>
      </c>
      <c r="G20" s="99"/>
      <c r="H20" s="111">
        <v>4.2613719999999997</v>
      </c>
      <c r="I20" s="110">
        <v>5.780278</v>
      </c>
      <c r="J20" s="110">
        <v>3.8728001269853767</v>
      </c>
      <c r="K20" s="110">
        <v>5.8371520859855606</v>
      </c>
      <c r="L20" s="110">
        <v>4.3202610000000004</v>
      </c>
    </row>
    <row r="21" spans="2:12" ht="10.5" customHeight="1">
      <c r="B21" s="60"/>
      <c r="C21" s="98" t="s">
        <v>63</v>
      </c>
      <c r="D21" s="65" t="s">
        <v>51</v>
      </c>
      <c r="E21" s="65" t="s">
        <v>61</v>
      </c>
      <c r="F21" s="65" t="s">
        <v>68</v>
      </c>
      <c r="G21" s="99"/>
      <c r="H21" s="111">
        <v>7.0151789999999992E-2</v>
      </c>
      <c r="I21" s="110">
        <v>0</v>
      </c>
      <c r="J21" s="110">
        <v>0</v>
      </c>
      <c r="K21" s="110">
        <v>0</v>
      </c>
      <c r="L21" s="110">
        <v>0</v>
      </c>
    </row>
    <row r="22" spans="2:12" ht="10.5" customHeight="1">
      <c r="B22" s="60"/>
      <c r="C22" s="106" t="s">
        <v>64</v>
      </c>
      <c r="D22" s="65" t="s">
        <v>51</v>
      </c>
      <c r="E22" s="65" t="s">
        <v>61</v>
      </c>
      <c r="F22" s="65" t="s">
        <v>68</v>
      </c>
      <c r="G22" s="55"/>
      <c r="H22" s="111">
        <v>24.612468878513422</v>
      </c>
      <c r="I22" s="110">
        <v>27.300505422976588</v>
      </c>
      <c r="J22" s="110">
        <v>28.55599345639104</v>
      </c>
      <c r="K22" s="110">
        <v>33.424402921831238</v>
      </c>
      <c r="L22" s="110">
        <v>32.593317446314835</v>
      </c>
    </row>
    <row r="23" spans="2:12" ht="10.5" customHeight="1">
      <c r="B23" s="60"/>
      <c r="C23" s="55"/>
      <c r="D23" s="55"/>
      <c r="E23" s="55"/>
      <c r="F23" s="55"/>
      <c r="G23" s="55"/>
      <c r="H23" s="54"/>
      <c r="I23" s="54"/>
      <c r="J23" s="54"/>
      <c r="K23" s="54"/>
      <c r="L23" s="54"/>
    </row>
    <row r="24" spans="2:12" ht="10.5" customHeight="1">
      <c r="B24" s="60"/>
      <c r="C24" s="64" t="s">
        <v>69</v>
      </c>
      <c r="D24" s="63" t="s">
        <v>56</v>
      </c>
      <c r="E24" s="127" t="s">
        <v>61</v>
      </c>
      <c r="F24" s="127" t="s">
        <v>68</v>
      </c>
      <c r="G24" s="55"/>
      <c r="H24" s="159">
        <f>IF(H17="n/a", "", H19-H20-H21-H22)</f>
        <v>64.641311331486577</v>
      </c>
      <c r="I24" s="159">
        <f t="shared" ref="I24:L24" si="2">IF(I17="n/a", "", I19-I20-I21-I22)</f>
        <v>65.632268577023424</v>
      </c>
      <c r="J24" s="159">
        <f>IF(J17="n/a", "", J19-J20-J21-J22)</f>
        <v>64.794262375105617</v>
      </c>
      <c r="K24" s="159">
        <f t="shared" si="2"/>
        <v>88.115665112991763</v>
      </c>
      <c r="L24" s="159">
        <f t="shared" si="2"/>
        <v>93.973383401337628</v>
      </c>
    </row>
    <row r="25" spans="2:12" ht="10.5" customHeight="1">
      <c r="B25" s="60"/>
      <c r="C25" s="2"/>
      <c r="H25" s="217"/>
      <c r="I25" s="217"/>
      <c r="J25" s="217"/>
      <c r="K25" s="217"/>
      <c r="L25" s="217"/>
    </row>
    <row r="26" spans="2:12" s="8" customFormat="1" ht="12.75" customHeight="1">
      <c r="B26" s="61" t="s">
        <v>70</v>
      </c>
      <c r="D26" s="15"/>
      <c r="E26" s="15"/>
      <c r="F26" s="15"/>
      <c r="G26" s="15"/>
    </row>
    <row r="27" spans="2:12" ht="10.5" customHeight="1">
      <c r="D27" s="55"/>
      <c r="E27" s="55"/>
      <c r="F27" s="55"/>
      <c r="G27" s="55"/>
    </row>
    <row r="28" spans="2:12" ht="10.5" customHeight="1">
      <c r="D28" s="55"/>
      <c r="E28" s="55"/>
      <c r="F28" s="55"/>
      <c r="G28" s="55"/>
      <c r="H28" s="124" t="str">
        <f>'Input | General'!D19</f>
        <v>2026-27</v>
      </c>
      <c r="I28" s="124" t="str">
        <f>'Input | General'!E19</f>
        <v>2027–28</v>
      </c>
      <c r="J28" s="124" t="str">
        <f>'Input | General'!F19</f>
        <v>2028–29</v>
      </c>
      <c r="K28" s="124" t="str">
        <f>'Input | General'!G19</f>
        <v>2029–30</v>
      </c>
      <c r="L28" s="124" t="str">
        <f>'Input | General'!H19</f>
        <v>2030–31</v>
      </c>
    </row>
    <row r="29" spans="2:12" s="14" customFormat="1" ht="10.5" customHeight="1">
      <c r="C29" s="13"/>
      <c r="D29" s="55"/>
      <c r="E29" s="55"/>
      <c r="F29" s="55"/>
      <c r="G29" s="55"/>
    </row>
    <row r="30" spans="2:12" ht="11.25" customHeight="1">
      <c r="C30" s="71" t="s">
        <v>71</v>
      </c>
      <c r="D30" s="65" t="str">
        <f>'Input | General'!$D$6</f>
        <v>AGN(SA)</v>
      </c>
      <c r="E30" s="65" t="s">
        <v>61</v>
      </c>
      <c r="F30" s="65" t="s">
        <v>68</v>
      </c>
      <c r="G30" s="55"/>
      <c r="H30" s="110">
        <v>0</v>
      </c>
      <c r="I30" s="110">
        <v>0</v>
      </c>
      <c r="J30" s="110">
        <v>0</v>
      </c>
      <c r="K30" s="110">
        <v>0</v>
      </c>
      <c r="L30" s="110">
        <v>0</v>
      </c>
    </row>
    <row r="31" spans="2:12" ht="11.25" customHeight="1">
      <c r="C31" s="71" t="s">
        <v>71</v>
      </c>
      <c r="D31" s="53" t="s">
        <v>56</v>
      </c>
      <c r="E31" s="65" t="s">
        <v>61</v>
      </c>
      <c r="F31" s="65" t="str">
        <f>'Input | Inflation and Disc Rate'!$F$7</f>
        <v>2020–21</v>
      </c>
      <c r="G31" s="55"/>
      <c r="H31" s="157">
        <f>IF(H30&lt;&gt;"",H30/('Input | Inflation and Disc Rate'!K10*(1+'Input | Inflation and Disc Rate'!L9)^0.5),"")</f>
        <v>0</v>
      </c>
      <c r="I31" s="157">
        <f>IF(I30&lt;&gt;"",I30/('Input | Inflation and Disc Rate'!L10*(1+'Input | Inflation and Disc Rate'!M9)^0.5),"")</f>
        <v>0</v>
      </c>
      <c r="J31" s="157">
        <f>IF(J30&lt;&gt;"",J30/('Input | Inflation and Disc Rate'!M10*(1+'Input | Inflation and Disc Rate'!N9)^0.5),"")</f>
        <v>0</v>
      </c>
      <c r="K31" s="157">
        <f>IF(K30&lt;&gt;"",K30/('Input | Inflation and Disc Rate'!N10*(1+'Input | Inflation and Disc Rate'!O9)^0.5),"")</f>
        <v>0</v>
      </c>
      <c r="L31" s="157">
        <f>IF(L30&lt;&gt;"",L30/('Input | Inflation and Disc Rate'!O10*(1+'Input | Inflation and Disc Rate'!P9)^0.5),"")</f>
        <v>0</v>
      </c>
    </row>
    <row r="32" spans="2:12" ht="11.25" customHeight="1">
      <c r="C32" s="71" t="s">
        <v>71</v>
      </c>
      <c r="D32" s="53" t="s">
        <v>51</v>
      </c>
      <c r="E32" s="65" t="s">
        <v>61</v>
      </c>
      <c r="F32" s="65" t="s">
        <v>68</v>
      </c>
      <c r="G32" s="55"/>
      <c r="H32" s="157">
        <f>IF(H30&lt;&gt;"",H31*'Input | Inflation and Disc Rate'!K15*(1+'Input | Inflation and Disc Rate'!L14)^0.5,"")</f>
        <v>0</v>
      </c>
      <c r="I32" s="157">
        <f>IF(I30&lt;&gt;"",I31*'Input | Inflation and Disc Rate'!L15*(1+'Input | Inflation and Disc Rate'!M14)^0.5,"")</f>
        <v>0</v>
      </c>
      <c r="J32" s="157">
        <f>IF(J30&lt;&gt;"",J31*'Input | Inflation and Disc Rate'!M15*(1+'Input | Inflation and Disc Rate'!N14)^0.5,"")</f>
        <v>0</v>
      </c>
      <c r="K32" s="157">
        <f>IF(K30&lt;&gt;"",K31*'Input | Inflation and Disc Rate'!N15*(1+'Input | Inflation and Disc Rate'!O14)^0.5,"")</f>
        <v>0</v>
      </c>
      <c r="L32" s="157">
        <f>IF(L30&lt;&gt;"",L31*'Input | Inflation and Disc Rate'!O15*(1+'Input | Inflation and Disc Rate'!P14)^0.5,"")</f>
        <v>0</v>
      </c>
    </row>
    <row r="34" spans="2:2" s="50" customFormat="1" ht="12.75" customHeight="1">
      <c r="B34" s="22" t="s">
        <v>18</v>
      </c>
    </row>
  </sheetData>
  <conditionalFormatting sqref="H20:H22">
    <cfRule type="expression" dxfId="17" priority="4">
      <formula>IF($H$6&lt;&gt;"","FALSE","TRUE")</formula>
    </cfRule>
  </conditionalFormatting>
  <conditionalFormatting sqref="H8:L11">
    <cfRule type="expression" dxfId="16" priority="7">
      <formula>IF($H$6&lt;&gt;"","FALSE","TRUE")</formula>
    </cfRule>
  </conditionalFormatting>
  <conditionalFormatting sqref="H19:L19">
    <cfRule type="expression" dxfId="15" priority="16">
      <formula>IF($H$6&lt;&gt;"","FALSE","TRUE")</formula>
    </cfRule>
  </conditionalFormatting>
  <conditionalFormatting sqref="H30:L30">
    <cfRule type="expression" dxfId="14" priority="5">
      <formula>IF($H$6&lt;&gt;"","FALSE","TRUE")</formula>
    </cfRule>
  </conditionalFormatting>
  <conditionalFormatting sqref="I20:L22">
    <cfRule type="expression" dxfId="13" priority="3">
      <formula>IF($H$6&lt;&gt;"","FALSE","TRUE")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A410-CA49-447E-A60C-B24619D33814}">
  <sheetPr>
    <tabColor rgb="FFFFCC99"/>
  </sheetPr>
  <dimension ref="A1:X61"/>
  <sheetViews>
    <sheetView zoomScale="110" zoomScaleNormal="110" workbookViewId="0"/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25.28515625" style="13" customWidth="1"/>
    <col min="6" max="6" width="9.140625" style="13" customWidth="1"/>
    <col min="7" max="7" width="13.42578125" style="13" customWidth="1"/>
    <col min="8" max="9" width="13.7109375" style="2" bestFit="1" customWidth="1"/>
    <col min="10" max="10" width="16.28515625" style="2" customWidth="1"/>
    <col min="11" max="12" width="13.7109375" style="2" bestFit="1" customWidth="1"/>
    <col min="13" max="13" width="2.85546875" style="2" customWidth="1"/>
    <col min="14" max="14" width="16.7109375" style="2" bestFit="1" customWidth="1"/>
    <col min="15" max="15" width="20.5703125" style="2" bestFit="1" customWidth="1"/>
    <col min="16" max="24" width="0" style="2" hidden="1" customWidth="1"/>
    <col min="25" max="16384" width="12.7109375" style="2" hidden="1"/>
  </cols>
  <sheetData>
    <row r="1" spans="2:12" ht="18" customHeight="1">
      <c r="B1" s="3" t="str">
        <f>'Input | General'!$B$1</f>
        <v>AGN(SA) 2026-31 Final decision - Capital expenditure sharing scheme model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</row>
    <row r="2" spans="2:12" ht="18" customHeight="1">
      <c r="B2" s="10" t="s">
        <v>72</v>
      </c>
      <c r="D2" s="10"/>
      <c r="E2" s="142"/>
      <c r="F2" s="10"/>
      <c r="G2" s="10"/>
    </row>
    <row r="3" spans="2:12" ht="13.5" customHeight="1">
      <c r="C3" s="1"/>
      <c r="D3" s="1"/>
      <c r="E3" s="1"/>
      <c r="F3" s="1"/>
      <c r="G3" s="1"/>
    </row>
    <row r="4" spans="2:12" s="8" customFormat="1" ht="12.75" customHeight="1">
      <c r="B4" s="22" t="s">
        <v>73</v>
      </c>
      <c r="D4" s="6"/>
      <c r="E4" s="6"/>
      <c r="F4" s="6"/>
      <c r="G4" s="6"/>
    </row>
    <row r="5" spans="2:12" ht="10.5" customHeight="1">
      <c r="D5" s="55"/>
      <c r="E5" s="55"/>
      <c r="F5" s="55"/>
      <c r="G5" s="55"/>
    </row>
    <row r="6" spans="2:12" s="55" customFormat="1" ht="10.5" customHeight="1">
      <c r="D6" s="62" t="s">
        <v>46</v>
      </c>
      <c r="E6" s="62" t="s">
        <v>47</v>
      </c>
      <c r="F6" s="62" t="s">
        <v>59</v>
      </c>
      <c r="G6" s="124" t="s">
        <v>74</v>
      </c>
      <c r="H6" s="124" t="str">
        <f>IF('Input | General'!D16="Yes",'Input | General'!D13,"n/a")</f>
        <v>2021–22</v>
      </c>
      <c r="I6" s="124" t="str">
        <f>IF('Input | General'!E16="Yes",'Input | General'!E13,"n/a")</f>
        <v>2022–23</v>
      </c>
      <c r="J6" s="124" t="str">
        <f>IF('Input | General'!F16="Yes",'Input | General'!F13,"n/a")</f>
        <v>2023–24</v>
      </c>
      <c r="K6" s="124" t="str">
        <f>IF('Input | General'!G16="Yes",'Input | General'!G13,"n/a")</f>
        <v>2024–25</v>
      </c>
      <c r="L6" s="124" t="str">
        <f>IF('Input | General'!H16="Yes",'Input | General'!H13,"n/a")</f>
        <v>n/a</v>
      </c>
    </row>
    <row r="7" spans="2:12" s="55" customFormat="1" ht="10.5" customHeight="1">
      <c r="C7" s="143" t="s">
        <v>75</v>
      </c>
    </row>
    <row r="8" spans="2:12" s="55" customFormat="1" ht="10.5" customHeight="1">
      <c r="H8" s="144"/>
    </row>
    <row r="9" spans="2:12" ht="10.5" customHeight="1">
      <c r="C9" s="145" t="s">
        <v>76</v>
      </c>
      <c r="D9" s="65" t="str">
        <f>'Input | General'!$D$6</f>
        <v>AGN(SA)</v>
      </c>
      <c r="E9" s="65" t="s">
        <v>77</v>
      </c>
      <c r="F9" s="65" t="s">
        <v>78</v>
      </c>
      <c r="G9" s="146">
        <v>461048</v>
      </c>
      <c r="H9" s="146">
        <v>466417</v>
      </c>
      <c r="I9" s="146">
        <f>H10</f>
        <v>471641</v>
      </c>
      <c r="J9" s="146">
        <v>476885</v>
      </c>
      <c r="K9" s="146">
        <v>483336</v>
      </c>
      <c r="L9" s="146"/>
    </row>
    <row r="10" spans="2:12" s="55" customFormat="1" ht="10.5" customHeight="1">
      <c r="C10" s="145" t="s">
        <v>79</v>
      </c>
      <c r="D10" s="65" t="str">
        <f>'Input | General'!$D$6</f>
        <v>AGN(SA)</v>
      </c>
      <c r="E10" s="65" t="s">
        <v>77</v>
      </c>
      <c r="F10" s="65" t="s">
        <v>78</v>
      </c>
      <c r="G10" s="146">
        <v>466417</v>
      </c>
      <c r="H10" s="146">
        <v>471641</v>
      </c>
      <c r="I10" s="146">
        <v>476885</v>
      </c>
      <c r="J10" s="146">
        <v>483336</v>
      </c>
      <c r="K10" s="146">
        <v>489661</v>
      </c>
      <c r="L10" s="146"/>
    </row>
    <row r="11" spans="2:12" s="55" customFormat="1" ht="10.5" customHeight="1">
      <c r="H11" s="147"/>
      <c r="I11" s="147"/>
      <c r="J11" s="147"/>
      <c r="K11" s="147"/>
      <c r="L11" s="147"/>
    </row>
    <row r="12" spans="2:12" ht="10.5" customHeight="1">
      <c r="C12" s="64" t="s">
        <v>80</v>
      </c>
      <c r="D12" s="63" t="s">
        <v>56</v>
      </c>
      <c r="E12" s="125" t="s">
        <v>77</v>
      </c>
      <c r="F12" s="126" t="s">
        <v>78</v>
      </c>
      <c r="G12" s="112">
        <f>IFERROR(AVERAGE(G9:G10),NA())</f>
        <v>463732.5</v>
      </c>
      <c r="H12" s="112">
        <f>IFERROR(AVERAGE(H9:H10),NA())</f>
        <v>469029</v>
      </c>
      <c r="I12" s="112">
        <f>IFERROR(AVERAGE(I9:I10),NA())</f>
        <v>474263</v>
      </c>
      <c r="J12" s="112">
        <f>IFERROR(AVERAGE(J9:J10),NA())</f>
        <v>480110.5</v>
      </c>
      <c r="K12" s="213">
        <f>IFERROR(AVERAGE(K9:K10),NA())</f>
        <v>486498.5</v>
      </c>
      <c r="L12" s="112"/>
    </row>
    <row r="13" spans="2:12" s="55" customFormat="1" ht="20.25" customHeight="1"/>
    <row r="14" spans="2:12" s="55" customFormat="1" ht="10.5" customHeight="1"/>
    <row r="15" spans="2:12" ht="10.5" customHeight="1">
      <c r="B15" s="60"/>
      <c r="C15" s="145" t="str">
        <f>"Conversion to per "&amp;H15&amp;" customer basis"</f>
        <v>Conversion to per 1000 customer basis</v>
      </c>
      <c r="D15" s="151" t="s">
        <v>81</v>
      </c>
      <c r="E15" s="65" t="s">
        <v>77</v>
      </c>
      <c r="F15" s="65" t="s">
        <v>78</v>
      </c>
      <c r="H15" s="107">
        <v>1000</v>
      </c>
    </row>
    <row r="18" spans="2:12" s="55" customFormat="1" ht="10.5" customHeight="1">
      <c r="C18" s="143" t="s">
        <v>82</v>
      </c>
      <c r="H18" s="148"/>
      <c r="I18" s="148"/>
      <c r="J18" s="148"/>
    </row>
    <row r="19" spans="2:12" s="55" customFormat="1" ht="10.5" customHeight="1">
      <c r="G19" s="149"/>
      <c r="H19" s="149"/>
      <c r="I19" s="149"/>
      <c r="J19" s="149"/>
      <c r="K19" s="149"/>
    </row>
    <row r="20" spans="2:12" ht="10.5" customHeight="1">
      <c r="C20" s="145" t="s">
        <v>76</v>
      </c>
      <c r="D20" s="65" t="str">
        <f>'Input | General'!$D$6</f>
        <v>AGN(SA)</v>
      </c>
      <c r="E20" s="65" t="s">
        <v>83</v>
      </c>
      <c r="F20" s="65" t="s">
        <v>78</v>
      </c>
      <c r="G20" s="146">
        <v>8206.0499999999993</v>
      </c>
      <c r="H20" s="146">
        <v>8270</v>
      </c>
      <c r="I20" s="146">
        <f>H21</f>
        <v>8316.5</v>
      </c>
      <c r="J20" s="146">
        <f>I21</f>
        <v>8410.6806569600067</v>
      </c>
      <c r="K20" s="146">
        <f>J21</f>
        <v>8454.8605499997066</v>
      </c>
      <c r="L20" s="146"/>
    </row>
    <row r="21" spans="2:12" s="55" customFormat="1" ht="10.5" customHeight="1">
      <c r="C21" s="145" t="s">
        <v>79</v>
      </c>
      <c r="D21" s="65" t="str">
        <f>'Input | General'!$D$6</f>
        <v>AGN(SA)</v>
      </c>
      <c r="E21" s="65" t="s">
        <v>84</v>
      </c>
      <c r="F21" s="65" t="s">
        <v>78</v>
      </c>
      <c r="G21" s="146">
        <v>8270</v>
      </c>
      <c r="H21" s="146">
        <v>8316.5</v>
      </c>
      <c r="I21" s="146">
        <v>8410.6806569600067</v>
      </c>
      <c r="J21" s="146">
        <v>8454.8605499997066</v>
      </c>
      <c r="K21" s="146">
        <v>8545.6606899995386</v>
      </c>
      <c r="L21" s="146"/>
    </row>
    <row r="22" spans="2:12" s="55" customFormat="1" ht="10.5" customHeight="1">
      <c r="H22" s="148"/>
      <c r="I22" s="148"/>
      <c r="J22" s="144"/>
    </row>
    <row r="23" spans="2:12" ht="10.5" customHeight="1">
      <c r="C23" s="64" t="s">
        <v>85</v>
      </c>
      <c r="D23" s="63" t="s">
        <v>56</v>
      </c>
      <c r="E23" s="125" t="s">
        <v>84</v>
      </c>
      <c r="F23" s="126" t="s">
        <v>78</v>
      </c>
      <c r="G23" s="112">
        <f>IFERROR(AVERAGE(G20:G21),NA())</f>
        <v>8238.0249999999996</v>
      </c>
      <c r="H23" s="112">
        <f>IFERROR(AVERAGE(H20:H21),NA())</f>
        <v>8293.25</v>
      </c>
      <c r="I23" s="112">
        <f>IFERROR(AVERAGE(I20:I21),NA())</f>
        <v>8363.5903284800042</v>
      </c>
      <c r="J23" s="112">
        <f>IFERROR(AVERAGE(J20:J21),NA())</f>
        <v>8432.7706034798575</v>
      </c>
      <c r="K23" s="112">
        <f>IFERROR(AVERAGE(K20:K21),NA())</f>
        <v>8500.2606199996226</v>
      </c>
      <c r="L23" s="112"/>
    </row>
    <row r="24" spans="2:12" s="55" customFormat="1" ht="10.5" customHeight="1">
      <c r="H24" s="149"/>
      <c r="I24" s="149"/>
      <c r="J24" s="149"/>
    </row>
    <row r="25" spans="2:12" s="8" customFormat="1" ht="12.75" customHeight="1">
      <c r="B25" s="22" t="s">
        <v>86</v>
      </c>
      <c r="D25" s="6"/>
      <c r="E25" s="6"/>
      <c r="F25" s="6"/>
      <c r="G25" s="6"/>
    </row>
    <row r="26" spans="2:12" ht="10.5" customHeight="1">
      <c r="D26" s="55"/>
      <c r="E26" s="55"/>
      <c r="F26" s="55"/>
      <c r="G26" s="55"/>
    </row>
    <row r="27" spans="2:12" s="55" customFormat="1" ht="10.5" customHeight="1">
      <c r="D27" s="62" t="s">
        <v>46</v>
      </c>
      <c r="E27" s="62" t="s">
        <v>47</v>
      </c>
      <c r="F27" s="62" t="s">
        <v>59</v>
      </c>
      <c r="G27" s="124" t="s">
        <v>74</v>
      </c>
      <c r="H27" s="124" t="str">
        <f>H6</f>
        <v>2021–22</v>
      </c>
      <c r="I27" s="124" t="str">
        <f>I6</f>
        <v>2022–23</v>
      </c>
      <c r="J27" s="124" t="str">
        <f>J6</f>
        <v>2023–24</v>
      </c>
      <c r="K27" s="124" t="str">
        <f>K6</f>
        <v>2024–25</v>
      </c>
      <c r="L27" s="124" t="str">
        <f>L6</f>
        <v>n/a</v>
      </c>
    </row>
    <row r="28" spans="2:12" s="55" customFormat="1" ht="10.5" customHeight="1">
      <c r="C28" s="143" t="s">
        <v>87</v>
      </c>
    </row>
    <row r="29" spans="2:12" s="55" customFormat="1" ht="10.5" customHeight="1">
      <c r="H29" s="144"/>
    </row>
    <row r="30" spans="2:12" s="55" customFormat="1" ht="10.5" customHeight="1">
      <c r="C30" s="145" t="s">
        <v>88</v>
      </c>
      <c r="D30" s="65" t="str">
        <f>'Input | General'!$D$6</f>
        <v>AGN(SA)</v>
      </c>
      <c r="E30" s="65" t="s">
        <v>89</v>
      </c>
      <c r="F30" s="65" t="s">
        <v>78</v>
      </c>
      <c r="G30" s="146">
        <v>290</v>
      </c>
      <c r="H30" s="146">
        <v>247</v>
      </c>
      <c r="I30" s="146">
        <v>267</v>
      </c>
      <c r="J30" s="146">
        <v>317</v>
      </c>
      <c r="K30" s="146">
        <v>277</v>
      </c>
      <c r="L30" s="146"/>
    </row>
    <row r="31" spans="2:12" s="55" customFormat="1" ht="10.5" customHeight="1">
      <c r="C31" s="145" t="s">
        <v>90</v>
      </c>
      <c r="D31" s="65" t="str">
        <f>'Input | General'!$D$6</f>
        <v>AGN(SA)</v>
      </c>
      <c r="E31" s="65" t="s">
        <v>91</v>
      </c>
      <c r="F31" s="65" t="s">
        <v>78</v>
      </c>
      <c r="G31" s="146">
        <v>561585</v>
      </c>
      <c r="H31" s="146">
        <v>322835</v>
      </c>
      <c r="I31" s="146">
        <v>151415</v>
      </c>
      <c r="J31" s="146">
        <v>123166</v>
      </c>
      <c r="K31" s="146">
        <v>144222</v>
      </c>
      <c r="L31" s="148"/>
    </row>
    <row r="33" spans="3:12" s="55" customFormat="1" ht="10.5" customHeight="1">
      <c r="C33" s="143" t="s">
        <v>92</v>
      </c>
    </row>
    <row r="34" spans="3:12" s="55" customFormat="1" ht="10.5" customHeight="1">
      <c r="H34" s="144"/>
    </row>
    <row r="35" spans="3:12" s="55" customFormat="1" ht="10.5" customHeight="1">
      <c r="C35" s="145" t="s">
        <v>93</v>
      </c>
      <c r="D35" s="65" t="str">
        <f>'Input | General'!$D$6</f>
        <v>AGN(SA)</v>
      </c>
      <c r="E35" s="65" t="s">
        <v>94</v>
      </c>
      <c r="F35" s="65" t="s">
        <v>78</v>
      </c>
      <c r="G35" s="146">
        <v>430</v>
      </c>
      <c r="H35" s="146">
        <v>498</v>
      </c>
      <c r="I35" s="146">
        <v>317</v>
      </c>
      <c r="J35" s="146">
        <v>251</v>
      </c>
      <c r="K35" s="146">
        <v>209</v>
      </c>
      <c r="L35" s="146"/>
    </row>
    <row r="36" spans="3:12" s="55" customFormat="1" ht="10.5" customHeight="1">
      <c r="C36" s="145" t="s">
        <v>95</v>
      </c>
      <c r="D36" s="65" t="str">
        <f>'Input | General'!$D$6</f>
        <v>AGN(SA)</v>
      </c>
      <c r="E36" s="65" t="s">
        <v>94</v>
      </c>
      <c r="F36" s="65" t="s">
        <v>78</v>
      </c>
      <c r="G36" s="146">
        <v>857</v>
      </c>
      <c r="H36" s="146">
        <v>1026</v>
      </c>
      <c r="I36" s="146">
        <v>841</v>
      </c>
      <c r="J36" s="146">
        <v>757</v>
      </c>
      <c r="K36" s="146">
        <v>785</v>
      </c>
      <c r="L36" s="146"/>
    </row>
    <row r="37" spans="3:12" s="55" customFormat="1" ht="10.5" customHeight="1">
      <c r="C37" s="145" t="s">
        <v>96</v>
      </c>
      <c r="D37" s="65" t="str">
        <f>'Input | General'!$D$6</f>
        <v>AGN(SA)</v>
      </c>
      <c r="E37" s="65" t="s">
        <v>94</v>
      </c>
      <c r="F37" s="65" t="s">
        <v>78</v>
      </c>
      <c r="G37" s="146">
        <v>448</v>
      </c>
      <c r="H37" s="146">
        <v>4204</v>
      </c>
      <c r="I37" s="146">
        <v>3401</v>
      </c>
      <c r="J37" s="146">
        <v>3941</v>
      </c>
      <c r="K37" s="146">
        <v>3994</v>
      </c>
      <c r="L37" s="146"/>
    </row>
    <row r="38" spans="3:12" s="55" customFormat="1" ht="10.5" customHeight="1">
      <c r="H38" s="144"/>
      <c r="J38" s="150"/>
    </row>
    <row r="39" spans="3:12" s="55" customFormat="1" ht="10.5" hidden="1" customHeight="1">
      <c r="C39" s="143" t="s">
        <v>97</v>
      </c>
      <c r="H39" s="144"/>
      <c r="J39" s="150"/>
    </row>
    <row r="40" spans="3:12" s="55" customFormat="1" ht="10.5" hidden="1" customHeight="1">
      <c r="H40" s="144"/>
      <c r="J40" s="150"/>
    </row>
    <row r="41" spans="3:12" s="55" customFormat="1" ht="10.5" hidden="1" customHeight="1">
      <c r="C41" s="145" t="s">
        <v>97</v>
      </c>
      <c r="D41" s="65" t="str">
        <f>'Input | General'!$D$6</f>
        <v>AGN(SA)</v>
      </c>
      <c r="E41" s="65" t="s">
        <v>94</v>
      </c>
      <c r="F41" s="65" t="s">
        <v>78</v>
      </c>
      <c r="H41" s="200"/>
      <c r="I41" s="200"/>
      <c r="J41" s="200"/>
      <c r="K41" s="200"/>
    </row>
    <row r="42" spans="3:12" s="55" customFormat="1" ht="10.5" hidden="1" customHeight="1"/>
    <row r="43" spans="3:12" s="55" customFormat="1" ht="10.5" hidden="1" customHeight="1">
      <c r="C43" s="143" t="s">
        <v>98</v>
      </c>
    </row>
    <row r="44" spans="3:12" s="55" customFormat="1" ht="10.5" hidden="1" customHeight="1"/>
    <row r="45" spans="3:12" s="55" customFormat="1" ht="10.5" hidden="1" customHeight="1">
      <c r="C45" s="145" t="s">
        <v>99</v>
      </c>
      <c r="D45" s="65" t="str">
        <f>'Input | General'!$D$6</f>
        <v>AGN(SA)</v>
      </c>
      <c r="E45" s="65" t="s">
        <v>94</v>
      </c>
      <c r="F45" s="65" t="s">
        <v>78</v>
      </c>
      <c r="H45" s="200"/>
      <c r="I45" s="200"/>
      <c r="J45" s="200"/>
      <c r="K45" s="200"/>
    </row>
    <row r="46" spans="3:12" s="55" customFormat="1" ht="10.5" hidden="1" customHeight="1">
      <c r="C46" s="145" t="s">
        <v>100</v>
      </c>
      <c r="D46" s="65" t="str">
        <f>'Input | General'!$D$6</f>
        <v>AGN(SA)</v>
      </c>
      <c r="E46" s="65" t="s">
        <v>94</v>
      </c>
      <c r="F46" s="65" t="s">
        <v>78</v>
      </c>
      <c r="H46" s="200"/>
      <c r="I46" s="200"/>
      <c r="J46" s="200"/>
      <c r="K46" s="200"/>
    </row>
    <row r="47" spans="3:12" s="55" customFormat="1" ht="10.5" hidden="1" customHeight="1">
      <c r="C47" s="145" t="s">
        <v>101</v>
      </c>
      <c r="D47" s="65" t="str">
        <f>'Input | General'!$D$6</f>
        <v>AGN(SA)</v>
      </c>
      <c r="E47" s="65" t="s">
        <v>94</v>
      </c>
      <c r="F47" s="65" t="s">
        <v>78</v>
      </c>
      <c r="H47" s="200"/>
      <c r="I47" s="200"/>
      <c r="J47" s="200"/>
      <c r="K47" s="200"/>
    </row>
    <row r="49" spans="2:15" s="8" customFormat="1" ht="12.75" customHeight="1">
      <c r="B49" s="61" t="s">
        <v>102</v>
      </c>
      <c r="D49" s="15"/>
      <c r="E49" s="15"/>
      <c r="F49" s="15"/>
      <c r="G49" s="15"/>
    </row>
    <row r="50" spans="2:15" ht="10.5" customHeight="1">
      <c r="B50" s="60"/>
      <c r="C50" s="2"/>
    </row>
    <row r="51" spans="2:15" ht="10.5" customHeight="1">
      <c r="B51" s="60"/>
      <c r="C51" s="55"/>
      <c r="D51" s="62" t="s">
        <v>46</v>
      </c>
      <c r="E51" s="62" t="s">
        <v>47</v>
      </c>
      <c r="F51" s="62" t="s">
        <v>59</v>
      </c>
      <c r="G51" s="124" t="s">
        <v>74</v>
      </c>
      <c r="H51" s="124" t="str">
        <f>H6</f>
        <v>2021–22</v>
      </c>
      <c r="I51" s="124" t="str">
        <f>I6</f>
        <v>2022–23</v>
      </c>
      <c r="J51" s="124" t="str">
        <f>J6</f>
        <v>2023–24</v>
      </c>
      <c r="K51" s="124" t="str">
        <f>K6</f>
        <v>2024–25</v>
      </c>
      <c r="L51" s="124" t="str">
        <f>L6</f>
        <v>n/a</v>
      </c>
      <c r="M51" s="55"/>
      <c r="N51" s="124" t="s">
        <v>103</v>
      </c>
      <c r="O51" s="124" t="s">
        <v>104</v>
      </c>
    </row>
    <row r="52" spans="2:15" ht="10.5" customHeight="1">
      <c r="B52" s="60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2:15" ht="10.5" customHeight="1">
      <c r="B53" s="60"/>
      <c r="C53" s="145" t="s">
        <v>105</v>
      </c>
      <c r="D53" s="65" t="s">
        <v>56</v>
      </c>
      <c r="E53" s="65" t="s">
        <v>106</v>
      </c>
      <c r="F53" s="65" t="s">
        <v>78</v>
      </c>
      <c r="G53" s="152">
        <f>IF(G$51="n/a","",G30/G$12*$H$15)</f>
        <v>0.62536052573412482</v>
      </c>
      <c r="H53" s="152">
        <f>IF(H$51="n/a","",H30/H$12*$H$15)</f>
        <v>0.52661988917529623</v>
      </c>
      <c r="I53" s="152">
        <f t="shared" ref="I53:L53" si="0">IF(I$51="n/a","",I30/I$12*$H$15)</f>
        <v>0.56297876916394485</v>
      </c>
      <c r="J53" s="152">
        <f t="shared" si="0"/>
        <v>0.6602646682378327</v>
      </c>
      <c r="K53" s="152">
        <f>IF(K$51="n/a","",K30/K$12*$H$15)</f>
        <v>0.5693748284938186</v>
      </c>
      <c r="L53" s="152" t="str">
        <f t="shared" si="0"/>
        <v/>
      </c>
      <c r="N53" s="152">
        <f>AVERAGEIF(H53:L53,"&lt;&gt;#N/A")</f>
        <v>0.57980953876772312</v>
      </c>
      <c r="O53" s="152">
        <f>AVERAGEIF(G53:K53,"&lt;&gt;#N/A")</f>
        <v>0.58891973616100346</v>
      </c>
    </row>
    <row r="54" spans="2:15" ht="10.5" customHeight="1">
      <c r="B54" s="60"/>
      <c r="C54" s="145" t="s">
        <v>107</v>
      </c>
      <c r="D54" s="65" t="s">
        <v>56</v>
      </c>
      <c r="E54" s="65" t="s">
        <v>108</v>
      </c>
      <c r="F54" s="65" t="s">
        <v>78</v>
      </c>
      <c r="G54" s="152">
        <f>IF(G$51="n/a","",G31/G$12*$H$15)</f>
        <v>1211.0106580841327</v>
      </c>
      <c r="H54" s="152">
        <f>IF(H$51="n/a","",H31/H$12*$H$15)</f>
        <v>688.30498753808399</v>
      </c>
      <c r="I54" s="152">
        <f t="shared" ref="I54:L54" si="1">IF(I$51="n/a","",I31/I$12*$H$15)</f>
        <v>319.26378401857198</v>
      </c>
      <c r="J54" s="152">
        <f t="shared" si="1"/>
        <v>256.53677642959275</v>
      </c>
      <c r="K54" s="152">
        <f t="shared" si="1"/>
        <v>296.44901268965884</v>
      </c>
      <c r="L54" s="152" t="str">
        <f t="shared" si="1"/>
        <v/>
      </c>
      <c r="N54" s="152">
        <f>AVERAGEIF(H54:L54,"&lt;&gt;#N/A")</f>
        <v>390.13864016897685</v>
      </c>
      <c r="O54" s="152">
        <f>AVERAGEIF(G54:K54,"&lt;&gt;#N/A")</f>
        <v>554.31304375200818</v>
      </c>
    </row>
    <row r="55" spans="2:15" ht="10.5" customHeight="1">
      <c r="B55" s="60"/>
      <c r="C55" s="145" t="s">
        <v>109</v>
      </c>
      <c r="D55" s="65" t="s">
        <v>56</v>
      </c>
      <c r="E55" s="65" t="s">
        <v>110</v>
      </c>
      <c r="F55" s="65" t="s">
        <v>78</v>
      </c>
      <c r="G55" s="152">
        <f>IF(G$51="n/a","",G35/G$23)</f>
        <v>5.219697682393535E-2</v>
      </c>
      <c r="H55" s="152">
        <f>IF(H$51="n/a","",H35/H$23)</f>
        <v>6.0048834895849036E-2</v>
      </c>
      <c r="I55" s="152">
        <f t="shared" ref="I55:K55" si="2">IF(I$51="n/a","",I35/I$23)</f>
        <v>3.7902382535469244E-2</v>
      </c>
      <c r="J55" s="152">
        <f t="shared" si="2"/>
        <v>2.9764831963580585E-2</v>
      </c>
      <c r="K55" s="152">
        <f t="shared" si="2"/>
        <v>2.4587481413012167E-2</v>
      </c>
      <c r="L55" s="152" t="str">
        <f t="shared" ref="L55:L56" si="3">IF(L$51="n/a","",SUM(L35,L36)/L$23)</f>
        <v/>
      </c>
      <c r="N55" s="152">
        <f>AVERAGEIF(H55:L55,"&lt;&gt;#N/A")</f>
        <v>3.8075882701977759E-2</v>
      </c>
      <c r="O55" s="152">
        <f>AVERAGEIF(G55:K55,"&lt;&gt;#N/A")</f>
        <v>4.0900101526369283E-2</v>
      </c>
    </row>
    <row r="56" spans="2:15" ht="10.5" customHeight="1">
      <c r="B56" s="60"/>
      <c r="C56" s="145" t="s">
        <v>111</v>
      </c>
      <c r="D56" s="65" t="s">
        <v>56</v>
      </c>
      <c r="E56" s="65" t="s">
        <v>112</v>
      </c>
      <c r="F56" s="65" t="s">
        <v>78</v>
      </c>
      <c r="G56" s="152">
        <f>IF(G$51="n/a","",G36/G$12*$H$15)</f>
        <v>1.8480481743246375</v>
      </c>
      <c r="H56" s="152">
        <f>IF(H$51="n/a","",H36/H$12*$H$15)</f>
        <v>2.1874980011896921</v>
      </c>
      <c r="I56" s="152">
        <f t="shared" ref="I56:K56" si="4">IF(I$51="n/a","",I36/I$12*$H$15)</f>
        <v>1.773277696130628</v>
      </c>
      <c r="J56" s="152">
        <f t="shared" si="4"/>
        <v>1.5767203591673167</v>
      </c>
      <c r="K56" s="152">
        <f t="shared" si="4"/>
        <v>1.6135712648651537</v>
      </c>
      <c r="L56" s="152" t="str">
        <f t="shared" si="3"/>
        <v/>
      </c>
      <c r="N56" s="152">
        <f>AVERAGEIF(H56:L56,"&lt;&gt;#N/A")</f>
        <v>1.7877668303381977</v>
      </c>
      <c r="O56" s="152">
        <f>AVERAGEIF(G56:K56,"&lt;&gt;#N/A")</f>
        <v>1.7998230991354855</v>
      </c>
    </row>
    <row r="57" spans="2:15" ht="10.5" customHeight="1">
      <c r="B57" s="60"/>
      <c r="C57" s="181" t="s">
        <v>113</v>
      </c>
      <c r="D57" s="65" t="s">
        <v>56</v>
      </c>
      <c r="E57" s="65" t="s">
        <v>112</v>
      </c>
      <c r="F57" s="65" t="s">
        <v>78</v>
      </c>
      <c r="G57" s="152">
        <f>IF(G$51="n/a","",G37/G$12*$H$15)</f>
        <v>0.96607419147892371</v>
      </c>
      <c r="H57" s="152">
        <f>IF(H$51="n/a","",H37/H$12*$H$15)</f>
        <v>8.9631984376232587</v>
      </c>
      <c r="I57" s="152">
        <f>IF(I$51="n/a","",I37/I$12*$H$15)</f>
        <v>7.1711265690133956</v>
      </c>
      <c r="J57" s="152">
        <f>IF(J$51="n/a","",J37/J$12*$H$15)</f>
        <v>8.2085269953479454</v>
      </c>
      <c r="K57" s="152">
        <f t="shared" ref="K57:L57" si="5">IF(K$51="n/a","",K37/K$12*$H$15)</f>
        <v>8.2096861552502212</v>
      </c>
      <c r="L57" s="152" t="str">
        <f t="shared" si="5"/>
        <v/>
      </c>
      <c r="N57" s="152">
        <f>AVERAGEIF(H57:L57,"&lt;&gt;#N/A")</f>
        <v>8.1381345393087052</v>
      </c>
      <c r="O57" s="152">
        <f>AVERAGEIF(G57:K57,"&lt;&gt;#N/A")</f>
        <v>6.7037224697427487</v>
      </c>
    </row>
    <row r="58" spans="2:15" ht="10.5" hidden="1" customHeight="1">
      <c r="B58" s="60"/>
      <c r="C58" s="197" t="s">
        <v>114</v>
      </c>
      <c r="D58" s="198" t="s">
        <v>56</v>
      </c>
      <c r="E58" s="198" t="s">
        <v>115</v>
      </c>
      <c r="F58" s="198" t="s">
        <v>78</v>
      </c>
      <c r="G58" s="199"/>
      <c r="H58" s="189"/>
      <c r="I58" s="189"/>
      <c r="J58" s="189"/>
      <c r="K58" s="189"/>
      <c r="L58" s="189"/>
      <c r="M58" s="195"/>
      <c r="N58" s="189"/>
    </row>
    <row r="59" spans="2:15" ht="10.5" hidden="1" customHeight="1">
      <c r="B59" s="60"/>
      <c r="C59" s="197" t="s">
        <v>116</v>
      </c>
      <c r="D59" s="198" t="s">
        <v>56</v>
      </c>
      <c r="E59" s="198" t="s">
        <v>117</v>
      </c>
      <c r="F59" s="198" t="s">
        <v>78</v>
      </c>
      <c r="G59" s="199"/>
      <c r="H59" s="196"/>
      <c r="I59" s="196"/>
      <c r="J59" s="196"/>
      <c r="K59" s="196"/>
      <c r="L59" s="189"/>
      <c r="M59" s="195"/>
      <c r="N59" s="189"/>
    </row>
    <row r="60" spans="2:15" ht="10.5" customHeight="1">
      <c r="B60" s="60"/>
      <c r="C60" s="2"/>
      <c r="M60" s="59"/>
    </row>
    <row r="61" spans="2:15" s="50" customFormat="1" ht="12.75" customHeight="1">
      <c r="B61" s="22" t="s">
        <v>18</v>
      </c>
      <c r="D61" s="51"/>
      <c r="E61" s="51"/>
      <c r="F61" s="51"/>
    </row>
  </sheetData>
  <conditionalFormatting sqref="G9:L10">
    <cfRule type="expression" dxfId="12" priority="2">
      <formula>G$6="n/a"</formula>
    </cfRule>
  </conditionalFormatting>
  <conditionalFormatting sqref="G20:L21">
    <cfRule type="expression" dxfId="11" priority="1">
      <formula>G$6="n/a"</formula>
    </cfRule>
  </conditionalFormatting>
  <conditionalFormatting sqref="G35:L37">
    <cfRule type="expression" dxfId="10" priority="3">
      <formula>G$6="n/a"</formula>
    </cfRule>
  </conditionalFormatting>
  <conditionalFormatting sqref="H41:K41">
    <cfRule type="expression" dxfId="9" priority="4">
      <formula>H$6="n/a"</formula>
    </cfRule>
  </conditionalFormatting>
  <conditionalFormatting sqref="H45:K47">
    <cfRule type="expression" dxfId="8" priority="7">
      <formula>H$6="n/a"</formula>
    </cfRule>
  </conditionalFormatting>
  <conditionalFormatting sqref="H30:L30 G30:G31 H31:K31">
    <cfRule type="expression" dxfId="7" priority="13">
      <formula>G$6="n/a"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3A73-F354-4F28-AB5D-A165A34F1255}">
  <sheetPr>
    <tabColor rgb="FFFFFF99"/>
  </sheetPr>
  <dimension ref="A1:AR49"/>
  <sheetViews>
    <sheetView topLeftCell="B10" workbookViewId="0">
      <selection activeCell="R26" sqref="R26"/>
    </sheetView>
  </sheetViews>
  <sheetFormatPr defaultColWidth="0" defaultRowHeight="18" customHeight="1" zeroHeight="1"/>
  <cols>
    <col min="1" max="2" width="1.28515625" style="2" customWidth="1"/>
    <col min="3" max="3" width="49.7109375" style="13" customWidth="1"/>
    <col min="4" max="4" width="23.7109375" style="13" customWidth="1"/>
    <col min="5" max="5" width="22.28515625" style="13" customWidth="1"/>
    <col min="6" max="6" width="9.28515625" style="13" customWidth="1"/>
    <col min="7" max="7" width="2.7109375" style="13" customWidth="1"/>
    <col min="8" max="12" width="13.7109375" style="2" bestFit="1" customWidth="1"/>
    <col min="13" max="13" width="12.7109375" style="2" customWidth="1"/>
    <col min="14" max="14" width="13.7109375" style="2" bestFit="1" customWidth="1"/>
    <col min="15" max="43" width="12.7109375" style="2" customWidth="1"/>
    <col min="44" max="44" width="2.7109375" style="2" customWidth="1"/>
    <col min="45" max="16384" width="12.7109375" style="2" hidden="1"/>
  </cols>
  <sheetData>
    <row r="1" spans="2:13" ht="18" customHeight="1">
      <c r="B1" s="3" t="s">
        <v>118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</row>
    <row r="2" spans="2:13" ht="18" customHeight="1">
      <c r="B2" s="10" t="s">
        <v>119</v>
      </c>
      <c r="D2" s="10"/>
      <c r="E2" s="10"/>
      <c r="F2" s="10"/>
      <c r="G2" s="10"/>
      <c r="H2" s="203"/>
    </row>
    <row r="3" spans="2:13" ht="3" customHeight="1">
      <c r="C3" s="1"/>
      <c r="D3" s="1"/>
      <c r="E3" s="1"/>
      <c r="F3" s="1"/>
      <c r="G3" s="1"/>
    </row>
    <row r="4" spans="2:13" s="8" customFormat="1" ht="12.75" customHeight="1">
      <c r="B4" s="22" t="s">
        <v>120</v>
      </c>
      <c r="D4" s="6"/>
      <c r="E4" s="6"/>
      <c r="F4" s="6"/>
      <c r="G4" s="6"/>
    </row>
    <row r="5" spans="2:13" ht="10.5" customHeight="1">
      <c r="D5" s="55"/>
      <c r="E5" s="55"/>
      <c r="F5" s="55"/>
      <c r="G5" s="55"/>
    </row>
    <row r="6" spans="2:13" s="55" customFormat="1" ht="10.5" customHeight="1">
      <c r="D6" s="62" t="s">
        <v>46</v>
      </c>
      <c r="E6" s="62" t="s">
        <v>47</v>
      </c>
      <c r="F6" s="62" t="s">
        <v>59</v>
      </c>
      <c r="G6" s="52"/>
      <c r="H6" s="204" t="s">
        <v>121</v>
      </c>
      <c r="I6" s="204" t="s">
        <v>122</v>
      </c>
      <c r="J6" s="204" t="s">
        <v>123</v>
      </c>
      <c r="K6" s="204" t="s">
        <v>124</v>
      </c>
      <c r="L6" s="204" t="s">
        <v>125</v>
      </c>
    </row>
    <row r="7" spans="2:13" s="55" customFormat="1" ht="10.5" customHeight="1">
      <c r="C7" s="143" t="s">
        <v>75</v>
      </c>
    </row>
    <row r="8" spans="2:13" s="55" customFormat="1" ht="10.5" customHeight="1"/>
    <row r="9" spans="2:13" ht="10.5" customHeight="1">
      <c r="C9" s="145" t="s">
        <v>76</v>
      </c>
      <c r="D9" s="65" t="s">
        <v>126</v>
      </c>
      <c r="E9" s="65" t="s">
        <v>77</v>
      </c>
      <c r="F9" s="65" t="s">
        <v>78</v>
      </c>
      <c r="G9" s="55"/>
      <c r="H9" s="205">
        <v>423437</v>
      </c>
      <c r="I9" s="205">
        <v>430221</v>
      </c>
      <c r="J9" s="205">
        <v>435916</v>
      </c>
      <c r="K9" s="205">
        <v>441894</v>
      </c>
      <c r="L9" s="205">
        <v>448213</v>
      </c>
      <c r="M9" s="206" t="s">
        <v>127</v>
      </c>
    </row>
    <row r="10" spans="2:13" s="55" customFormat="1" ht="10.5" customHeight="1">
      <c r="C10" s="145" t="s">
        <v>79</v>
      </c>
      <c r="D10" s="65" t="s">
        <v>126</v>
      </c>
      <c r="E10" s="65" t="s">
        <v>77</v>
      </c>
      <c r="F10" s="65" t="s">
        <v>78</v>
      </c>
      <c r="H10" s="205">
        <v>430221</v>
      </c>
      <c r="I10" s="205">
        <v>435916</v>
      </c>
      <c r="J10" s="205">
        <v>441894</v>
      </c>
      <c r="K10" s="205">
        <v>448213</v>
      </c>
      <c r="L10" s="205">
        <v>454390</v>
      </c>
      <c r="M10" s="207"/>
    </row>
    <row r="11" spans="2:13" s="55" customFormat="1" ht="10.5" customHeight="1">
      <c r="H11" s="208"/>
      <c r="I11" s="208"/>
      <c r="J11" s="208"/>
      <c r="K11" s="208"/>
      <c r="L11" s="208"/>
    </row>
    <row r="12" spans="2:13" ht="10.5" customHeight="1">
      <c r="C12" s="64" t="s">
        <v>80</v>
      </c>
      <c r="D12" s="63" t="s">
        <v>56</v>
      </c>
      <c r="E12" s="125" t="s">
        <v>77</v>
      </c>
      <c r="F12" s="126" t="s">
        <v>78</v>
      </c>
      <c r="G12" s="55"/>
      <c r="H12" s="205">
        <v>426829</v>
      </c>
      <c r="I12" s="205">
        <v>433068.5</v>
      </c>
      <c r="J12" s="205">
        <v>438905</v>
      </c>
      <c r="K12" s="205">
        <v>445053.5</v>
      </c>
      <c r="L12" s="205">
        <v>451301.5</v>
      </c>
    </row>
    <row r="13" spans="2:13" s="55" customFormat="1" ht="10.5" customHeight="1"/>
    <row r="14" spans="2:13" s="55" customFormat="1" ht="10.5" customHeight="1"/>
    <row r="15" spans="2:13" ht="10.5" customHeight="1">
      <c r="B15" s="60"/>
      <c r="C15" s="145" t="str">
        <f>"Conversion to per "&amp;H15&amp;" customer basis"</f>
        <v>Conversion to per 1000 customer basis</v>
      </c>
      <c r="D15" s="65" t="s">
        <v>126</v>
      </c>
      <c r="E15" s="65" t="s">
        <v>77</v>
      </c>
      <c r="F15" s="65" t="s">
        <v>78</v>
      </c>
      <c r="H15" s="146">
        <v>1000</v>
      </c>
    </row>
    <row r="18" spans="2:13" s="55" customFormat="1" ht="10.5" customHeight="1">
      <c r="C18" s="143" t="s">
        <v>82</v>
      </c>
    </row>
    <row r="19" spans="2:13" s="55" customFormat="1" ht="10.5" customHeight="1"/>
    <row r="20" spans="2:13" ht="10.5" customHeight="1">
      <c r="C20" s="145" t="s">
        <v>76</v>
      </c>
      <c r="D20" s="65" t="s">
        <v>126</v>
      </c>
      <c r="E20" s="65" t="s">
        <v>84</v>
      </c>
      <c r="F20" s="65" t="s">
        <v>78</v>
      </c>
      <c r="G20" s="55"/>
      <c r="H20" s="146">
        <v>7741</v>
      </c>
      <c r="I20" s="146">
        <v>7829</v>
      </c>
      <c r="J20" s="146">
        <v>7902</v>
      </c>
      <c r="K20" s="146">
        <v>7977</v>
      </c>
      <c r="L20" s="146">
        <v>8072</v>
      </c>
      <c r="M20" s="206" t="s">
        <v>127</v>
      </c>
    </row>
    <row r="21" spans="2:13" s="55" customFormat="1" ht="10.5" customHeight="1">
      <c r="C21" s="145" t="s">
        <v>79</v>
      </c>
      <c r="D21" s="65" t="s">
        <v>126</v>
      </c>
      <c r="E21" s="65" t="s">
        <v>84</v>
      </c>
      <c r="F21" s="65" t="s">
        <v>78</v>
      </c>
      <c r="H21" s="146">
        <v>7829</v>
      </c>
      <c r="I21" s="146">
        <v>7902</v>
      </c>
      <c r="J21" s="146">
        <v>7977</v>
      </c>
      <c r="K21" s="146">
        <v>8072</v>
      </c>
      <c r="L21" s="146">
        <v>8140</v>
      </c>
      <c r="M21" s="207"/>
    </row>
    <row r="22" spans="2:13" s="55" customFormat="1" ht="10.5" customHeight="1"/>
    <row r="23" spans="2:13" ht="10.5" customHeight="1">
      <c r="C23" s="64" t="s">
        <v>85</v>
      </c>
      <c r="D23" s="63" t="s">
        <v>56</v>
      </c>
      <c r="E23" s="125" t="s">
        <v>84</v>
      </c>
      <c r="F23" s="126" t="s">
        <v>78</v>
      </c>
      <c r="G23" s="55"/>
      <c r="H23" s="146">
        <v>7785</v>
      </c>
      <c r="I23" s="146">
        <v>7865.5</v>
      </c>
      <c r="J23" s="146">
        <v>7939.5</v>
      </c>
      <c r="K23" s="146">
        <v>8024.5</v>
      </c>
      <c r="L23" s="146">
        <v>8106</v>
      </c>
    </row>
    <row r="24" spans="2:13" s="55" customFormat="1" ht="10.5" customHeight="1"/>
    <row r="25" spans="2:13" s="8" customFormat="1" ht="12.75" customHeight="1">
      <c r="B25" s="22" t="s">
        <v>128</v>
      </c>
      <c r="D25" s="6"/>
      <c r="E25" s="6"/>
      <c r="F25" s="6"/>
      <c r="G25" s="6"/>
    </row>
    <row r="26" spans="2:13" ht="10.5" customHeight="1">
      <c r="D26" s="55"/>
      <c r="E26" s="55"/>
      <c r="F26" s="55"/>
      <c r="G26" s="55"/>
    </row>
    <row r="27" spans="2:13" s="55" customFormat="1" ht="10.5" customHeight="1">
      <c r="D27" s="62" t="s">
        <v>46</v>
      </c>
      <c r="E27" s="62" t="s">
        <v>47</v>
      </c>
      <c r="F27" s="62" t="s">
        <v>59</v>
      </c>
      <c r="G27" s="52"/>
      <c r="H27" s="124" t="str">
        <f>H6</f>
        <v>2014/15</v>
      </c>
      <c r="I27" s="124" t="str">
        <f>I6</f>
        <v>2015/16</v>
      </c>
      <c r="J27" s="124" t="str">
        <f>J6</f>
        <v>2016/17</v>
      </c>
      <c r="K27" s="124" t="str">
        <f>K6</f>
        <v>2017/18</v>
      </c>
      <c r="L27" s="124" t="str">
        <f>L6</f>
        <v>2018/19</v>
      </c>
    </row>
    <row r="28" spans="2:13" s="55" customFormat="1" ht="10.5" customHeight="1">
      <c r="C28" s="143" t="s">
        <v>87</v>
      </c>
    </row>
    <row r="29" spans="2:13" s="55" customFormat="1" ht="10.5" customHeight="1"/>
    <row r="30" spans="2:13" s="55" customFormat="1" ht="10.5" customHeight="1">
      <c r="C30" s="145" t="s">
        <v>88</v>
      </c>
      <c r="D30" s="65" t="s">
        <v>126</v>
      </c>
      <c r="E30" s="65" t="s">
        <v>89</v>
      </c>
      <c r="F30" s="65" t="s">
        <v>78</v>
      </c>
      <c r="H30" s="146">
        <v>146</v>
      </c>
      <c r="I30" s="146">
        <v>229</v>
      </c>
      <c r="J30" s="146">
        <v>322</v>
      </c>
      <c r="K30" s="146">
        <v>302</v>
      </c>
      <c r="L30" s="146">
        <v>293</v>
      </c>
    </row>
    <row r="31" spans="2:13" s="55" customFormat="1" ht="10.5" customHeight="1">
      <c r="C31" s="145" t="s">
        <v>90</v>
      </c>
      <c r="D31" s="65" t="s">
        <v>126</v>
      </c>
      <c r="E31" s="65" t="s">
        <v>91</v>
      </c>
      <c r="F31" s="65" t="s">
        <v>78</v>
      </c>
      <c r="H31" s="146">
        <v>113397.13478672298</v>
      </c>
      <c r="I31" s="146">
        <v>56294.938295603693</v>
      </c>
      <c r="J31" s="146">
        <v>96065.783331388375</v>
      </c>
      <c r="K31" s="146">
        <v>140739.7377</v>
      </c>
      <c r="L31" s="146">
        <v>272785.92479999998</v>
      </c>
    </row>
    <row r="33" spans="2:14" s="55" customFormat="1" ht="10.5" customHeight="1">
      <c r="C33" s="143" t="s">
        <v>92</v>
      </c>
      <c r="N33" s="2"/>
    </row>
    <row r="34" spans="2:14" s="55" customFormat="1" ht="10.5" customHeight="1">
      <c r="N34" s="2"/>
    </row>
    <row r="35" spans="2:14" s="55" customFormat="1" ht="10.5" customHeight="1">
      <c r="C35" s="145" t="s">
        <v>93</v>
      </c>
      <c r="D35" s="65" t="s">
        <v>126</v>
      </c>
      <c r="E35" s="65" t="s">
        <v>94</v>
      </c>
      <c r="F35" s="65" t="s">
        <v>78</v>
      </c>
      <c r="H35" s="146">
        <v>1288</v>
      </c>
      <c r="I35" s="146">
        <v>1151</v>
      </c>
      <c r="J35" s="146">
        <v>620</v>
      </c>
      <c r="K35" s="146">
        <v>638</v>
      </c>
      <c r="L35" s="146">
        <v>518</v>
      </c>
      <c r="N35" s="2"/>
    </row>
    <row r="36" spans="2:14" s="55" customFormat="1" ht="10.5" customHeight="1">
      <c r="C36" s="145" t="s">
        <v>95</v>
      </c>
      <c r="D36" s="65" t="s">
        <v>126</v>
      </c>
      <c r="E36" s="65" t="s">
        <v>94</v>
      </c>
      <c r="F36" s="65" t="s">
        <v>78</v>
      </c>
      <c r="H36" s="146">
        <v>1618</v>
      </c>
      <c r="I36" s="146">
        <v>2951</v>
      </c>
      <c r="J36" s="146">
        <v>1140</v>
      </c>
      <c r="K36" s="146">
        <v>1348</v>
      </c>
      <c r="L36" s="146">
        <v>1149</v>
      </c>
      <c r="N36" s="2"/>
    </row>
    <row r="37" spans="2:14" s="55" customFormat="1" ht="10.5" customHeight="1">
      <c r="C37" s="145" t="s">
        <v>96</v>
      </c>
      <c r="D37" s="65" t="s">
        <v>126</v>
      </c>
      <c r="E37" s="65" t="s">
        <v>94</v>
      </c>
      <c r="F37" s="65" t="s">
        <v>78</v>
      </c>
      <c r="H37" s="146">
        <v>5828</v>
      </c>
      <c r="I37" s="146">
        <v>4822</v>
      </c>
      <c r="J37" s="146">
        <v>5354</v>
      </c>
      <c r="K37" s="146">
        <v>5484</v>
      </c>
      <c r="L37" s="146">
        <v>5614</v>
      </c>
      <c r="N37" s="2"/>
    </row>
    <row r="38" spans="2:14" s="55" customFormat="1" ht="15">
      <c r="N38" s="2"/>
    </row>
    <row r="39" spans="2:14" s="8" customFormat="1" ht="12.75" customHeight="1">
      <c r="B39" s="61" t="s">
        <v>102</v>
      </c>
      <c r="D39" s="15"/>
      <c r="E39" s="15"/>
      <c r="F39" s="15"/>
      <c r="G39" s="15"/>
    </row>
    <row r="40" spans="2:14" ht="10.5" customHeight="1">
      <c r="B40" s="60"/>
      <c r="C40" s="2"/>
    </row>
    <row r="41" spans="2:14" ht="10.5" customHeight="1">
      <c r="B41" s="60"/>
      <c r="C41" s="55"/>
      <c r="D41" s="62" t="s">
        <v>46</v>
      </c>
      <c r="E41" s="62" t="s">
        <v>47</v>
      </c>
      <c r="F41" s="62" t="s">
        <v>59</v>
      </c>
      <c r="G41" s="52"/>
      <c r="H41" s="124" t="str">
        <f>H6</f>
        <v>2014/15</v>
      </c>
      <c r="I41" s="124" t="str">
        <f>I6</f>
        <v>2015/16</v>
      </c>
      <c r="J41" s="124" t="str">
        <f>J6</f>
        <v>2016/17</v>
      </c>
      <c r="K41" s="124" t="str">
        <f>K6</f>
        <v>2017/18</v>
      </c>
      <c r="L41" s="124" t="str">
        <f>L6</f>
        <v>2018/19</v>
      </c>
      <c r="N41" s="124" t="s">
        <v>129</v>
      </c>
    </row>
    <row r="42" spans="2:14" ht="10.5" customHeight="1">
      <c r="B42" s="60"/>
      <c r="C42" s="55"/>
      <c r="D42" s="55"/>
      <c r="E42" s="55"/>
      <c r="F42" s="55"/>
      <c r="G42" s="55"/>
      <c r="H42" s="55"/>
      <c r="I42" s="55"/>
      <c r="J42" s="55"/>
      <c r="K42" s="55"/>
      <c r="L42" s="55"/>
      <c r="N42" s="55"/>
    </row>
    <row r="43" spans="2:14" ht="10.5" customHeight="1">
      <c r="B43" s="60"/>
      <c r="C43" s="67" t="s">
        <v>105</v>
      </c>
      <c r="D43" s="65" t="s">
        <v>56</v>
      </c>
      <c r="E43" s="65" t="str">
        <f>"outages per "&amp;H15&amp;" customers"</f>
        <v>outages per 1000 customers</v>
      </c>
      <c r="F43" s="65" t="s">
        <v>78</v>
      </c>
      <c r="G43" s="55"/>
      <c r="H43" s="209">
        <f>H30/H$12*$H$15</f>
        <v>0.34205735786462493</v>
      </c>
      <c r="I43" s="209">
        <f t="shared" ref="I43:L44" si="0">I30/I$12*$H$15</f>
        <v>0.52878470726917337</v>
      </c>
      <c r="J43" s="209">
        <f t="shared" si="0"/>
        <v>0.73364395484216405</v>
      </c>
      <c r="K43" s="209">
        <f t="shared" si="0"/>
        <v>0.67857010449305533</v>
      </c>
      <c r="L43" s="209">
        <f t="shared" si="0"/>
        <v>0.64923338389081364</v>
      </c>
      <c r="N43" s="209">
        <f>AVERAGE(H43:L43)</f>
        <v>0.58645790167196621</v>
      </c>
    </row>
    <row r="44" spans="2:14" ht="10.5" customHeight="1">
      <c r="B44" s="60"/>
      <c r="C44" s="67" t="s">
        <v>107</v>
      </c>
      <c r="D44" s="65" t="s">
        <v>56</v>
      </c>
      <c r="E44" s="65" t="str">
        <f>"minutes per "&amp;H15&amp;" customers"</f>
        <v>minutes per 1000 customers</v>
      </c>
      <c r="F44" s="65" t="s">
        <v>78</v>
      </c>
      <c r="G44" s="99"/>
      <c r="H44" s="210">
        <f>H31/H$12*$H$15</f>
        <v>265.67345420935078</v>
      </c>
      <c r="I44" s="210">
        <f t="shared" si="0"/>
        <v>129.99084046889507</v>
      </c>
      <c r="J44" s="210">
        <f t="shared" si="0"/>
        <v>218.87602859705032</v>
      </c>
      <c r="K44" s="210">
        <f t="shared" si="0"/>
        <v>316.23105469342448</v>
      </c>
      <c r="L44" s="210">
        <f t="shared" si="0"/>
        <v>604.44276121395558</v>
      </c>
      <c r="N44" s="209">
        <f>AVERAGE(H44:L44)</f>
        <v>307.04282783653525</v>
      </c>
    </row>
    <row r="45" spans="2:14" ht="10.5" customHeight="1">
      <c r="B45" s="60"/>
      <c r="C45" s="67" t="s">
        <v>109</v>
      </c>
      <c r="D45" s="65" t="s">
        <v>56</v>
      </c>
      <c r="E45" s="65" t="s">
        <v>110</v>
      </c>
      <c r="F45" s="65" t="s">
        <v>78</v>
      </c>
      <c r="G45" s="99"/>
      <c r="H45" s="209">
        <f>H35/H23</f>
        <v>0.16544637122671804</v>
      </c>
      <c r="I45" s="209">
        <f>I35/I23</f>
        <v>0.14633526158540461</v>
      </c>
      <c r="J45" s="209">
        <f>J35/J23</f>
        <v>7.8090559858933178E-2</v>
      </c>
      <c r="K45" s="209">
        <f>K35/K23</f>
        <v>7.9506511309115832E-2</v>
      </c>
      <c r="L45" s="209">
        <f>L35/L23</f>
        <v>6.3903281519861826E-2</v>
      </c>
      <c r="N45" s="209">
        <f>AVERAGE(H45:L45)</f>
        <v>0.10665639710000671</v>
      </c>
    </row>
    <row r="46" spans="2:14" ht="10.5" customHeight="1">
      <c r="B46" s="60"/>
      <c r="C46" s="98" t="s">
        <v>130</v>
      </c>
      <c r="D46" s="65" t="s">
        <v>56</v>
      </c>
      <c r="E46" s="65" t="str">
        <f>"events per "&amp;H15&amp;" customers"</f>
        <v>events per 1000 customers</v>
      </c>
      <c r="F46" s="65" t="s">
        <v>78</v>
      </c>
      <c r="G46" s="99"/>
      <c r="H46" s="209">
        <f>H36/H12*$H$15</f>
        <v>3.7907452398970078</v>
      </c>
      <c r="I46" s="209">
        <f>I36/I12*$H$15</f>
        <v>6.814164502844239</v>
      </c>
      <c r="J46" s="209">
        <f>J36/J12*$H$15</f>
        <v>2.5973730078262949</v>
      </c>
      <c r="K46" s="209">
        <f>K36/K12*$H$15</f>
        <v>3.028849340584896</v>
      </c>
      <c r="L46" s="209">
        <f>L36/L12*$H$15</f>
        <v>2.5459698228346239</v>
      </c>
      <c r="N46" s="209">
        <f>AVERAGE(H46:L46)</f>
        <v>3.7554203827974129</v>
      </c>
    </row>
    <row r="47" spans="2:14" ht="10.5" customHeight="1">
      <c r="B47" s="60"/>
      <c r="C47" s="98" t="s">
        <v>113</v>
      </c>
      <c r="D47" s="65" t="s">
        <v>56</v>
      </c>
      <c r="E47" s="65" t="str">
        <f>"leaks per "&amp;H15&amp;" customers"</f>
        <v>leaks per 1000 customers</v>
      </c>
      <c r="F47" s="65" t="s">
        <v>78</v>
      </c>
      <c r="G47" s="99"/>
      <c r="H47" s="209">
        <f>H37/H12*$H$15</f>
        <v>13.654180011198864</v>
      </c>
      <c r="I47" s="209">
        <f>I37/I12*$H$15</f>
        <v>11.134497198480148</v>
      </c>
      <c r="J47" s="209">
        <f>J37/J12*$H$15</f>
        <v>12.198539547282442</v>
      </c>
      <c r="K47" s="209">
        <f>K37/K12*$H$15</f>
        <v>12.322114082913627</v>
      </c>
      <c r="L47" s="209">
        <f>L37/L12*$H$15</f>
        <v>12.439577532979616</v>
      </c>
      <c r="N47" s="209">
        <f>AVERAGE(H47:L47)</f>
        <v>12.34978167457094</v>
      </c>
    </row>
    <row r="49" spans="2:2" s="50" customFormat="1" ht="12.75" customHeight="1">
      <c r="B49" s="22" t="s">
        <v>18</v>
      </c>
    </row>
  </sheetData>
  <conditionalFormatting sqref="H15">
    <cfRule type="expression" dxfId="6" priority="5">
      <formula>H$6="n/a"</formula>
    </cfRule>
  </conditionalFormatting>
  <conditionalFormatting sqref="H9:L10">
    <cfRule type="expression" dxfId="5" priority="3">
      <formula>H$6="n/a"</formula>
    </cfRule>
  </conditionalFormatting>
  <conditionalFormatting sqref="H12:L12">
    <cfRule type="expression" dxfId="4" priority="2">
      <formula>H$6="n/a"</formula>
    </cfRule>
  </conditionalFormatting>
  <conditionalFormatting sqref="H20:L21">
    <cfRule type="expression" dxfId="3" priority="7">
      <formula>H$6="n/a"</formula>
    </cfRule>
  </conditionalFormatting>
  <conditionalFormatting sqref="H23:L23">
    <cfRule type="expression" dxfId="2" priority="4">
      <formula>H$6="n/a"</formula>
    </cfRule>
  </conditionalFormatting>
  <conditionalFormatting sqref="H30:L31">
    <cfRule type="expression" dxfId="1" priority="1">
      <formula>H$6="n/a"</formula>
    </cfRule>
  </conditionalFormatting>
  <conditionalFormatting sqref="H35:L37">
    <cfRule type="expression" dxfId="0" priority="6">
      <formula>H$6="n/a"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1CCE-420A-44D6-8FD4-4D7D06EFB707}">
  <sheetPr>
    <tabColor rgb="FFFFFF99"/>
  </sheetPr>
  <dimension ref="A1:W24"/>
  <sheetViews>
    <sheetView topLeftCell="D1" zoomScale="115" zoomScaleNormal="115" workbookViewId="0">
      <selection activeCell="K23" sqref="K23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27.5703125" style="12" customWidth="1"/>
    <col min="5" max="5" width="14.28515625" style="11" customWidth="1"/>
    <col min="6" max="7" width="12.7109375" style="11" customWidth="1"/>
    <col min="8" max="8" width="17.85546875" style="11" customWidth="1"/>
    <col min="9" max="9" width="14.5703125" style="11" customWidth="1"/>
    <col min="10" max="10" width="9.42578125" style="11" customWidth="1"/>
    <col min="11" max="11" width="11.42578125" style="11" customWidth="1"/>
    <col min="12" max="13" width="2.85546875" style="11" customWidth="1"/>
    <col min="14" max="23" width="9.140625" style="11" hidden="1" customWidth="1"/>
    <col min="24" max="16384" width="12.7109375" style="11" hidden="1"/>
  </cols>
  <sheetData>
    <row r="1" spans="2:11" s="2" customFormat="1" ht="18" customHeight="1">
      <c r="B1" s="3" t="e">
        <f>#REF!&amp;" "&amp;#REF!&amp;" "&amp;#REF!&amp;" - "&amp;"Capital expenditure sharing scheme model"</f>
        <v>#REF!</v>
      </c>
      <c r="G1" s="79"/>
      <c r="H1" s="80" t="s">
        <v>19</v>
      </c>
      <c r="I1" s="107" t="s">
        <v>20</v>
      </c>
      <c r="J1" s="112" t="s">
        <v>21</v>
      </c>
    </row>
    <row r="2" spans="2:11" s="2" customFormat="1" ht="18" customHeight="1">
      <c r="B2" s="10" t="s">
        <v>131</v>
      </c>
    </row>
    <row r="3" spans="2:11" s="2" customFormat="1" ht="3" customHeight="1">
      <c r="B3" s="1"/>
    </row>
    <row r="4" spans="2:11" s="50" customFormat="1" ht="12.75" customHeight="1">
      <c r="B4" s="61" t="s">
        <v>102</v>
      </c>
    </row>
    <row r="5" spans="2:11" s="23" customFormat="1" ht="11.25" customHeight="1">
      <c r="C5" s="24"/>
      <c r="D5" s="24"/>
    </row>
    <row r="6" spans="2:11" s="57" customFormat="1" ht="11.25" customHeight="1">
      <c r="C6" s="56"/>
      <c r="D6" s="56"/>
    </row>
    <row r="7" spans="2:11" s="57" customFormat="1" ht="11.25" customHeight="1">
      <c r="C7" s="74" t="s">
        <v>132</v>
      </c>
      <c r="D7" s="74"/>
    </row>
    <row r="8" spans="2:11" s="57" customFormat="1" ht="11.25" customHeight="1">
      <c r="C8" s="56"/>
      <c r="D8" s="56"/>
      <c r="E8" s="58"/>
      <c r="F8" s="58"/>
      <c r="G8" s="58"/>
      <c r="H8" s="58"/>
      <c r="I8" s="58"/>
    </row>
    <row r="9" spans="2:11" s="57" customFormat="1" ht="11.25" customHeight="1">
      <c r="C9" s="56"/>
      <c r="D9" s="56"/>
      <c r="E9" s="140" t="s">
        <v>133</v>
      </c>
      <c r="F9" s="140" t="s">
        <v>39</v>
      </c>
      <c r="G9" s="140" t="s">
        <v>134</v>
      </c>
      <c r="H9" s="140" t="s">
        <v>135</v>
      </c>
      <c r="I9" s="140" t="s">
        <v>136</v>
      </c>
      <c r="K9" s="124" t="s">
        <v>104</v>
      </c>
    </row>
    <row r="10" spans="2:11" s="57" customFormat="1" ht="11.25" customHeight="1">
      <c r="C10" s="145" t="s">
        <v>105</v>
      </c>
      <c r="D10" s="23" t="s">
        <v>106</v>
      </c>
      <c r="E10" s="182">
        <v>0.58645790167196621</v>
      </c>
      <c r="F10" s="153">
        <f>'Input | Reported Performance'!N53</f>
        <v>0.57980953876772312</v>
      </c>
      <c r="G10" s="153">
        <f>200-(100*(F10/E10))</f>
        <v>101.13364708452028</v>
      </c>
      <c r="H10" s="211">
        <v>0.25</v>
      </c>
      <c r="I10" s="153">
        <f>G10*H10</f>
        <v>25.283411771130069</v>
      </c>
      <c r="K10" s="182">
        <f>'Input | Reported Performance'!O53</f>
        <v>0.58891973616100346</v>
      </c>
    </row>
    <row r="11" spans="2:11" s="57" customFormat="1" ht="11.25" customHeight="1">
      <c r="C11" s="145" t="s">
        <v>107</v>
      </c>
      <c r="D11" s="23" t="s">
        <v>108</v>
      </c>
      <c r="E11" s="182">
        <v>307.04282783653525</v>
      </c>
      <c r="F11" s="153">
        <f>'Input | Reported Performance'!N54</f>
        <v>390.13864016897685</v>
      </c>
      <c r="G11" s="157">
        <f t="shared" ref="G11:G14" si="0">200-(100*(F11/E11))</f>
        <v>72.936735595504445</v>
      </c>
      <c r="H11" s="212">
        <v>0.25</v>
      </c>
      <c r="I11" s="157">
        <f t="shared" ref="I11:I14" si="1">G11*H11</f>
        <v>18.234183898876111</v>
      </c>
      <c r="K11" s="182">
        <f>'Input | Reported Performance'!O54</f>
        <v>554.31304375200818</v>
      </c>
    </row>
    <row r="12" spans="2:11" s="57" customFormat="1" ht="11.25" customHeight="1">
      <c r="C12" s="145" t="s">
        <v>109</v>
      </c>
      <c r="D12" s="23" t="s">
        <v>110</v>
      </c>
      <c r="E12" s="182">
        <v>0.10665639710000671</v>
      </c>
      <c r="F12" s="153">
        <f>'Input | Reported Performance'!N55</f>
        <v>3.8075882701977759E-2</v>
      </c>
      <c r="G12" s="157">
        <f t="shared" si="0"/>
        <v>164.30042291202113</v>
      </c>
      <c r="H12" s="212">
        <v>0.42399999999999999</v>
      </c>
      <c r="I12" s="157">
        <f t="shared" si="1"/>
        <v>69.663379314696954</v>
      </c>
      <c r="K12" s="182">
        <f>'Input | Reported Performance'!O55</f>
        <v>4.0900101526369283E-2</v>
      </c>
    </row>
    <row r="13" spans="2:11" s="57" customFormat="1" ht="11.25" customHeight="1">
      <c r="C13" s="145" t="s">
        <v>111</v>
      </c>
      <c r="D13" s="23" t="s">
        <v>115</v>
      </c>
      <c r="E13" s="182">
        <v>3.7554203827974129</v>
      </c>
      <c r="F13" s="153">
        <f>'Input | Reported Performance'!N56</f>
        <v>1.7877668303381977</v>
      </c>
      <c r="G13" s="157">
        <f t="shared" ref="G13" si="2">200-(100*(F13/E13))</f>
        <v>152.39502777032675</v>
      </c>
      <c r="H13" s="212">
        <v>4.9000000000000002E-2</v>
      </c>
      <c r="I13" s="157">
        <f t="shared" si="1"/>
        <v>7.4673563607460114</v>
      </c>
      <c r="K13" s="182">
        <f>'Input | Reported Performance'!O56</f>
        <v>1.7998230991354855</v>
      </c>
    </row>
    <row r="14" spans="2:11" s="57" customFormat="1" ht="11.25" customHeight="1">
      <c r="C14" s="181" t="s">
        <v>113</v>
      </c>
      <c r="D14" s="23" t="s">
        <v>115</v>
      </c>
      <c r="E14" s="182">
        <v>12.34978167457094</v>
      </c>
      <c r="F14" s="153">
        <f>'Input | Reported Performance'!N57</f>
        <v>8.1381345393087052</v>
      </c>
      <c r="G14" s="157">
        <f t="shared" si="0"/>
        <v>134.10300883240964</v>
      </c>
      <c r="H14" s="212">
        <v>2.7E-2</v>
      </c>
      <c r="I14" s="157">
        <f t="shared" si="1"/>
        <v>3.6207812384750602</v>
      </c>
      <c r="K14" s="182">
        <f>'Input | Reported Performance'!O57</f>
        <v>6.7037224697427487</v>
      </c>
    </row>
    <row r="15" spans="2:11" s="57" customFormat="1" ht="15" hidden="1" customHeight="1">
      <c r="C15" s="197" t="s">
        <v>114</v>
      </c>
      <c r="D15" s="201" t="s">
        <v>112</v>
      </c>
      <c r="E15" s="182">
        <f>'Input | Performance Targets'!N48</f>
        <v>0</v>
      </c>
      <c r="F15" s="192"/>
      <c r="G15" s="193"/>
      <c r="H15" s="190"/>
      <c r="I15" s="193"/>
    </row>
    <row r="16" spans="2:11" s="57" customFormat="1" ht="15" hidden="1" customHeight="1">
      <c r="C16" s="197" t="s">
        <v>116</v>
      </c>
      <c r="D16" s="201" t="s">
        <v>117</v>
      </c>
      <c r="E16" s="182">
        <f>'Input | Performance Targets'!N49</f>
        <v>0</v>
      </c>
      <c r="F16" s="194"/>
      <c r="G16" s="193"/>
      <c r="H16" s="191"/>
      <c r="I16" s="193"/>
    </row>
    <row r="17" spans="2:9" s="57" customFormat="1" ht="11.25" customHeight="1">
      <c r="C17" s="56" t="s">
        <v>137</v>
      </c>
      <c r="D17" s="56"/>
      <c r="E17" s="66"/>
      <c r="F17" s="66"/>
      <c r="G17" s="66"/>
      <c r="H17" s="66"/>
      <c r="I17" s="157">
        <f>SUM(I10:I14)</f>
        <v>124.26911258392421</v>
      </c>
    </row>
    <row r="18" spans="2:9" s="57" customFormat="1" ht="11.25" customHeight="1">
      <c r="C18" s="56"/>
      <c r="D18" s="56"/>
      <c r="E18" s="140" t="s">
        <v>138</v>
      </c>
      <c r="F18" s="140" t="s">
        <v>139</v>
      </c>
      <c r="G18" s="140" t="s">
        <v>140</v>
      </c>
      <c r="H18" s="183" t="s">
        <v>141</v>
      </c>
      <c r="I18" s="141"/>
    </row>
    <row r="19" spans="2:9" s="57" customFormat="1" ht="11.25" customHeight="1">
      <c r="C19" s="56" t="s">
        <v>141</v>
      </c>
      <c r="D19" s="56"/>
      <c r="E19" s="158">
        <v>1</v>
      </c>
      <c r="F19" s="158">
        <f>(I17-80)/(100-80)</f>
        <v>2.2134556291962104</v>
      </c>
      <c r="G19" s="158">
        <v>0</v>
      </c>
      <c r="H19" s="158">
        <f>IF(I17&gt;=100,1,IF(I17&lt;80,0,F19))</f>
        <v>1</v>
      </c>
      <c r="I19" s="141"/>
    </row>
    <row r="20" spans="2:9" s="57" customFormat="1" ht="11.25" customHeight="1">
      <c r="E20" s="66"/>
      <c r="F20" s="66"/>
      <c r="G20" s="66"/>
      <c r="H20" s="66"/>
      <c r="I20" s="141"/>
    </row>
    <row r="21" spans="2:9" s="57" customFormat="1" ht="11.25" customHeight="1">
      <c r="C21" s="56"/>
      <c r="D21" s="56"/>
      <c r="E21" s="66"/>
      <c r="F21" s="66"/>
      <c r="G21" s="66"/>
      <c r="H21" s="66"/>
      <c r="I21" s="141"/>
    </row>
    <row r="22" spans="2:9" s="57" customFormat="1" ht="11.25" customHeight="1">
      <c r="C22" s="66"/>
      <c r="D22" s="66"/>
      <c r="E22" s="66"/>
      <c r="F22" s="66"/>
      <c r="G22" s="66"/>
      <c r="H22" s="66"/>
      <c r="I22" s="66"/>
    </row>
    <row r="23" spans="2:9" s="57" customFormat="1" ht="11.25" customHeight="1"/>
    <row r="24" spans="2:9" s="57" customFormat="1" ht="11.25" customHeight="1">
      <c r="B24" s="22" t="s">
        <v>18</v>
      </c>
      <c r="C24" s="50"/>
      <c r="D24" s="50"/>
      <c r="E24" s="50"/>
      <c r="F24" s="50"/>
      <c r="G24" s="50"/>
      <c r="H24" s="50"/>
      <c r="I24" s="50"/>
    </row>
  </sheetData>
  <phoneticPr fontId="108" type="noConversion"/>
  <pageMargins left="0.7" right="0.7" top="0.75" bottom="0.75" header="0.3" footer="0.3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CFFCC"/>
    <pageSetUpPr autoPageBreaks="0"/>
  </sheetPr>
  <dimension ref="A1:XFB49"/>
  <sheetViews>
    <sheetView zoomScale="110" zoomScaleNormal="110" workbookViewId="0">
      <selection activeCell="D36" sqref="D36"/>
    </sheetView>
  </sheetViews>
  <sheetFormatPr defaultColWidth="0" defaultRowHeight="0" customHeight="1" zeroHeight="1"/>
  <cols>
    <col min="1" max="2" width="1.28515625" style="2" customWidth="1"/>
    <col min="3" max="3" width="90" style="9" customWidth="1"/>
    <col min="4" max="8" width="12.7109375" style="2" customWidth="1"/>
    <col min="9" max="9" width="2.28515625" style="2" customWidth="1"/>
    <col min="10" max="10" width="12.7109375" style="1" customWidth="1"/>
    <col min="11" max="14" width="12.7109375" style="2" customWidth="1"/>
    <col min="15" max="16" width="2.85546875" style="2" customWidth="1"/>
    <col min="17" max="16382" width="0" style="2" hidden="1"/>
    <col min="16383" max="16384" width="12.7109375" style="2" hidden="1"/>
  </cols>
  <sheetData>
    <row r="1" spans="2:11" ht="18" customHeight="1">
      <c r="B1" s="3" t="str">
        <f>'Input | General'!$B$1</f>
        <v>AGN(SA) 2026-31 Final decision - Capital expenditure sharing scheme model</v>
      </c>
      <c r="C1" s="2"/>
      <c r="D1" s="80" t="s">
        <v>19</v>
      </c>
      <c r="E1" s="107" t="s">
        <v>20</v>
      </c>
      <c r="F1" s="112" t="s">
        <v>21</v>
      </c>
    </row>
    <row r="2" spans="2:11" ht="18" customHeight="1">
      <c r="B2" s="10" t="s">
        <v>142</v>
      </c>
      <c r="C2" s="2"/>
    </row>
    <row r="3" spans="2:11" ht="3" customHeight="1">
      <c r="C3" s="1"/>
    </row>
    <row r="4" spans="2:11" s="8" customFormat="1" ht="12" customHeight="1">
      <c r="B4" s="22" t="s">
        <v>143</v>
      </c>
    </row>
    <row r="5" spans="2:11" ht="11.25" customHeight="1">
      <c r="C5" s="75"/>
      <c r="D5" s="75"/>
      <c r="E5" s="75"/>
      <c r="F5" s="75"/>
      <c r="G5" s="75"/>
      <c r="H5" s="75"/>
    </row>
    <row r="6" spans="2:11" ht="11.25" customHeight="1">
      <c r="C6" s="87" t="s">
        <v>144</v>
      </c>
      <c r="D6" s="88"/>
      <c r="E6" s="89"/>
      <c r="F6" s="89"/>
      <c r="G6" s="89"/>
      <c r="H6" s="89"/>
    </row>
    <row r="7" spans="2:11" ht="11.25" customHeight="1">
      <c r="C7" s="86" t="s">
        <v>145</v>
      </c>
      <c r="D7" s="124" t="str">
        <f>IF('Input | General'!D14="Yes",'Input | General'!D13,"n/a")</f>
        <v>2021–22</v>
      </c>
      <c r="E7" s="124" t="str">
        <f>IF('Input | General'!E14="Yes",'Input | General'!E13,"n/a")</f>
        <v>2022–23</v>
      </c>
      <c r="F7" s="124" t="str">
        <f>IF('Input | General'!F14="Yes",'Input | General'!F13,"n/a")</f>
        <v>2023–24</v>
      </c>
      <c r="G7" s="124" t="str">
        <f>IF('Input | General'!G14="Yes",'Input | General'!G13,"n/a")</f>
        <v>2024–25</v>
      </c>
      <c r="H7" s="128" t="str">
        <f>IF('Input | General'!H14="Yes",'Input | General'!H13,"n/a")</f>
        <v>2025–26</v>
      </c>
    </row>
    <row r="8" spans="2:11" ht="11.25" customHeight="1">
      <c r="C8" s="100" t="s">
        <v>146</v>
      </c>
      <c r="D8" s="113">
        <f>'Input | Inflation and Disc Rate'!G20</f>
        <v>2.8994637906181928E-2</v>
      </c>
      <c r="E8" s="114">
        <f>'Input | Inflation and Disc Rate'!H20</f>
        <v>2.8189251650922342E-2</v>
      </c>
      <c r="F8" s="114">
        <f>'Input | Inflation and Disc Rate'!I20</f>
        <v>2.8740015675159557E-2</v>
      </c>
      <c r="G8" s="114">
        <f>'Input | Inflation and Disc Rate'!J20</f>
        <v>2.89219034606507E-2</v>
      </c>
      <c r="H8" s="115">
        <f>'Input | Inflation and Disc Rate'!K20</f>
        <v>2.9115095031161199E-2</v>
      </c>
    </row>
    <row r="9" spans="2:11" ht="11.25" customHeight="1">
      <c r="C9" s="103" t="s">
        <v>147</v>
      </c>
      <c r="D9" s="114">
        <f>'Input | Inflation and Disc Rate'!G22</f>
        <v>6.4991890597438928E-2</v>
      </c>
      <c r="E9" s="114">
        <f>'Input | Inflation and Disc Rate'!H22</f>
        <v>0.10871520293438297</v>
      </c>
      <c r="F9" s="114">
        <f>'Input | Inflation and Disc Rate'!I22</f>
        <v>7.0424435270559638E-2</v>
      </c>
      <c r="G9" s="114">
        <f>'Input | Inflation and Disc Rate'!J22</f>
        <v>5.3870046601136812E-2</v>
      </c>
      <c r="H9" s="115">
        <f>'Input | Inflation and Disc Rate'!K22</f>
        <v>6.6427294014317573E-2</v>
      </c>
    </row>
    <row r="10" spans="2:11" ht="11.25" customHeight="1">
      <c r="C10" s="83" t="s">
        <v>148</v>
      </c>
      <c r="D10" s="116">
        <f>'Input | Reported Capex'!H$13*'Input | Inflation and Disc Rate'!G$15*(1+'Input | Inflation and Disc Rate'!G$20)^0.5</f>
        <v>84.314792510469289</v>
      </c>
      <c r="E10" s="117">
        <f>'Input | Reported Capex'!I$13*'Input | Inflation and Disc Rate'!H$15*(1+'Input | Inflation and Disc Rate'!H$20)^0.5</f>
        <v>96.34455211406015</v>
      </c>
      <c r="F10" s="117">
        <f>'Input | Reported Capex'!J$13*'Input | Inflation and Disc Rate'!I$15*(1+'Input | Inflation and Disc Rate'!I$20)^0.5</f>
        <v>89.52234887119306</v>
      </c>
      <c r="G10" s="117">
        <f>'Input | Reported Capex'!K$13*'Input | Inflation and Disc Rate'!J$15*(1+'Input | Inflation and Disc Rate'!J$20)^0.5</f>
        <v>93.30449766869171</v>
      </c>
      <c r="H10" s="118">
        <f>'Input | Reported Capex'!L$13*'Input | Inflation and Disc Rate'!K$15*(1+'Input | Inflation and Disc Rate'!K$20)^0.5</f>
        <v>84.078059038536892</v>
      </c>
    </row>
    <row r="11" spans="2:11" ht="11.25" customHeight="1">
      <c r="C11" s="83" t="s">
        <v>149</v>
      </c>
      <c r="D11" s="119">
        <f>'Input | Reported Capex'!H24*(1+D$9)^0.5</f>
        <v>66.708827669320826</v>
      </c>
      <c r="E11" s="117">
        <f>'Input | Reported Capex'!I24*(1+E$9)^0.5</f>
        <v>69.107855618634019</v>
      </c>
      <c r="F11" s="117">
        <f>'Input | Reported Capex'!J24*(1+F$9)^0.5</f>
        <v>67.036997936881278</v>
      </c>
      <c r="G11" s="117">
        <f>'Input | Reported Capex'!K24*(1+G$9)^0.5</f>
        <v>90.457931855890266</v>
      </c>
      <c r="H11" s="118">
        <f>'Input | Reported Capex'!L24*(1+H$9)^0.5</f>
        <v>97.044402249505254</v>
      </c>
      <c r="J11" s="215"/>
    </row>
    <row r="12" spans="2:11" s="14" customFormat="1" ht="11.25" customHeight="1">
      <c r="C12" s="83" t="s">
        <v>150</v>
      </c>
      <c r="D12" s="160">
        <f>(D10-D11)</f>
        <v>17.605964841148463</v>
      </c>
      <c r="E12" s="161">
        <f>(E10-E11)</f>
        <v>27.236696495426131</v>
      </c>
      <c r="F12" s="161">
        <f>(F10-F11)</f>
        <v>22.485350934311782</v>
      </c>
      <c r="G12" s="161">
        <f>(G10-G11)</f>
        <v>2.8465658128014439</v>
      </c>
      <c r="H12" s="162">
        <f>(H10-H11)</f>
        <v>-12.966343210968361</v>
      </c>
      <c r="J12" s="215"/>
      <c r="K12" s="216"/>
    </row>
    <row r="13" spans="2:11" ht="11.25" customHeight="1">
      <c r="C13" s="83" t="s">
        <v>151</v>
      </c>
      <c r="D13" s="73"/>
      <c r="E13" s="161">
        <f>$D$12*$E$8</f>
        <v>0.49629897346442503</v>
      </c>
      <c r="F13" s="161">
        <f>$D$12*$F$8*(1+'Input | Inflation and Disc Rate'!H13)</f>
        <v>0.54562438813543013</v>
      </c>
      <c r="G13" s="161">
        <f>$D$12*$G$8*(1+'Input | Inflation and Disc Rate'!H13)*(1+'Input | Inflation and Disc Rate'!I13)</f>
        <v>0.57132605033058848</v>
      </c>
      <c r="H13" s="162">
        <f>$D$12*$H$8*(1+'Input | Inflation and Disc Rate'!H13)*(1+'Input | Inflation and Disc Rate'!I13)*(1+'Input | Inflation and Disc Rate'!J13)</f>
        <v>0.58908778171035181</v>
      </c>
    </row>
    <row r="14" spans="2:11" ht="11.25" customHeight="1">
      <c r="C14" s="83" t="s">
        <v>152</v>
      </c>
      <c r="D14" s="73"/>
      <c r="E14" s="102"/>
      <c r="F14" s="161">
        <f>$E$12*F$8</f>
        <v>0.78278308421811038</v>
      </c>
      <c r="G14" s="161">
        <f>$E$12*G$8*(1+'Input | Inflation and Disc Rate'!I13)</f>
        <v>0.81965611782903536</v>
      </c>
      <c r="H14" s="162">
        <f>$E$12*H$8*(1+'Input | Inflation and Disc Rate'!I13)*(1+'Input | Inflation and Disc Rate'!J13)</f>
        <v>0.84513808522792244</v>
      </c>
    </row>
    <row r="15" spans="2:11" ht="11.25" customHeight="1">
      <c r="C15" s="83" t="s">
        <v>153</v>
      </c>
      <c r="D15" s="73"/>
      <c r="E15" s="101"/>
      <c r="F15" s="101"/>
      <c r="G15" s="161">
        <f>$F$12*G$8</f>
        <v>0.65031914900101739</v>
      </c>
      <c r="H15" s="162">
        <f>$F$12*$H$8*(1+'Input | Inflation and Disc Rate'!J13)</f>
        <v>0.67053666582698512</v>
      </c>
    </row>
    <row r="16" spans="2:11" ht="11.25" customHeight="1">
      <c r="C16" s="83" t="s">
        <v>154</v>
      </c>
      <c r="D16" s="73"/>
      <c r="E16" s="101"/>
      <c r="F16" s="101"/>
      <c r="G16" s="101"/>
      <c r="H16" s="162">
        <f>$G$12*$H$8</f>
        <v>8.2878034152168656E-2</v>
      </c>
    </row>
    <row r="17" spans="3:8" ht="11.25" customHeight="1">
      <c r="C17" s="83" t="s">
        <v>155</v>
      </c>
      <c r="D17" s="73"/>
      <c r="E17" s="101"/>
      <c r="F17" s="101"/>
      <c r="G17" s="101"/>
      <c r="H17" s="104"/>
    </row>
    <row r="18" spans="3:8" s="14" customFormat="1" ht="11.25" customHeight="1">
      <c r="C18" s="84" t="s">
        <v>156</v>
      </c>
      <c r="D18" s="163">
        <f>SUM(D13:D17)</f>
        <v>0</v>
      </c>
      <c r="E18" s="164">
        <f>SUM(E13:E17)</f>
        <v>0.49629897346442503</v>
      </c>
      <c r="F18" s="164">
        <f t="shared" ref="F18:H18" si="0">SUM(F13:F17)</f>
        <v>1.3284074723535406</v>
      </c>
      <c r="G18" s="164">
        <f t="shared" si="0"/>
        <v>2.0413013171606411</v>
      </c>
      <c r="H18" s="165">
        <f t="shared" si="0"/>
        <v>2.1876405669174281</v>
      </c>
    </row>
    <row r="19" spans="3:8" ht="11.25" customHeight="1">
      <c r="C19" s="100" t="s">
        <v>157</v>
      </c>
      <c r="D19" s="163">
        <f>E19*(1+E$9)</f>
        <v>1.3338111083947766</v>
      </c>
      <c r="E19" s="164">
        <f>F19*(1+F$9)</f>
        <v>1.20302409930399</v>
      </c>
      <c r="F19" s="164">
        <f>G19*(1+G$9)</f>
        <v>1.123875782039593</v>
      </c>
      <c r="G19" s="164">
        <f>H19*(1+H$9)</f>
        <v>1.0664272940143176</v>
      </c>
      <c r="H19" s="166">
        <v>1</v>
      </c>
    </row>
    <row r="20" spans="3:8" s="14" customFormat="1" ht="11.25" customHeight="1">
      <c r="C20" s="83" t="s">
        <v>158</v>
      </c>
      <c r="D20" s="160">
        <f>D12*D19</f>
        <v>23.483031479131697</v>
      </c>
      <c r="E20" s="161">
        <f>E12*E19</f>
        <v>32.766402269426159</v>
      </c>
      <c r="F20" s="161">
        <f>F12*F19</f>
        <v>25.270741365734349</v>
      </c>
      <c r="G20" s="161">
        <f>G12*G19</f>
        <v>3.0356554769795103</v>
      </c>
      <c r="H20" s="162">
        <f>H12*H19</f>
        <v>-12.966343210968361</v>
      </c>
    </row>
    <row r="21" spans="3:8" s="14" customFormat="1" ht="11.25" customHeight="1">
      <c r="C21" s="84" t="s">
        <v>159</v>
      </c>
      <c r="D21" s="163">
        <f>D18*D19</f>
        <v>0</v>
      </c>
      <c r="E21" s="164">
        <f>E18*E19</f>
        <v>0.59705962553753478</v>
      </c>
      <c r="F21" s="164">
        <f t="shared" ref="F21:H21" si="1">F18*F19</f>
        <v>1.4929649868585746</v>
      </c>
      <c r="G21" s="164">
        <f t="shared" si="1"/>
        <v>2.1768994399274848</v>
      </c>
      <c r="H21" s="165">
        <f t="shared" si="1"/>
        <v>2.1876405669174281</v>
      </c>
    </row>
    <row r="22" spans="3:8" s="66" customFormat="1" ht="11.25" customHeight="1">
      <c r="C22"/>
    </row>
    <row r="23" spans="3:8" ht="11.25" customHeight="1">
      <c r="C23" s="169" t="s">
        <v>160</v>
      </c>
      <c r="D23" s="88"/>
      <c r="E23" s="89"/>
      <c r="F23" s="89"/>
      <c r="G23" s="89"/>
      <c r="H23" s="89"/>
    </row>
    <row r="24" spans="3:8" ht="11.25" customHeight="1">
      <c r="C24" s="170" t="s">
        <v>145</v>
      </c>
      <c r="D24" s="129" t="str">
        <f>'Input | General'!$D$19</f>
        <v>2026-27</v>
      </c>
      <c r="E24" s="129" t="str">
        <f>'Input | General'!$E$19</f>
        <v>2027–28</v>
      </c>
      <c r="F24" s="129" t="str">
        <f>'Input | General'!$F$19</f>
        <v>2028–29</v>
      </c>
      <c r="G24" s="129" t="str">
        <f>'Input | General'!$G$19</f>
        <v>2029–30</v>
      </c>
      <c r="H24" s="130" t="str">
        <f>'Input | General'!$H$19</f>
        <v>2030–31</v>
      </c>
    </row>
    <row r="25" spans="3:8" ht="11.25" customHeight="1">
      <c r="C25" s="85" t="s">
        <v>161</v>
      </c>
      <c r="D25" s="120">
        <f>'Input | Inflation and Disc Rate'!L$22</f>
        <v>6.2668499897899022E-2</v>
      </c>
      <c r="E25" s="120">
        <f>'Input | Inflation and Disc Rate'!M$22</f>
        <v>6.3225304468973453E-2</v>
      </c>
      <c r="F25" s="120">
        <f>'Input | Inflation and Disc Rate'!N$22</f>
        <v>6.4112969894826621E-2</v>
      </c>
      <c r="G25" s="120">
        <f>'Input | Inflation and Disc Rate'!O$22</f>
        <v>6.5132966255795344E-2</v>
      </c>
      <c r="H25" s="121">
        <f>'Input | Inflation and Disc Rate'!P$22</f>
        <v>6.7115126549230464E-2</v>
      </c>
    </row>
    <row r="26" spans="3:8" ht="11.25" customHeight="1">
      <c r="C26" s="86" t="s">
        <v>162</v>
      </c>
      <c r="D26" s="117">
        <f>'Input | Reported Capex'!H32</f>
        <v>0</v>
      </c>
      <c r="E26" s="117">
        <f>'Input | Reported Capex'!I32</f>
        <v>0</v>
      </c>
      <c r="F26" s="117">
        <f>'Input | Reported Capex'!J32</f>
        <v>0</v>
      </c>
      <c r="G26" s="117">
        <f>'Input | Reported Capex'!K32</f>
        <v>0</v>
      </c>
      <c r="H26" s="118">
        <f>'Input | Reported Capex'!L32</f>
        <v>0</v>
      </c>
    </row>
    <row r="27" spans="3:8" ht="11.25" customHeight="1">
      <c r="C27" s="86" t="s">
        <v>163</v>
      </c>
      <c r="D27" s="167">
        <f>1/((1+D25)^(0.5))</f>
        <v>0.97006558274692345</v>
      </c>
      <c r="E27" s="161">
        <f>1/((1+E25)^(0.5)*(1+D25))</f>
        <v>0.91261907253071761</v>
      </c>
      <c r="F27" s="161">
        <f>1/((1+F25)^(0.5)*(1+E25)*(1+D25))</f>
        <v>0.8579915690672516</v>
      </c>
      <c r="G27" s="161">
        <f>1/((1+G25)^(0.5)*(1+F25)*(1+E25)*(1+D25))</f>
        <v>0.80591128807273416</v>
      </c>
      <c r="H27" s="162">
        <f>1/((1+H25)^(0.5)*(1+G25)*(1+F25)*(1+E25)*(1+D25))</f>
        <v>0.75592670385485805</v>
      </c>
    </row>
    <row r="28" spans="3:8" ht="11.25" customHeight="1">
      <c r="C28" s="170" t="s">
        <v>164</v>
      </c>
      <c r="D28" s="164">
        <f>D26*D27</f>
        <v>0</v>
      </c>
      <c r="E28" s="164">
        <f t="shared" ref="E28:G28" si="2">E26*E27</f>
        <v>0</v>
      </c>
      <c r="F28" s="164">
        <f t="shared" si="2"/>
        <v>0</v>
      </c>
      <c r="G28" s="164">
        <f t="shared" si="2"/>
        <v>0</v>
      </c>
      <c r="H28" s="165">
        <f>H26*H27</f>
        <v>0</v>
      </c>
    </row>
    <row r="29" spans="3:8" ht="11.25" customHeight="1">
      <c r="C29" s="171"/>
      <c r="D29" s="77"/>
      <c r="E29" s="77"/>
      <c r="F29" s="77"/>
      <c r="G29" s="77"/>
      <c r="H29" s="77"/>
    </row>
    <row r="30" spans="3:8" ht="11.25" customHeight="1">
      <c r="C30" s="169" t="s">
        <v>165</v>
      </c>
      <c r="D30" s="90"/>
      <c r="E30" s="76"/>
      <c r="F30" s="76"/>
      <c r="G30" s="76"/>
      <c r="H30" s="76"/>
    </row>
    <row r="31" spans="3:8" ht="11.25" customHeight="1">
      <c r="C31" s="83" t="s">
        <v>166</v>
      </c>
      <c r="D31" s="173">
        <f>SUM(D20:H20)-SUM(D28:H28)</f>
        <v>71.589487380303353</v>
      </c>
      <c r="E31" s="76"/>
      <c r="F31" s="76"/>
      <c r="G31" s="76"/>
      <c r="H31" s="76"/>
    </row>
    <row r="32" spans="3:8" ht="11.25" customHeight="1">
      <c r="C32" s="83" t="s">
        <v>167</v>
      </c>
      <c r="D32" s="172">
        <v>0.3</v>
      </c>
      <c r="E32" s="76"/>
      <c r="F32" s="76"/>
      <c r="G32" s="76"/>
      <c r="H32" s="76"/>
    </row>
    <row r="33" spans="2:8" ht="11.25" customHeight="1">
      <c r="C33" s="83" t="s">
        <v>168</v>
      </c>
      <c r="D33" s="173">
        <f>(1-D32)*D31</f>
        <v>50.112641166212342</v>
      </c>
      <c r="E33" s="76"/>
      <c r="F33" s="76"/>
      <c r="G33" s="76"/>
      <c r="H33" s="76"/>
    </row>
    <row r="34" spans="2:8" ht="11.25" customHeight="1">
      <c r="C34" s="83" t="s">
        <v>169</v>
      </c>
      <c r="D34" s="173">
        <f>D32*D31</f>
        <v>21.476846214091005</v>
      </c>
      <c r="E34" s="76"/>
      <c r="F34" s="76"/>
      <c r="G34" s="76"/>
      <c r="H34" s="76"/>
    </row>
    <row r="35" spans="2:8" ht="11.25" customHeight="1">
      <c r="C35" s="83" t="s">
        <v>170</v>
      </c>
      <c r="D35" s="173">
        <f>SUM(D21:H21)</f>
        <v>6.4545646192410224</v>
      </c>
      <c r="E35" s="76"/>
      <c r="F35" s="76"/>
      <c r="G35" s="76"/>
      <c r="H35" s="76"/>
    </row>
    <row r="36" spans="2:8" ht="11.25" customHeight="1">
      <c r="C36" s="84" t="s">
        <v>171</v>
      </c>
      <c r="D36" s="168">
        <f>D34-D35</f>
        <v>15.022281594849982</v>
      </c>
      <c r="E36" s="76"/>
      <c r="F36" s="139"/>
      <c r="G36" s="76"/>
      <c r="H36" s="76"/>
    </row>
    <row r="37" spans="2:8" ht="11.25" customHeight="1">
      <c r="D37" s="19"/>
    </row>
    <row r="38" spans="2:8" s="8" customFormat="1" ht="12" customHeight="1">
      <c r="B38" s="22" t="s">
        <v>172</v>
      </c>
    </row>
    <row r="39" spans="2:8" s="20" customFormat="1" ht="11.25" customHeight="1">
      <c r="H39" s="21"/>
    </row>
    <row r="40" spans="2:8" s="23" customFormat="1" ht="11.25" customHeight="1">
      <c r="C40" s="74"/>
      <c r="D40" s="131" t="str">
        <f>'Input | General'!D19</f>
        <v>2026-27</v>
      </c>
      <c r="E40" s="131" t="str">
        <f>'Input | General'!E19</f>
        <v>2027–28</v>
      </c>
      <c r="F40" s="131" t="str">
        <f>'Input | General'!F19</f>
        <v>2028–29</v>
      </c>
      <c r="G40" s="131" t="str">
        <f>'Input | General'!G19</f>
        <v>2029–30</v>
      </c>
      <c r="H40" s="131" t="str">
        <f>'Input | General'!H19</f>
        <v>2030–31</v>
      </c>
    </row>
    <row r="41" spans="2:8" s="23" customFormat="1" ht="11.25" customHeight="1">
      <c r="C41" s="78" t="s">
        <v>173</v>
      </c>
      <c r="D41" s="174">
        <f>1/(1+'Input | Inflation and Disc Rate'!L21)</f>
        <v>0.96436463676486472</v>
      </c>
      <c r="E41" s="174">
        <f>D41/(1+'Input | Inflation and Disc Rate'!M21)</f>
        <v>0.92951211779017595</v>
      </c>
      <c r="F41" s="174">
        <f>E41/(1+'Input | Inflation and Disc Rate'!N21)</f>
        <v>0.89517182166827414</v>
      </c>
      <c r="G41" s="174">
        <f>F41/(1+'Input | Inflation and Disc Rate'!O21)</f>
        <v>0.86127464082014182</v>
      </c>
      <c r="H41" s="175">
        <f>G41/(1+'Input | Inflation and Disc Rate'!P21)</f>
        <v>0.82712180034958038</v>
      </c>
    </row>
    <row r="42" spans="2:8" s="23" customFormat="1" ht="11.25" customHeight="1">
      <c r="C42" s="136" t="str">
        <f>CONCATENATE("CESS Payment Per Year before CPF ($", 'Output | Models'!$F$8," million)")</f>
        <v>CESS Payment Per Year before CPF ($2025–26 million)</v>
      </c>
      <c r="D42" s="214">
        <f>D36/(SUM(D41:H41))</f>
        <v>3.3551012991772269</v>
      </c>
      <c r="E42" s="176">
        <f>D42</f>
        <v>3.3551012991772269</v>
      </c>
      <c r="F42" s="176">
        <f t="shared" ref="F42:H42" si="3">E42</f>
        <v>3.3551012991772269</v>
      </c>
      <c r="G42" s="176">
        <f t="shared" si="3"/>
        <v>3.3551012991772269</v>
      </c>
      <c r="H42" s="177">
        <f t="shared" si="3"/>
        <v>3.3551012991772269</v>
      </c>
    </row>
    <row r="43" spans="2:8" s="23" customFormat="1" ht="11.25" customHeight="1">
      <c r="C43" s="135" t="s">
        <v>141</v>
      </c>
      <c r="D43" s="178">
        <f>IF($D$34&lt;=$D$35,1,'Input | Asset Performance Index'!$H$19)</f>
        <v>1</v>
      </c>
      <c r="E43" s="178">
        <f>IF($D$34&lt;=$D$35,1,'Input | Asset Performance Index'!$H$19)</f>
        <v>1</v>
      </c>
      <c r="F43" s="178">
        <f>IF($D$34&lt;=$D$35,1,'Input | Asset Performance Index'!$H$19)</f>
        <v>1</v>
      </c>
      <c r="G43" s="178">
        <f>IF($D$34&lt;=$D$35,1,'Input | Asset Performance Index'!$H$19)</f>
        <v>1</v>
      </c>
      <c r="H43" s="178">
        <f>IF($D$34&lt;=$D$35,1,'Input | Asset Performance Index'!$H$19)</f>
        <v>1</v>
      </c>
    </row>
    <row r="44" spans="2:8" s="23" customFormat="1" ht="11.25" customHeight="1">
      <c r="C44" s="135" t="str">
        <f>CONCATENATE("CESS Payment Per Year after CPF ($", 'Output | Models'!$F$8," million)")</f>
        <v>CESS Payment Per Year after CPF ($2025–26 million)</v>
      </c>
      <c r="D44" s="179">
        <f>D42*D43</f>
        <v>3.3551012991772269</v>
      </c>
      <c r="E44" s="179">
        <f t="shared" ref="E44:H44" si="4">E42*E43</f>
        <v>3.3551012991772269</v>
      </c>
      <c r="F44" s="179">
        <f t="shared" si="4"/>
        <v>3.3551012991772269</v>
      </c>
      <c r="G44" s="179">
        <f t="shared" si="4"/>
        <v>3.3551012991772269</v>
      </c>
      <c r="H44" s="179">
        <f t="shared" si="4"/>
        <v>3.3551012991772269</v>
      </c>
    </row>
    <row r="45" spans="2:8" s="66" customFormat="1" ht="11.25" customHeight="1"/>
    <row r="46" spans="2:8" s="23" customFormat="1" ht="11.25" customHeight="1">
      <c r="C46" s="136" t="str">
        <f>CONCATENATE("Total CESS Payment ($", 'Output | Models'!$F$8," million)")</f>
        <v>Total CESS Payment ($2025–26 million)</v>
      </c>
      <c r="D46" s="180">
        <f>SUM(D44:H44)</f>
        <v>16.775506495886134</v>
      </c>
      <c r="E46" s="57"/>
      <c r="F46" s="57"/>
      <c r="G46" s="57"/>
      <c r="H46" s="57"/>
    </row>
    <row r="49" spans="2:2" ht="12" customHeight="1">
      <c r="B49" s="22" t="s">
        <v>18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59999389629810485"/>
  </sheetPr>
  <dimension ref="B1:X11"/>
  <sheetViews>
    <sheetView topLeftCell="E1" zoomScale="120" zoomScaleNormal="120" workbookViewId="0">
      <selection activeCell="O8" sqref="O8"/>
    </sheetView>
  </sheetViews>
  <sheetFormatPr defaultColWidth="0" defaultRowHeight="11.25" customHeight="1" zeroHeight="1"/>
  <cols>
    <col min="1" max="2" width="1.28515625" style="42" customWidth="1"/>
    <col min="3" max="3" width="36" style="42" customWidth="1"/>
    <col min="4" max="4" width="24.7109375" style="43" customWidth="1"/>
    <col min="5" max="5" width="13.5703125" style="43" customWidth="1"/>
    <col min="6" max="6" width="9.140625" style="43" customWidth="1"/>
    <col min="7" max="9" width="2.85546875" style="43" customWidth="1"/>
    <col min="10" max="15" width="9.28515625" style="42" customWidth="1"/>
    <col min="16" max="17" width="3" style="42" customWidth="1"/>
    <col min="18" max="24" width="9.28515625" style="42" hidden="1" customWidth="1"/>
    <col min="25" max="48" width="0" style="42" hidden="1" customWidth="1"/>
    <col min="49" max="16384" width="0" style="42" hidden="1"/>
  </cols>
  <sheetData>
    <row r="1" spans="2:20" s="27" customFormat="1" ht="15.75">
      <c r="B1" s="3" t="str">
        <f>'Input | General'!$B$1</f>
        <v>AGN(SA) 2026-31 Final decision - Capital expenditure sharing scheme model</v>
      </c>
      <c r="C1" s="28"/>
      <c r="D1" s="28"/>
      <c r="E1" s="28"/>
      <c r="F1" s="29"/>
      <c r="G1" s="29"/>
      <c r="H1" s="29"/>
      <c r="I1" s="29"/>
      <c r="J1" s="79"/>
      <c r="K1" s="80" t="s">
        <v>19</v>
      </c>
      <c r="L1" s="107" t="s">
        <v>20</v>
      </c>
      <c r="M1" s="112" t="s">
        <v>21</v>
      </c>
      <c r="R1" s="81"/>
      <c r="S1" s="66"/>
      <c r="T1" s="66"/>
    </row>
    <row r="2" spans="2:20" s="30" customFormat="1" ht="13.5" thickBot="1">
      <c r="B2" s="31" t="s">
        <v>16</v>
      </c>
      <c r="C2" s="31"/>
      <c r="D2" s="31"/>
      <c r="E2" s="31"/>
      <c r="F2" s="32"/>
      <c r="G2" s="32"/>
      <c r="H2" s="32"/>
      <c r="I2" s="32"/>
    </row>
    <row r="3" spans="2:20" s="33" customFormat="1">
      <c r="D3" s="34"/>
      <c r="E3" s="34"/>
      <c r="F3" s="34"/>
      <c r="G3" s="34"/>
      <c r="H3" s="34"/>
      <c r="I3" s="34"/>
      <c r="J3" s="222"/>
      <c r="K3" s="222"/>
      <c r="L3" s="222"/>
      <c r="M3" s="34"/>
      <c r="N3" s="222"/>
      <c r="O3" s="222"/>
      <c r="P3" s="222"/>
      <c r="Q3" s="222"/>
      <c r="R3" s="222"/>
      <c r="S3" s="222"/>
      <c r="T3" s="222"/>
    </row>
    <row r="4" spans="2:20" s="41" customFormat="1" ht="12.75">
      <c r="B4" s="36" t="s">
        <v>174</v>
      </c>
      <c r="C4" s="35"/>
      <c r="D4" s="35"/>
      <c r="E4" s="35"/>
      <c r="F4" s="35"/>
      <c r="G4" s="37"/>
      <c r="H4" s="37"/>
      <c r="I4" s="37"/>
      <c r="J4" s="38" t="s">
        <v>175</v>
      </c>
      <c r="K4" s="39"/>
      <c r="L4" s="40"/>
      <c r="M4" s="39"/>
      <c r="N4" s="40"/>
      <c r="O4" s="40"/>
      <c r="P4" s="40"/>
      <c r="Q4" s="40"/>
      <c r="R4" s="40"/>
      <c r="S4" s="40"/>
      <c r="T4" s="40"/>
    </row>
    <row r="5" spans="2:20" ht="11.25" customHeight="1">
      <c r="M5" s="44"/>
      <c r="N5" s="44"/>
      <c r="O5" s="44"/>
      <c r="P5" s="44"/>
      <c r="Q5" s="66"/>
      <c r="R5" s="66"/>
      <c r="S5" s="66"/>
      <c r="T5" s="66"/>
    </row>
    <row r="6" spans="2:20" ht="11.25" customHeight="1">
      <c r="C6" s="45" t="s">
        <v>176</v>
      </c>
      <c r="D6" s="46" t="s">
        <v>46</v>
      </c>
      <c r="E6" s="46" t="s">
        <v>47</v>
      </c>
      <c r="F6" s="46" t="s">
        <v>59</v>
      </c>
      <c r="H6" s="46"/>
      <c r="I6" s="46"/>
      <c r="J6" s="132" t="str">
        <f>'Calc | CESS Revenue Increments'!D40</f>
        <v>2026-27</v>
      </c>
      <c r="K6" s="132" t="str">
        <f>'Calc | CESS Revenue Increments'!E40</f>
        <v>2027–28</v>
      </c>
      <c r="L6" s="132" t="str">
        <f>'Calc | CESS Revenue Increments'!F40</f>
        <v>2028–29</v>
      </c>
      <c r="M6" s="132" t="str">
        <f>'Calc | CESS Revenue Increments'!G40</f>
        <v>2029–30</v>
      </c>
      <c r="N6" s="132" t="str">
        <f>'Calc | CESS Revenue Increments'!H40</f>
        <v>2030–31</v>
      </c>
      <c r="O6" s="47" t="s">
        <v>177</v>
      </c>
      <c r="P6" s="95"/>
      <c r="Q6" s="66"/>
      <c r="R6" s="66"/>
      <c r="S6" s="66"/>
      <c r="T6" s="66"/>
    </row>
    <row r="7" spans="2:20" ht="11.25" customHeight="1">
      <c r="C7" s="45"/>
      <c r="D7" s="46"/>
      <c r="E7" s="46"/>
      <c r="F7" s="46"/>
      <c r="H7" s="46"/>
      <c r="I7" s="46"/>
      <c r="O7" s="66"/>
      <c r="P7" s="66"/>
      <c r="Q7" s="66"/>
      <c r="R7" s="66"/>
      <c r="S7" s="66"/>
      <c r="T7" s="66"/>
    </row>
    <row r="8" spans="2:20" ht="11.25" customHeight="1">
      <c r="C8" s="48" t="s">
        <v>178</v>
      </c>
      <c r="D8" s="134" t="s">
        <v>14</v>
      </c>
      <c r="E8" s="43" t="s">
        <v>61</v>
      </c>
      <c r="F8" s="133" t="str">
        <f>IF(LEN(J6)&gt;4,CONCATENATE(LEFT(J6,4)-1&amp;"–"&amp;IF(RIGHT(J6,2)="00","99",IF(RIGHT(J6,2)-1&lt;10,"0","")&amp;RIGHT(J6,2)-1)),J6-1)</f>
        <v>2025–26</v>
      </c>
      <c r="H8" s="46"/>
      <c r="I8" s="46"/>
      <c r="J8" s="157">
        <f>'Calc | CESS Revenue Increments'!D44</f>
        <v>3.3551012991772269</v>
      </c>
      <c r="K8" s="157">
        <f>'Calc | CESS Revenue Increments'!E44</f>
        <v>3.3551012991772269</v>
      </c>
      <c r="L8" s="157">
        <f>'Calc | CESS Revenue Increments'!F44</f>
        <v>3.3551012991772269</v>
      </c>
      <c r="M8" s="157">
        <f>'Calc | CESS Revenue Increments'!G44</f>
        <v>3.3551012991772269</v>
      </c>
      <c r="N8" s="157">
        <f>'Calc | CESS Revenue Increments'!H44</f>
        <v>3.3551012991772269</v>
      </c>
      <c r="O8" s="188">
        <f>SUM(J8:N8)</f>
        <v>16.775506495886134</v>
      </c>
      <c r="P8" s="96"/>
      <c r="Q8" s="66"/>
      <c r="R8" s="66"/>
      <c r="S8" s="66"/>
      <c r="T8" s="66"/>
    </row>
    <row r="9" spans="2:20" ht="11.25" customHeight="1">
      <c r="C9" s="48"/>
      <c r="D9" s="49"/>
      <c r="H9" s="46"/>
      <c r="I9" s="46"/>
      <c r="Q9" s="66"/>
      <c r="R9" s="66"/>
      <c r="S9" s="66"/>
      <c r="T9" s="66"/>
    </row>
    <row r="10" spans="2:20" ht="11.25" customHeight="1">
      <c r="D10" s="49"/>
      <c r="H10" s="46"/>
      <c r="I10" s="46"/>
      <c r="J10" s="94"/>
      <c r="K10" s="94"/>
      <c r="L10" s="94"/>
      <c r="M10" s="94"/>
      <c r="N10" s="94"/>
      <c r="Q10" s="66"/>
      <c r="R10" s="66"/>
      <c r="S10" s="66"/>
      <c r="T10" s="66"/>
    </row>
    <row r="11" spans="2:20" s="41" customFormat="1" ht="12.75">
      <c r="B11" s="36" t="s">
        <v>18</v>
      </c>
      <c r="C11" s="35"/>
      <c r="D11" s="35"/>
      <c r="E11" s="35"/>
      <c r="F11" s="37"/>
      <c r="G11" s="37"/>
      <c r="H11" s="37"/>
      <c r="I11" s="37"/>
      <c r="J11" s="40"/>
      <c r="K11" s="39"/>
      <c r="L11" s="40"/>
      <c r="M11" s="39"/>
      <c r="N11" s="40"/>
      <c r="O11" s="40"/>
      <c r="P11" s="40"/>
      <c r="Q11" s="40"/>
      <c r="R11" s="40"/>
      <c r="S11" s="40"/>
      <c r="T11" s="40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600-000000000000}">
      <formula1>#REF!</formula1>
    </dataValidation>
  </dataValidations>
  <hyperlinks>
    <hyperlink ref="D8" location="'Calc | CESS Payments'!A1" display="Calc | CESS Revenue Increments" xr:uid="{00000000-0004-0000-0600-000000000000}"/>
  </hyperlinks>
  <pageMargins left="0.7" right="0.7" top="0.75" bottom="0.75" header="0.3" footer="0.3"/>
  <pageSetup paperSize="9" orientation="portrait" verticalDpi="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69beede-7b9e-489f-8a4d-ae25a14c8199" xsi:nil="true"/>
    <lcf76f155ced4ddcb4097134ff3c332f xmlns="f69beede-7b9e-489f-8a4d-ae25a14c8199">
      <Terms xmlns="http://schemas.microsoft.com/office/infopath/2007/PartnerControls"/>
    </lcf76f155ced4ddcb4097134ff3c332f>
    <TaxCatchAll xmlns="e81d0cd9-c043-4c37-9584-5b1b876d03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p r o p e r t i e s   x m l n s = " h t t p : / / w w w . i m a n a g e . c o m / w o r k / x m l s c h e m a " >  
     < d o c u m e n t i d > A C C C a n d A E R ! 1 7 5 1 2 6 1 6 . 2 < / d o c u m e n t i d >  
     < s e n d e r i d > K J O < / s e n d e r i d >  
     < s e n d e r e m a i l > K A Y E . J O H N S T O N @ A E R . G O V . A U < / s e n d e r e m a i l >  
     < l a s t m o d i f i e d > 2 0 2 5 - 0 2 - 1 3 T 0 9 : 1 0 : 2 0 . 0 0 0 0 0 0 0 + 1 1 : 0 0 < / l a s t m o d i f i e d >  
     < d a t a b a s e > A C C C a n d A E R < / d a t a b a s e >  
 < / p r o p e r t i e s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531811A0864984EF832EAE07F637" ma:contentTypeVersion="17" ma:contentTypeDescription="Create a new document." ma:contentTypeScope="" ma:versionID="186403bc803fc3d595cc20c4e5a8874a">
  <xsd:schema xmlns:xsd="http://www.w3.org/2001/XMLSchema" xmlns:xs="http://www.w3.org/2001/XMLSchema" xmlns:p="http://schemas.microsoft.com/office/2006/metadata/properties" xmlns:ns2="f69beede-7b9e-489f-8a4d-ae25a14c8199" xmlns:ns3="e81d0cd9-c043-4c37-9584-5b1b876d03c4" targetNamespace="http://schemas.microsoft.com/office/2006/metadata/properties" ma:root="true" ma:fieldsID="8b3c1cdd93ba2c75e4b815560e985d1c" ns2:_="" ns3:_="">
    <xsd:import namespace="f69beede-7b9e-489f-8a4d-ae25a14c8199"/>
    <xsd:import namespace="e81d0cd9-c043-4c37-9584-5b1b876d0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eede-7b9e-489f-8a4d-ae25a14c8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b4a0c63-b107-443f-81ac-4a77d015a5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d0cd9-c043-4c37-9584-5b1b876d03c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96865c-e6a8-4405-b92b-f461e49fd139}" ma:internalName="TaxCatchAll" ma:showField="CatchAllData" ma:web="e81d0cd9-c043-4c37-9584-5b1b876d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964EA-3C6C-44C1-9DEC-198AD06BFE46}">
  <ds:schemaRefs>
    <ds:schemaRef ds:uri="http://schemas.microsoft.com/office/2006/metadata/properties"/>
    <ds:schemaRef ds:uri="http://schemas.microsoft.com/office/infopath/2007/PartnerControls"/>
    <ds:schemaRef ds:uri="f69beede-7b9e-489f-8a4d-ae25a14c8199"/>
    <ds:schemaRef ds:uri="e81d0cd9-c043-4c37-9584-5b1b876d03c4"/>
  </ds:schemaRefs>
</ds:datastoreItem>
</file>

<file path=customXml/itemProps2.xml><?xml version="1.0" encoding="utf-8"?>
<ds:datastoreItem xmlns:ds="http://schemas.openxmlformats.org/officeDocument/2006/customXml" ds:itemID="{8925E918-4674-4082-BB1E-879FAAABE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87DD7-09CA-4E1D-BAC5-00FACE30D369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288D7954-D43B-4BD3-9C7D-8A27D6079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eede-7b9e-489f-8a4d-ae25a14c8199"/>
    <ds:schemaRef ds:uri="e81d0cd9-c043-4c37-9584-5b1b876d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Input | General</vt:lpstr>
      <vt:lpstr>Input | Inflation and Disc Rate</vt:lpstr>
      <vt:lpstr>Input | Reported Capex</vt:lpstr>
      <vt:lpstr>Input | Reported Performance</vt:lpstr>
      <vt:lpstr>Input | Performance Targets</vt:lpstr>
      <vt:lpstr>Input | Asset Performance Index</vt:lpstr>
      <vt:lpstr>Calc | CESS Revenue Increments</vt:lpstr>
      <vt:lpstr>Output |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AER</dc:creator>
  <cp:keywords>DNSP; Reset; CESS; 2027-31; FY; VIC</cp:keywords>
  <dc:description>as provided by AER workstream on 20190918</dc:description>
  <cp:lastModifiedBy>Matthew Zhang</cp:lastModifiedBy>
  <cp:revision/>
  <dcterms:created xsi:type="dcterms:W3CDTF">2017-09-22T02:00:05Z</dcterms:created>
  <dcterms:modified xsi:type="dcterms:W3CDTF">2026-05-08T05:11:59Z</dcterms:modified>
  <cp:category>DNSP;Reset;CESS;2027-31;FY;VIC</cp:category>
  <cp:contentStatus>Preliminary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2024-07-31T23:24:57Z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6ac437e0-2630-4647-9e01-d291008e3328</vt:lpwstr>
  </property>
  <property fmtid="{D5CDD505-2E9C-101B-9397-08002B2CF9AE}" pid="9" name="MSIP_Label_d9d5a995-dfdf-4407-9a97-edbbc68c9f53_ContentBits">
    <vt:lpwstr>0</vt:lpwstr>
  </property>
  <property fmtid="{D5CDD505-2E9C-101B-9397-08002B2CF9AE}" pid="10" name="ContentTypeId">
    <vt:lpwstr>0x0101004B82531811A0864984EF832EAE07F637</vt:lpwstr>
  </property>
  <property fmtid="{D5CDD505-2E9C-101B-9397-08002B2CF9AE}" pid="11" name="MediaServiceImageTags">
    <vt:lpwstr/>
  </property>
</Properties>
</file>