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AER\Opex modelling\AER opex models\32. AGNSA, Evoenergy, Amadeus 2026-31\AGNSA\4 Final decision\Publish\final\"/>
    </mc:Choice>
  </mc:AlternateContent>
  <xr:revisionPtr revIDLastSave="0" documentId="13_ncr:1_{D9FCBA03-2845-48E4-A4E5-F2E0E2E089AD}" xr6:coauthVersionLast="47" xr6:coauthVersionMax="47" xr10:uidLastSave="{00000000-0000-0000-0000-000000000000}"/>
  <bookViews>
    <workbookView xWindow="-120" yWindow="-120" windowWidth="29040" windowHeight="15720" tabRatio="804" activeTab="1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" i="2" l="1"/>
  <c r="H84" i="55"/>
  <c r="H88" i="55" s="1"/>
  <c r="F79" i="55"/>
  <c r="H79" i="55" s="1"/>
  <c r="F80" i="55"/>
  <c r="H80" i="55" s="1"/>
  <c r="F81" i="55"/>
  <c r="H81" i="55" s="1"/>
  <c r="F82" i="55"/>
  <c r="H82" i="55" s="1"/>
  <c r="H86" i="55" s="1"/>
  <c r="F83" i="55"/>
  <c r="H83" i="55" s="1"/>
  <c r="F22" i="55"/>
  <c r="H22" i="55" s="1"/>
  <c r="F23" i="55"/>
  <c r="H23" i="55" s="1"/>
  <c r="F24" i="55"/>
  <c r="H24" i="55" s="1"/>
  <c r="F25" i="55"/>
  <c r="H25" i="55" s="1"/>
  <c r="F26" i="55"/>
  <c r="H26" i="55" s="1"/>
  <c r="F27" i="55"/>
  <c r="H27" i="55" s="1"/>
  <c r="F28" i="55"/>
  <c r="H28" i="55" s="1"/>
  <c r="F29" i="55"/>
  <c r="H29" i="55" s="1"/>
  <c r="F30" i="55"/>
  <c r="H30" i="55" s="1"/>
  <c r="F31" i="55"/>
  <c r="H31" i="55" s="1"/>
  <c r="F32" i="55"/>
  <c r="H32" i="55" s="1"/>
  <c r="F33" i="55"/>
  <c r="H33" i="55" s="1"/>
  <c r="F34" i="55"/>
  <c r="H34" i="55" s="1"/>
  <c r="F35" i="55"/>
  <c r="H35" i="55" s="1"/>
  <c r="F36" i="55"/>
  <c r="H36" i="55" s="1"/>
  <c r="F37" i="55"/>
  <c r="H37" i="55" s="1"/>
  <c r="F38" i="55"/>
  <c r="H38" i="55" s="1"/>
  <c r="F39" i="55"/>
  <c r="H39" i="55" s="1"/>
  <c r="F40" i="55"/>
  <c r="H40" i="55" s="1"/>
  <c r="F41" i="55"/>
  <c r="H41" i="55" s="1"/>
  <c r="F42" i="55"/>
  <c r="H42" i="55" s="1"/>
  <c r="F43" i="55"/>
  <c r="H43" i="55" s="1"/>
  <c r="F44" i="55"/>
  <c r="H44" i="55" s="1"/>
  <c r="F45" i="55"/>
  <c r="H45" i="55" s="1"/>
  <c r="F46" i="55"/>
  <c r="H46" i="55" s="1"/>
  <c r="F47" i="55"/>
  <c r="H47" i="55" s="1"/>
  <c r="F48" i="55"/>
  <c r="H48" i="55" s="1"/>
  <c r="F49" i="55"/>
  <c r="H49" i="55" s="1"/>
  <c r="F50" i="55"/>
  <c r="H50" i="55" s="1"/>
  <c r="F51" i="55"/>
  <c r="H51" i="55" s="1"/>
  <c r="F52" i="55"/>
  <c r="H52" i="55" s="1"/>
  <c r="F53" i="55"/>
  <c r="H53" i="55" s="1"/>
  <c r="F54" i="55"/>
  <c r="H54" i="55" s="1"/>
  <c r="F55" i="55"/>
  <c r="H55" i="55" s="1"/>
  <c r="F56" i="55"/>
  <c r="H56" i="55" s="1"/>
  <c r="F57" i="55"/>
  <c r="H57" i="55" s="1"/>
  <c r="F58" i="55"/>
  <c r="H58" i="55" s="1"/>
  <c r="F59" i="55"/>
  <c r="H59" i="55" s="1"/>
  <c r="F60" i="55"/>
  <c r="H60" i="55" s="1"/>
  <c r="F61" i="55"/>
  <c r="H61" i="55" s="1"/>
  <c r="F62" i="55"/>
  <c r="H62" i="55" s="1"/>
  <c r="F63" i="55"/>
  <c r="H63" i="55" s="1"/>
  <c r="F64" i="55"/>
  <c r="H64" i="55" s="1"/>
  <c r="F65" i="55"/>
  <c r="H65" i="55" s="1"/>
  <c r="F66" i="55"/>
  <c r="H66" i="55" s="1"/>
  <c r="F67" i="55"/>
  <c r="H67" i="55" s="1"/>
  <c r="F68" i="55"/>
  <c r="H68" i="55" s="1"/>
  <c r="F69" i="55"/>
  <c r="H69" i="55" s="1"/>
  <c r="F70" i="55"/>
  <c r="H70" i="55" s="1"/>
  <c r="F71" i="55"/>
  <c r="H71" i="55" s="1"/>
  <c r="F72" i="55"/>
  <c r="H72" i="55" s="1"/>
  <c r="F73" i="55"/>
  <c r="H73" i="55" s="1"/>
  <c r="F74" i="55"/>
  <c r="H74" i="55" s="1"/>
  <c r="F75" i="55"/>
  <c r="H75" i="55" s="1"/>
  <c r="F76" i="55"/>
  <c r="H76" i="55" s="1"/>
  <c r="F77" i="55"/>
  <c r="H77" i="55" s="1"/>
  <c r="F78" i="55"/>
  <c r="H78" i="55" s="1"/>
  <c r="F21" i="55"/>
  <c r="H21" i="55" s="1"/>
  <c r="H87" i="55" l="1"/>
  <c r="H85" i="55"/>
  <c r="C94" i="2" l="1" a="1"/>
  <c r="C97" i="2" s="1"/>
  <c r="C94" i="2" l="1"/>
  <c r="C96" i="2"/>
  <c r="C95" i="2"/>
  <c r="I68" i="4" l="1"/>
  <c r="H68" i="4"/>
  <c r="I67" i="4"/>
  <c r="H67" i="4"/>
  <c r="V87" i="55" l="1"/>
  <c r="V88" i="55"/>
  <c r="W32" i="53" l="1"/>
  <c r="W31" i="53"/>
  <c r="W30" i="53"/>
  <c r="W29" i="53"/>
  <c r="W17" i="53"/>
  <c r="W18" i="53"/>
  <c r="W19" i="53"/>
  <c r="W20" i="53"/>
  <c r="V64" i="58"/>
  <c r="V65" i="58"/>
  <c r="V66" i="58"/>
  <c r="V67" i="58"/>
  <c r="V63" i="58"/>
  <c r="V55" i="58"/>
  <c r="V54" i="58" l="1"/>
  <c r="V53" i="58"/>
  <c r="V45" i="58"/>
  <c r="V44" i="58"/>
  <c r="V43" i="58"/>
  <c r="V22" i="58"/>
  <c r="V23" i="58"/>
  <c r="V24" i="58"/>
  <c r="V25" i="58"/>
  <c r="V26" i="58"/>
  <c r="V27" i="58"/>
  <c r="B2" i="55"/>
  <c r="T40" i="2" l="1"/>
  <c r="S40" i="2"/>
  <c r="R40" i="2"/>
  <c r="Q40" i="2"/>
  <c r="P40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E90" i="2"/>
  <c r="E89" i="2"/>
  <c r="E88" i="2"/>
  <c r="E87" i="2"/>
  <c r="E86" i="2"/>
  <c r="E85" i="2"/>
  <c r="V66" i="55" l="1"/>
  <c r="I60" i="55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V70" i="55" l="1"/>
  <c r="S67" i="42"/>
  <c r="P67" i="42"/>
  <c r="C7" i="4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M31" i="42" s="1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T67" i="42"/>
  <c r="U79" i="2"/>
  <c r="U80" i="2"/>
  <c r="U4" i="2"/>
  <c r="U92" i="2" s="1"/>
  <c r="U95" i="2" s="1"/>
  <c r="H78" i="4"/>
  <c r="G78" i="4" s="1"/>
  <c r="T4" i="53"/>
  <c r="T38" i="53" s="1"/>
  <c r="T42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U77" i="2"/>
  <c r="N47" i="58"/>
  <c r="O47" i="58"/>
  <c r="P47" i="58"/>
  <c r="Q47" i="58"/>
  <c r="R47" i="58"/>
  <c r="S47" i="58"/>
  <c r="C86" i="2"/>
  <c r="C85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S22" i="53" s="1"/>
  <c r="R4" i="53"/>
  <c r="R38" i="53" s="1"/>
  <c r="R42" i="53" s="1"/>
  <c r="Q4" i="53"/>
  <c r="Q38" i="53" s="1"/>
  <c r="Q42" i="53" s="1"/>
  <c r="P4" i="53"/>
  <c r="O4" i="53"/>
  <c r="O38" i="53" s="1"/>
  <c r="O42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92" i="2" s="1"/>
  <c r="J94" i="2" s="1"/>
  <c r="T4" i="2"/>
  <c r="T75" i="2" s="1"/>
  <c r="S4" i="2"/>
  <c r="S64" i="2" s="1"/>
  <c r="S73" i="2" s="1"/>
  <c r="R4" i="2"/>
  <c r="R49" i="2" s="1"/>
  <c r="R60" i="2" s="1"/>
  <c r="Q4" i="2"/>
  <c r="Q92" i="2" s="1"/>
  <c r="P4" i="2"/>
  <c r="P10" i="2" s="1"/>
  <c r="P12" i="2" s="1"/>
  <c r="O4" i="2"/>
  <c r="O64" i="2" s="1"/>
  <c r="O73" i="2" s="1"/>
  <c r="N4" i="2"/>
  <c r="M4" i="2"/>
  <c r="M92" i="2" s="1"/>
  <c r="M94" i="2" s="1"/>
  <c r="L4" i="2"/>
  <c r="L101" i="2" s="1"/>
  <c r="L105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L49" i="42"/>
  <c r="M43" i="4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17" i="44"/>
  <c r="E15" i="44"/>
  <c r="E14" i="44"/>
  <c r="C13" i="44"/>
  <c r="C14" i="44"/>
  <c r="E105" i="42"/>
  <c r="C31" i="4"/>
  <c r="S9" i="54"/>
  <c r="L91" i="42"/>
  <c r="M91" i="42"/>
  <c r="L106" i="42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Q67" i="42"/>
  <c r="R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03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L12" i="42" s="1"/>
  <c r="K47" i="58"/>
  <c r="J47" i="58"/>
  <c r="L57" i="58"/>
  <c r="L19" i="42" s="1"/>
  <c r="K57" i="58"/>
  <c r="J57" i="58"/>
  <c r="M47" i="58"/>
  <c r="M12" i="42" s="1"/>
  <c r="M57" i="58"/>
  <c r="K16" i="42" l="1"/>
  <c r="K106" i="42"/>
  <c r="K105" i="42"/>
  <c r="L75" i="42"/>
  <c r="L46" i="42"/>
  <c r="L23" i="42"/>
  <c r="K107" i="42"/>
  <c r="K31" i="42"/>
  <c r="K12" i="42"/>
  <c r="S75" i="42"/>
  <c r="P23" i="42"/>
  <c r="S91" i="42"/>
  <c r="T75" i="42"/>
  <c r="P21" i="42"/>
  <c r="E23" i="42"/>
  <c r="S23" i="42"/>
  <c r="R23" i="42"/>
  <c r="S21" i="42"/>
  <c r="F17" i="44"/>
  <c r="S46" i="42"/>
  <c r="S37" i="42"/>
  <c r="P14" i="42"/>
  <c r="P43" i="42"/>
  <c r="L40" i="42"/>
  <c r="T106" i="42"/>
  <c r="S16" i="42"/>
  <c r="T105" i="42"/>
  <c r="L16" i="42"/>
  <c r="S14" i="42"/>
  <c r="T107" i="42"/>
  <c r="L37" i="42"/>
  <c r="P16" i="42"/>
  <c r="L43" i="42"/>
  <c r="L105" i="42"/>
  <c r="L10" i="42"/>
  <c r="L107" i="42"/>
  <c r="K40" i="42"/>
  <c r="R46" i="42"/>
  <c r="K19" i="42"/>
  <c r="K91" i="42"/>
  <c r="R91" i="42"/>
  <c r="S31" i="42"/>
  <c r="R31" i="42"/>
  <c r="M14" i="42"/>
  <c r="K49" i="42"/>
  <c r="R10" i="53"/>
  <c r="R22" i="53" s="1"/>
  <c r="J34" i="58"/>
  <c r="S43" i="42"/>
  <c r="S12" i="42"/>
  <c r="S40" i="42"/>
  <c r="S33" i="42"/>
  <c r="S19" i="42"/>
  <c r="S10" i="42"/>
  <c r="S49" i="42"/>
  <c r="S35" i="42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R34" i="53" s="1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1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N16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N37" i="42"/>
  <c r="N2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O22" i="53" s="1"/>
  <c r="T10" i="53"/>
  <c r="T22" i="53" s="1"/>
  <c r="O26" i="53"/>
  <c r="O34" i="53" s="1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79" i="4"/>
  <c r="J58" i="42"/>
  <c r="J75" i="42"/>
  <c r="M101" i="2"/>
  <c r="M105" i="2" s="1"/>
  <c r="J14" i="2"/>
  <c r="L14" i="2"/>
  <c r="N10" i="58"/>
  <c r="N28" i="42" s="1"/>
  <c r="Q12" i="42"/>
  <c r="J103" i="42"/>
  <c r="Q46" i="42"/>
  <c r="J46" i="42"/>
  <c r="J10" i="42"/>
  <c r="J19" i="42"/>
  <c r="F22" i="42"/>
  <c r="J107" i="42"/>
  <c r="M36" i="2"/>
  <c r="M47" i="2" s="1"/>
  <c r="J10" i="2"/>
  <c r="J12" i="2" s="1"/>
  <c r="J12" i="42"/>
  <c r="Q19" i="42"/>
  <c r="J21" i="42"/>
  <c r="J61" i="58"/>
  <c r="J28" i="42" s="1"/>
  <c r="J106" i="42"/>
  <c r="Q10" i="42"/>
  <c r="J40" i="42"/>
  <c r="Q31" i="42"/>
  <c r="L49" i="2"/>
  <c r="L60" i="2" s="1"/>
  <c r="Q21" i="42"/>
  <c r="J23" i="42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3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P64" i="2"/>
  <c r="P73" i="2" s="1"/>
  <c r="Q49" i="2"/>
  <c r="Q60" i="2" s="1"/>
  <c r="R10" i="2"/>
  <c r="R12" i="2" s="1"/>
  <c r="M96" i="2"/>
  <c r="P14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T73" i="2" s="1"/>
  <c r="J101" i="2"/>
  <c r="J105" i="2" s="1"/>
  <c r="O10" i="2"/>
  <c r="K21" i="42"/>
  <c r="U101" i="2"/>
  <c r="U105" i="2" s="1"/>
  <c r="Q58" i="42"/>
  <c r="Q65" i="42" s="1" a="1"/>
  <c r="Q65" i="42" s="1"/>
  <c r="F27" i="58"/>
  <c r="K75" i="42"/>
  <c r="J15" i="44"/>
  <c r="K43" i="42"/>
  <c r="K37" i="42"/>
  <c r="P36" i="2"/>
  <c r="P47" i="2" s="1"/>
  <c r="Q75" i="2"/>
  <c r="M64" i="2"/>
  <c r="M73" i="2" s="1"/>
  <c r="K23" i="42"/>
  <c r="J95" i="2"/>
  <c r="N38" i="53"/>
  <c r="N42" i="53" s="1"/>
  <c r="K35" i="42"/>
  <c r="U75" i="2"/>
  <c r="K58" i="42"/>
  <c r="K61" i="42" s="1"/>
  <c r="R58" i="42"/>
  <c r="R65" i="42" s="1" a="1"/>
  <c r="R65" i="42" s="1"/>
  <c r="T103" i="42"/>
  <c r="Q36" i="2"/>
  <c r="Q47" i="2" s="1"/>
  <c r="Q64" i="2"/>
  <c r="Q73" i="2" s="1"/>
  <c r="R10" i="58"/>
  <c r="R28" i="42" s="1"/>
  <c r="F15" i="58"/>
  <c r="K13" i="44"/>
  <c r="S26" i="53"/>
  <c r="S34" i="53" s="1"/>
  <c r="R35" i="42"/>
  <c r="T58" i="42"/>
  <c r="T71" i="42" s="1" a="1"/>
  <c r="T71" i="42" s="1"/>
  <c r="F22" i="58"/>
  <c r="K14" i="44"/>
  <c r="K46" i="42"/>
  <c r="Q101" i="2"/>
  <c r="Q105" i="2" s="1"/>
  <c r="S38" i="53"/>
  <c r="S42" i="53" s="1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42" i="53" s="1"/>
  <c r="P10" i="53"/>
  <c r="P22" i="53" s="1"/>
  <c r="P26" i="53"/>
  <c r="P34" i="53" s="1"/>
  <c r="N92" i="2"/>
  <c r="N64" i="2"/>
  <c r="N73" i="2" s="1"/>
  <c r="N24" i="2"/>
  <c r="N101" i="2"/>
  <c r="N105" i="2" s="1"/>
  <c r="N75" i="2"/>
  <c r="N14" i="2"/>
  <c r="N10" i="2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97" i="2"/>
  <c r="U94" i="2"/>
  <c r="U96" i="2"/>
  <c r="Q94" i="2"/>
  <c r="Q97" i="2"/>
  <c r="Q96" i="2"/>
  <c r="Q95" i="2"/>
  <c r="P68" i="42" a="1"/>
  <c r="P68" i="42" s="1"/>
  <c r="S1" i="54"/>
  <c r="G10" i="16" s="1"/>
  <c r="K61" i="58"/>
  <c r="K10" i="58"/>
  <c r="S61" i="58"/>
  <c r="S10" i="58"/>
  <c r="R92" i="2"/>
  <c r="R64" i="2"/>
  <c r="R73" i="2" s="1"/>
  <c r="R24" i="2"/>
  <c r="R101" i="2"/>
  <c r="R105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01" i="2"/>
  <c r="K105" i="2" s="1"/>
  <c r="K36" i="2"/>
  <c r="K47" i="2" s="1"/>
  <c r="K75" i="2"/>
  <c r="K49" i="2"/>
  <c r="K60" i="2" s="1"/>
  <c r="K92" i="2"/>
  <c r="M103" i="42"/>
  <c r="M40" i="42"/>
  <c r="M75" i="42"/>
  <c r="M35" i="42"/>
  <c r="M16" i="42"/>
  <c r="M33" i="42"/>
  <c r="M23" i="42"/>
  <c r="M46" i="42"/>
  <c r="M21" i="42"/>
  <c r="M37" i="42"/>
  <c r="M58" i="42"/>
  <c r="M19" i="42"/>
  <c r="M10" i="42"/>
  <c r="M49" i="42"/>
  <c r="P65" i="42" a="1"/>
  <c r="P65" i="42" s="1"/>
  <c r="M95" i="2"/>
  <c r="M97" i="2"/>
  <c r="J97" i="2"/>
  <c r="J96" i="2"/>
  <c r="S101" i="2"/>
  <c r="S105" i="2" s="1"/>
  <c r="O49" i="2"/>
  <c r="O60" i="2" s="1"/>
  <c r="S75" i="2"/>
  <c r="O92" i="2"/>
  <c r="S92" i="2"/>
  <c r="U36" i="2"/>
  <c r="U47" i="2" s="1"/>
  <c r="T26" i="53"/>
  <c r="T34" i="53" s="1"/>
  <c r="J14" i="44"/>
  <c r="O101" i="2"/>
  <c r="O105" i="2" s="1"/>
  <c r="L10" i="2"/>
  <c r="M10" i="58"/>
  <c r="M28" i="42" s="1"/>
  <c r="Q61" i="58"/>
  <c r="Q28" i="42" s="1"/>
  <c r="L92" i="2"/>
  <c r="P92" i="2"/>
  <c r="T92" i="2"/>
  <c r="O24" i="2"/>
  <c r="S14" i="2"/>
  <c r="U64" i="2"/>
  <c r="U73" i="2" s="1"/>
  <c r="Q10" i="53"/>
  <c r="Q22" i="53" s="1"/>
  <c r="T101" i="2"/>
  <c r="T105" i="2" s="1"/>
  <c r="P24" i="2"/>
  <c r="T10" i="2"/>
  <c r="T12" i="2" s="1"/>
  <c r="L75" i="2"/>
  <c r="O14" i="2"/>
  <c r="K16" i="44"/>
  <c r="J18" i="44"/>
  <c r="O36" i="2"/>
  <c r="O47" i="2" s="1"/>
  <c r="Q26" i="53"/>
  <c r="Q34" i="53" s="1"/>
  <c r="P101" i="2"/>
  <c r="P105" i="2" s="1"/>
  <c r="L24" i="2"/>
  <c r="T14" i="2"/>
  <c r="L64" i="2"/>
  <c r="L73" i="2" s="1"/>
  <c r="U49" i="2"/>
  <c r="U60" i="2" s="1"/>
  <c r="S49" i="2"/>
  <c r="S60" i="2" s="1"/>
  <c r="T49" i="2"/>
  <c r="T60" i="2" s="1"/>
  <c r="W28" i="53" l="1"/>
  <c r="V20" i="58"/>
  <c r="V52" i="58"/>
  <c r="J22" i="53"/>
  <c r="W22" i="53" s="1"/>
  <c r="W15" i="53"/>
  <c r="W12" i="53"/>
  <c r="W14" i="53"/>
  <c r="W13" i="53"/>
  <c r="W16" i="53"/>
  <c r="V21" i="58"/>
  <c r="P61" i="42"/>
  <c r="J68" i="42" a="1"/>
  <c r="J68" i="42" s="1"/>
  <c r="J61" i="42"/>
  <c r="J70" i="42" s="1"/>
  <c r="L61" i="42"/>
  <c r="L70" i="42" s="1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42" i="58"/>
  <c r="V51" i="58"/>
  <c r="O68" i="42" a="1"/>
  <c r="O68" i="42" s="1"/>
  <c r="V19" i="58"/>
  <c r="V71" i="58"/>
  <c r="V69" i="58"/>
  <c r="W34" i="53"/>
  <c r="Q68" i="42" a="1"/>
  <c r="Q68" i="42" s="1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2" i="53"/>
  <c r="X60" i="2"/>
  <c r="L94" i="2"/>
  <c r="L96" i="2"/>
  <c r="L97" i="2"/>
  <c r="L95" i="2"/>
  <c r="O28" i="42"/>
  <c r="K96" i="2"/>
  <c r="K95" i="2"/>
  <c r="K94" i="2"/>
  <c r="K97" i="2"/>
  <c r="C16" i="2" a="1"/>
  <c r="C26" i="2" a="1"/>
  <c r="P97" i="2"/>
  <c r="P96" i="2"/>
  <c r="P95" i="2"/>
  <c r="P94" i="2"/>
  <c r="S96" i="2"/>
  <c r="S95" i="2"/>
  <c r="S94" i="2"/>
  <c r="S97" i="2"/>
  <c r="X47" i="2"/>
  <c r="N95" i="2"/>
  <c r="N96" i="2"/>
  <c r="N97" i="2"/>
  <c r="N94" i="2"/>
  <c r="M61" i="42" s="1"/>
  <c r="M62" i="42" s="1" a="1"/>
  <c r="M62" i="42" s="1"/>
  <c r="O97" i="2"/>
  <c r="O95" i="2"/>
  <c r="O96" i="2"/>
  <c r="O94" i="2"/>
  <c r="N61" i="42" s="1"/>
  <c r="M65" i="42" a="1"/>
  <c r="M65" i="42" s="1"/>
  <c r="M68" i="42" a="1"/>
  <c r="M68" i="42" s="1"/>
  <c r="X105" i="2"/>
  <c r="R96" i="2"/>
  <c r="R94" i="2"/>
  <c r="R95" i="2"/>
  <c r="R97" i="2"/>
  <c r="T95" i="2"/>
  <c r="T96" i="2"/>
  <c r="T97" i="2"/>
  <c r="T94" i="2"/>
  <c r="X73" i="2"/>
  <c r="S1" i="58" l="1"/>
  <c r="G12" i="16" s="1"/>
  <c r="O61" i="42"/>
  <c r="N70" i="42"/>
  <c r="Q61" i="42"/>
  <c r="R61" i="42"/>
  <c r="S61" i="42"/>
  <c r="P70" i="42"/>
  <c r="S1" i="53"/>
  <c r="G14" i="16" s="1"/>
  <c r="M71" i="42" a="1"/>
  <c r="M71" i="42" s="1"/>
  <c r="N62" i="42" a="1"/>
  <c r="N62" i="42" s="1"/>
  <c r="G13" i="16"/>
  <c r="C31" i="2"/>
  <c r="C27" i="2"/>
  <c r="C26" i="2"/>
  <c r="C29" i="2"/>
  <c r="C32" i="2"/>
  <c r="C30" i="2"/>
  <c r="C28" i="2"/>
  <c r="M70" i="42"/>
  <c r="N71" i="42" s="1" a="1"/>
  <c r="N71" i="42" s="1"/>
  <c r="C16" i="2"/>
  <c r="C17" i="2"/>
  <c r="C18" i="2"/>
  <c r="C21" i="2"/>
  <c r="C19" i="2"/>
  <c r="C20" i="2"/>
  <c r="C22" i="2"/>
  <c r="Q70" i="42" l="1"/>
  <c r="R70" i="42"/>
  <c r="S70" i="42"/>
  <c r="O70" i="42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P27" i="2"/>
  <c r="R27" i="2"/>
  <c r="O21" i="2"/>
  <c r="K29" i="42" s="1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J16" i="2"/>
  <c r="K16" i="2" s="1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S71" i="42" l="1" a="1"/>
  <c r="S71" i="42" s="1"/>
  <c r="O71" i="42" a="1"/>
  <c r="O71" i="42" s="1"/>
  <c r="R71" i="42" a="1"/>
  <c r="R71" i="42" s="1"/>
  <c r="P71" i="42" a="1"/>
  <c r="P71" i="42" s="1"/>
  <c r="Q71" i="42" a="1"/>
  <c r="Q71" i="42" s="1"/>
  <c r="T83" i="42"/>
  <c r="Q85" i="42"/>
  <c r="J29" i="42"/>
  <c r="T29" i="42"/>
  <c r="Q47" i="42"/>
  <c r="J47" i="42"/>
  <c r="N97" i="42"/>
  <c r="N18" i="44" s="1"/>
  <c r="R83" i="42"/>
  <c r="O83" i="42"/>
  <c r="P83" i="42"/>
  <c r="K96" i="42"/>
  <c r="T47" i="42"/>
  <c r="N41" i="42"/>
  <c r="J77" i="42"/>
  <c r="N77" i="42"/>
  <c r="S80" i="42"/>
  <c r="O95" i="42"/>
  <c r="O16" i="44" s="1"/>
  <c r="O79" i="42"/>
  <c r="P29" i="42"/>
  <c r="L97" i="42"/>
  <c r="M82" i="42"/>
  <c r="R47" i="42"/>
  <c r="N79" i="42"/>
  <c r="J85" i="42"/>
  <c r="T38" i="42"/>
  <c r="K93" i="42"/>
  <c r="O41" i="42"/>
  <c r="S77" i="42"/>
  <c r="Q38" i="42"/>
  <c r="S82" i="42"/>
  <c r="S94" i="42"/>
  <c r="S15" i="44" s="1"/>
  <c r="L29" i="42"/>
  <c r="N47" i="42"/>
  <c r="Q29" i="42"/>
  <c r="P47" i="42"/>
  <c r="P97" i="42"/>
  <c r="P18" i="44" s="1"/>
  <c r="Q97" i="42"/>
  <c r="Q18" i="44" s="1"/>
  <c r="O82" i="42"/>
  <c r="O44" i="42"/>
  <c r="L44" i="42"/>
  <c r="M96" i="42"/>
  <c r="M17" i="44" s="1"/>
  <c r="L94" i="42"/>
  <c r="N78" i="42"/>
  <c r="L93" i="42"/>
  <c r="N84" i="42"/>
  <c r="J81" i="42"/>
  <c r="L41" i="42"/>
  <c r="N50" i="42"/>
  <c r="L50" i="42"/>
  <c r="N83" i="42"/>
  <c r="O78" i="42"/>
  <c r="M83" i="42"/>
  <c r="N82" i="42"/>
  <c r="M38" i="42"/>
  <c r="R97" i="42"/>
  <c r="R18" i="44" s="1"/>
  <c r="J44" i="42"/>
  <c r="S50" i="42"/>
  <c r="S97" i="42"/>
  <c r="S18" i="44" s="1"/>
  <c r="K44" i="42"/>
  <c r="L82" i="42"/>
  <c r="L96" i="42"/>
  <c r="M78" i="42"/>
  <c r="T85" i="42"/>
  <c r="L78" i="42"/>
  <c r="P93" i="42"/>
  <c r="S38" i="42"/>
  <c r="M29" i="42"/>
  <c r="R50" i="42"/>
  <c r="P94" i="42"/>
  <c r="P15" i="44" s="1"/>
  <c r="J82" i="42"/>
  <c r="K47" i="42"/>
  <c r="S29" i="42"/>
  <c r="T97" i="42"/>
  <c r="N29" i="42"/>
  <c r="R44" i="42"/>
  <c r="S44" i="42"/>
  <c r="Q82" i="42"/>
  <c r="R82" i="42"/>
  <c r="R94" i="42"/>
  <c r="R15" i="44" s="1"/>
  <c r="S79" i="42"/>
  <c r="K94" i="42"/>
  <c r="T96" i="42"/>
  <c r="S84" i="42"/>
  <c r="R77" i="42"/>
  <c r="O96" i="42"/>
  <c r="O17" i="44" s="1"/>
  <c r="P85" i="42"/>
  <c r="O29" i="42"/>
  <c r="J97" i="42"/>
  <c r="J78" i="42"/>
  <c r="P96" i="42"/>
  <c r="P17" i="44" s="1"/>
  <c r="J83" i="42"/>
  <c r="M94" i="42"/>
  <c r="M15" i="44" s="1"/>
  <c r="M47" i="42"/>
  <c r="M41" i="42"/>
  <c r="Q44" i="42"/>
  <c r="M97" i="42"/>
  <c r="M18" i="44" s="1"/>
  <c r="R29" i="42"/>
  <c r="N44" i="42"/>
  <c r="K97" i="42"/>
  <c r="K83" i="42"/>
  <c r="N81" i="42"/>
  <c r="J93" i="42"/>
  <c r="Q79" i="42"/>
  <c r="Q77" i="42"/>
  <c r="R79" i="42"/>
  <c r="O85" i="42"/>
  <c r="S78" i="42"/>
  <c r="T78" i="42"/>
  <c r="M50" i="42"/>
  <c r="L83" i="42"/>
  <c r="P82" i="42"/>
  <c r="M44" i="42"/>
  <c r="S83" i="42"/>
  <c r="O97" i="42"/>
  <c r="O18" i="44" s="1"/>
  <c r="P44" i="42"/>
  <c r="N94" i="42"/>
  <c r="N15" i="44" s="1"/>
  <c r="Q94" i="42"/>
  <c r="Q15" i="44" s="1"/>
  <c r="K81" i="42"/>
  <c r="N95" i="42"/>
  <c r="N16" i="44" s="1"/>
  <c r="K38" i="42"/>
  <c r="Q84" i="42"/>
  <c r="R96" i="42"/>
  <c r="R17" i="44" s="1"/>
  <c r="J17" i="2"/>
  <c r="J27" i="2" s="1"/>
  <c r="K80" i="42"/>
  <c r="S96" i="42"/>
  <c r="S17" i="44" s="1"/>
  <c r="N93" i="42"/>
  <c r="N14" i="44" s="1"/>
  <c r="L80" i="42"/>
  <c r="N96" i="42"/>
  <c r="N17" i="44" s="1"/>
  <c r="M79" i="42"/>
  <c r="S93" i="42"/>
  <c r="T41" i="42"/>
  <c r="M84" i="42"/>
  <c r="R41" i="42"/>
  <c r="T50" i="42"/>
  <c r="L47" i="42"/>
  <c r="R93" i="42"/>
  <c r="P80" i="42"/>
  <c r="R81" i="42"/>
  <c r="S85" i="42"/>
  <c r="K50" i="42"/>
  <c r="Q95" i="42"/>
  <c r="Q16" i="44" s="1"/>
  <c r="O50" i="42"/>
  <c r="T79" i="42"/>
  <c r="Q80" i="42"/>
  <c r="K95" i="42"/>
  <c r="K78" i="42"/>
  <c r="T82" i="42"/>
  <c r="N85" i="42"/>
  <c r="S47" i="42"/>
  <c r="M93" i="42"/>
  <c r="M14" i="44" s="1"/>
  <c r="K84" i="42"/>
  <c r="M95" i="42"/>
  <c r="L85" i="42"/>
  <c r="O77" i="42"/>
  <c r="Q78" i="42"/>
  <c r="Q50" i="42"/>
  <c r="P79" i="42"/>
  <c r="R80" i="42"/>
  <c r="P77" i="42"/>
  <c r="O93" i="42"/>
  <c r="J38" i="42"/>
  <c r="S81" i="42"/>
  <c r="N80" i="42"/>
  <c r="Q96" i="42"/>
  <c r="Q17" i="44" s="1"/>
  <c r="J96" i="42"/>
  <c r="T77" i="42"/>
  <c r="S95" i="42"/>
  <c r="S16" i="44" s="1"/>
  <c r="O47" i="42"/>
  <c r="M77" i="42"/>
  <c r="J80" i="42"/>
  <c r="T44" i="42"/>
  <c r="T84" i="42"/>
  <c r="L81" i="42"/>
  <c r="L77" i="42"/>
  <c r="R38" i="42"/>
  <c r="P81" i="42"/>
  <c r="O38" i="42"/>
  <c r="P41" i="42"/>
  <c r="P78" i="42"/>
  <c r="O80" i="42"/>
  <c r="R78" i="42"/>
  <c r="J26" i="2"/>
  <c r="T81" i="42"/>
  <c r="J94" i="42"/>
  <c r="O94" i="42"/>
  <c r="O15" i="44" s="1"/>
  <c r="K82" i="42"/>
  <c r="R85" i="42"/>
  <c r="Q93" i="42"/>
  <c r="J79" i="42"/>
  <c r="L79" i="42"/>
  <c r="K41" i="42"/>
  <c r="M85" i="42"/>
  <c r="T95" i="42"/>
  <c r="K79" i="42"/>
  <c r="T93" i="42"/>
  <c r="P50" i="42"/>
  <c r="O84" i="42"/>
  <c r="L38" i="42"/>
  <c r="T80" i="42"/>
  <c r="O81" i="42"/>
  <c r="Q41" i="42"/>
  <c r="Q81" i="42"/>
  <c r="Q83" i="42"/>
  <c r="L84" i="42"/>
  <c r="M80" i="42"/>
  <c r="M81" i="42"/>
  <c r="J84" i="42"/>
  <c r="R84" i="42"/>
  <c r="L95" i="42"/>
  <c r="K77" i="42"/>
  <c r="J95" i="42"/>
  <c r="K85" i="42"/>
  <c r="P95" i="42"/>
  <c r="P16" i="44" s="1"/>
  <c r="R95" i="42"/>
  <c r="R16" i="44" s="1"/>
  <c r="N38" i="42"/>
  <c r="S41" i="42"/>
  <c r="J50" i="42"/>
  <c r="T94" i="42"/>
  <c r="P38" i="42"/>
  <c r="J41" i="42"/>
  <c r="P84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P14" i="44" l="1"/>
  <c r="R14" i="44"/>
  <c r="S14" i="44"/>
  <c r="Q14" i="44"/>
  <c r="L99" i="42"/>
  <c r="S87" i="42"/>
  <c r="Q99" i="42"/>
  <c r="S52" i="42"/>
  <c r="S54" i="42" s="1"/>
  <c r="P52" i="42"/>
  <c r="P54" i="42" s="1"/>
  <c r="T99" i="42"/>
  <c r="M52" i="42"/>
  <c r="M54" i="42" s="1"/>
  <c r="Q52" i="42"/>
  <c r="Q54" i="42" s="1"/>
  <c r="R52" i="42"/>
  <c r="R54" i="42" s="1"/>
  <c r="K52" i="42"/>
  <c r="K54" i="42" s="1"/>
  <c r="R99" i="42"/>
  <c r="N87" i="42"/>
  <c r="O87" i="42"/>
  <c r="J99" i="42"/>
  <c r="O52" i="42"/>
  <c r="O54" i="42" s="1"/>
  <c r="J52" i="42"/>
  <c r="K99" i="42"/>
  <c r="N99" i="42"/>
  <c r="S99" i="42"/>
  <c r="O99" i="42"/>
  <c r="M99" i="42"/>
  <c r="M16" i="44"/>
  <c r="Q87" i="42"/>
  <c r="O14" i="44"/>
  <c r="M87" i="42"/>
  <c r="J87" i="42"/>
  <c r="L87" i="42"/>
  <c r="K87" i="42"/>
  <c r="P87" i="42"/>
  <c r="T87" i="42"/>
  <c r="R87" i="42"/>
  <c r="P99" i="42"/>
  <c r="J54" i="42" l="1"/>
  <c r="I71" i="55" l="1"/>
  <c r="V71" i="55" s="1"/>
  <c r="I72" i="55" l="1"/>
  <c r="V72" i="55" s="1"/>
  <c r="I76" i="55" l="1"/>
  <c r="V76" i="55" s="1"/>
  <c r="I80" i="55" l="1"/>
  <c r="V80" i="55" s="1"/>
  <c r="I75" i="55" l="1"/>
  <c r="V75" i="55" s="1"/>
  <c r="I73" i="55"/>
  <c r="V73" i="55" s="1"/>
  <c r="I74" i="55"/>
  <c r="L12" i="2" s="1"/>
  <c r="I79" i="55"/>
  <c r="V79" i="55" s="1"/>
  <c r="V74" i="55" l="1"/>
  <c r="I81" i="55"/>
  <c r="V81" i="55" s="1"/>
  <c r="I83" i="55"/>
  <c r="V83" i="55" s="1"/>
  <c r="I78" i="55"/>
  <c r="M12" i="2" s="1"/>
  <c r="M18" i="2" l="1"/>
  <c r="M28" i="2" s="1"/>
  <c r="L19" i="2"/>
  <c r="M29" i="2"/>
  <c r="L16" i="2"/>
  <c r="L17" i="2"/>
  <c r="L28" i="2"/>
  <c r="K18" i="2"/>
  <c r="I82" i="55"/>
  <c r="N12" i="2" s="1"/>
  <c r="I77" i="55"/>
  <c r="V77" i="55" s="1"/>
  <c r="V78" i="55"/>
  <c r="J18" i="2" l="1"/>
  <c r="J28" i="2" s="1"/>
  <c r="K28" i="2"/>
  <c r="M16" i="2"/>
  <c r="L26" i="2"/>
  <c r="K19" i="2"/>
  <c r="L29" i="2"/>
  <c r="V82" i="55"/>
  <c r="M17" i="2"/>
  <c r="L27" i="2"/>
  <c r="M27" i="2" l="1"/>
  <c r="N17" i="2"/>
  <c r="M20" i="2"/>
  <c r="N30" i="2"/>
  <c r="N18" i="2"/>
  <c r="N19" i="2"/>
  <c r="M26" i="2"/>
  <c r="N16" i="2"/>
  <c r="K29" i="2"/>
  <c r="J19" i="2"/>
  <c r="J29" i="2" s="1"/>
  <c r="N26" i="2" l="1"/>
  <c r="N28" i="2"/>
  <c r="N29" i="2"/>
  <c r="M30" i="2"/>
  <c r="L20" i="2"/>
  <c r="N27" i="2"/>
  <c r="L31" i="42"/>
  <c r="K20" i="2" l="1"/>
  <c r="L30" i="2"/>
  <c r="J20" i="2" l="1"/>
  <c r="J30" i="2" s="1"/>
  <c r="K30" i="2"/>
  <c r="L35" i="42" l="1"/>
  <c r="L33" i="42"/>
  <c r="L52" i="42" l="1"/>
  <c r="L54" i="42" s="1"/>
  <c r="N105" i="42" l="1"/>
  <c r="N13" i="44" s="1"/>
  <c r="M106" i="42"/>
  <c r="M107" i="42" s="1"/>
  <c r="N106" i="42"/>
  <c r="N107" i="42" s="1"/>
  <c r="M105" i="42"/>
  <c r="M13" i="44" s="1"/>
  <c r="I86" i="55" l="1"/>
  <c r="V86" i="55" l="1"/>
  <c r="O12" i="2"/>
  <c r="I87" i="55" l="1"/>
  <c r="I85" i="55"/>
  <c r="V85" i="55" s="1"/>
  <c r="I88" i="55"/>
  <c r="I84" i="55"/>
  <c r="V84" i="55" s="1"/>
  <c r="O19" i="2"/>
  <c r="O29" i="2" s="1"/>
  <c r="V1" i="55" l="1"/>
  <c r="G11" i="16" s="1"/>
  <c r="N21" i="2"/>
  <c r="O16" i="2"/>
  <c r="S17" i="42" s="1"/>
  <c r="O31" i="2"/>
  <c r="O18" i="2"/>
  <c r="O28" i="2" s="1"/>
  <c r="O17" i="2"/>
  <c r="O27" i="2" s="1"/>
  <c r="O20" i="2"/>
  <c r="O30" i="2" s="1"/>
  <c r="O22" i="42"/>
  <c r="O24" i="42"/>
  <c r="R17" i="42"/>
  <c r="T15" i="42"/>
  <c r="N17" i="42"/>
  <c r="P15" i="42"/>
  <c r="M22" i="42"/>
  <c r="Q15" i="42"/>
  <c r="N22" i="42"/>
  <c r="Q24" i="42"/>
  <c r="J24" i="42"/>
  <c r="K17" i="42"/>
  <c r="M24" i="42"/>
  <c r="O15" i="42"/>
  <c r="S15" i="42"/>
  <c r="S1" i="16" l="1"/>
  <c r="V1" i="58" s="1"/>
  <c r="S22" i="42"/>
  <c r="M15" i="42"/>
  <c r="W1" i="42"/>
  <c r="V1" i="53"/>
  <c r="Y1" i="55"/>
  <c r="X1" i="2"/>
  <c r="K15" i="42"/>
  <c r="P17" i="42"/>
  <c r="L24" i="42"/>
  <c r="J15" i="42"/>
  <c r="N24" i="42"/>
  <c r="P24" i="42"/>
  <c r="N20" i="42"/>
  <c r="N13" i="42"/>
  <c r="N26" i="42" s="1"/>
  <c r="L22" i="42"/>
  <c r="P22" i="42"/>
  <c r="Q22" i="42"/>
  <c r="K22" i="42"/>
  <c r="S24" i="42"/>
  <c r="T17" i="42"/>
  <c r="R15" i="42"/>
  <c r="J22" i="42"/>
  <c r="O17" i="42"/>
  <c r="M17" i="42"/>
  <c r="O26" i="2"/>
  <c r="N15" i="42"/>
  <c r="L15" i="42"/>
  <c r="L17" i="42"/>
  <c r="R22" i="42"/>
  <c r="R24" i="42"/>
  <c r="T22" i="42"/>
  <c r="J17" i="42"/>
  <c r="K24" i="42"/>
  <c r="Q17" i="42"/>
  <c r="T24" i="42"/>
  <c r="N31" i="2"/>
  <c r="M21" i="2"/>
  <c r="V1" i="54" l="1"/>
  <c r="W1" i="44"/>
  <c r="V1" i="4"/>
  <c r="N31" i="42"/>
  <c r="M31" i="2"/>
  <c r="L21" i="2"/>
  <c r="M20" i="42"/>
  <c r="M13" i="42"/>
  <c r="M26" i="42" s="1"/>
  <c r="K21" i="2" l="1"/>
  <c r="L31" i="2"/>
  <c r="L13" i="42"/>
  <c r="L26" i="42" s="1"/>
  <c r="L20" i="42"/>
  <c r="K20" i="42" l="1"/>
  <c r="K13" i="42"/>
  <c r="K26" i="42" s="1"/>
  <c r="K31" i="2"/>
  <c r="J21" i="2"/>
  <c r="J31" i="2" s="1"/>
  <c r="J20" i="42" l="1"/>
  <c r="N35" i="42" s="1"/>
  <c r="J13" i="42"/>
  <c r="J26" i="42" s="1"/>
  <c r="N33" i="42" l="1"/>
  <c r="N52" i="42" l="1"/>
  <c r="N54" i="42" l="1"/>
  <c r="O105" i="42" l="1"/>
  <c r="O13" i="44" s="1"/>
  <c r="S105" i="42"/>
  <c r="S13" i="44" s="1"/>
  <c r="R106" i="42"/>
  <c r="R107" i="42" s="1"/>
  <c r="Q106" i="42"/>
  <c r="Q107" i="42" s="1"/>
  <c r="P105" i="42"/>
  <c r="P13" i="44" s="1"/>
  <c r="O106" i="42"/>
  <c r="O107" i="42" s="1"/>
  <c r="S106" i="42"/>
  <c r="S107" i="42" s="1"/>
  <c r="Q105" i="42"/>
  <c r="Q13" i="44" s="1"/>
  <c r="P106" i="42"/>
  <c r="P107" i="42" s="1"/>
  <c r="R105" i="42"/>
  <c r="R13" i="44" s="1"/>
</calcChain>
</file>

<file path=xl/sharedStrings.xml><?xml version="1.0" encoding="utf-8"?>
<sst xmlns="http://schemas.openxmlformats.org/spreadsheetml/2006/main" count="721" uniqueCount="221">
  <si>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</si>
  <si>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</si>
  <si>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</si>
  <si>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</si>
  <si>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</si>
  <si>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</si>
  <si>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</si>
  <si>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</si>
  <si>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</si>
  <si>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</si>
  <si>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</si>
  <si>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</si>
  <si>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</si>
  <si>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</si>
  <si>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</si>
  <si>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</si>
  <si>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</si>
  <si>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</si>
  <si>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</si>
  <si>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</si>
  <si>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</si>
  <si>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</si>
  <si>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</si>
  <si>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</si>
  <si>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</si>
  <si>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</si>
  <si>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</si>
  <si>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</si>
  <si>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</si>
  <si>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</si>
  <si>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</si>
  <si>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</si>
  <si>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</si>
  <si>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</si>
  <si>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</si>
  <si>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</si>
  <si>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</si>
  <si>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</si>
  <si>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</si>
  <si>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</si>
  <si>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</si>
  <si>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</si>
  <si>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</si>
  <si>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</si>
  <si>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</si>
  <si>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</si>
  <si>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</si>
  <si>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</si>
  <si>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</si>
  <si>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</si>
  <si>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</si>
  <si>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</si>
  <si>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</si>
  <si>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</si>
  <si>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</si>
  <si>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</si>
  <si>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</si>
  <si>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</si>
  <si>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</si>
  <si>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</si>
  <si>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</si>
  <si>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</si>
  <si>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</si>
  <si>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</si>
  <si>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</si>
  <si>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</si>
  <si>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</si>
  <si>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</si>
  <si>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</si>
  <si>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</si>
  <si>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</si>
  <si>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</si>
  <si>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</si>
  <si>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</si>
  <si>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</si>
  <si>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</si>
  <si>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</si>
  <si>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</si>
  <si>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</si>
  <si>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</si>
  <si>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</si>
  <si>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</si>
  <si>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</si>
  <si>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</si>
  <si>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</si>
  <si>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</si>
  <si>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</si>
  <si>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</si>
  <si>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</si>
  <si>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</si>
  <si>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</si>
  <si>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</si>
  <si>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</si>
  <si>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</si>
  <si>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</si>
  <si>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</si>
  <si>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</si>
  <si>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</si>
  <si>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</si>
  <si>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</si>
  <si>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</si>
  <si>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</si>
  <si>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</si>
  <si>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</si>
  <si>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</si>
  <si>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</si>
  <si>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</si>
  <si>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</si>
  <si>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</si>
  <si>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</si>
  <si>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</si>
  <si>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</si>
  <si>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</si>
  <si>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</si>
  <si>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</si>
  <si>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</si>
  <si>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</si>
  <si>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</si>
  <si>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</si>
  <si>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</si>
  <si>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</si>
  <si>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</si>
  <si>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</si>
  <si>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</si>
  <si>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</si>
  <si>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</si>
  <si>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</si>
  <si>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</si>
  <si>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</si>
  <si>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</si>
  <si>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</si>
  <si>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</si>
  <si>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</si>
  <si>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</si>
  <si>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</si>
  <si>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</si>
  <si>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</si>
  <si>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</si>
  <si>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</si>
  <si>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</si>
  <si>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</si>
  <si>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</si>
  <si>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</si>
  <si>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</si>
  <si>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</si>
  <si>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</si>
  <si>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</si>
  <si>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</si>
  <si>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</si>
  <si>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</si>
  <si>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</si>
  <si>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</si>
  <si>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</si>
  <si>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</si>
  <si>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</si>
  <si>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</si>
  <si>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</si>
  <si>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</si>
  <si>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</si>
  <si>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</si>
  <si>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</si>
  <si>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</si>
  <si>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</si>
  <si>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</si>
  <si>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</si>
  <si>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</si>
  <si>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</si>
  <si>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</si>
  <si>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</si>
  <si>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</si>
  <si>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</si>
  <si>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</si>
  <si>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</si>
  <si>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Customer numbers (#)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</si>
  <si>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</si>
  <si>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</si>
  <si>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</si>
  <si>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</si>
  <si>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</si>
  <si>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</si>
  <si>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</si>
  <si>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RBA</t>
  </si>
  <si>
    <t>Forecast annual CPI growth</t>
  </si>
  <si>
    <t>Forecast and actual index value</t>
  </si>
  <si>
    <t>Output elasticities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</si>
  <si>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</si>
  <si>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</si>
  <si>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</si>
  <si>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</si>
  <si>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</si>
  <si>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</si>
  <si>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</si>
  <si>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</si>
  <si>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</si>
  <si>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</si>
  <si>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</si>
  <si>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</si>
  <si>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</si>
  <si>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</si>
  <si>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</si>
  <si>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</si>
  <si>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</si>
  <si>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</si>
  <si>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Average</t>
  </si>
  <si>
    <t>AER opex model v2.4</t>
  </si>
  <si>
    <t>Note: Include a label for each output specification. Leave unused columns empty.</t>
  </si>
  <si>
    <t>AGN SA</t>
  </si>
  <si>
    <t>Ancillary Reference Services</t>
  </si>
  <si>
    <t>Ancillary service opex</t>
  </si>
  <si>
    <t>UAFG</t>
  </si>
  <si>
    <t>WPI - DAE</t>
  </si>
  <si>
    <t>Oxford Economics</t>
  </si>
  <si>
    <t>Mains Length (km)</t>
  </si>
  <si>
    <t>Index value, Sep quarter 2025 = 100</t>
  </si>
  <si>
    <t>Overheads to be expensed (capex to opex)</t>
  </si>
  <si>
    <t>Transition from APA - AGN IT costs</t>
  </si>
  <si>
    <t>Cybersecurity (Data privacy/security &amp; Access control)</t>
  </si>
  <si>
    <t>Application upgrades &amp; enhancements</t>
  </si>
  <si>
    <t>Abolishments for safety at redundant sites</t>
  </si>
  <si>
    <t>UAG</t>
  </si>
  <si>
    <t>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</si>
</sst>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%;\–0.00%;&quot;–&quot;"/>
  </numFmts>
  <fonts count="96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75">
    <xf numFmtId="0" fontId="0" fillId="0" borderId="0"/>
    <xf numFmtId="170" fontId="7" fillId="7" borderId="0" applyProtection="0"/>
    <xf numFmtId="9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9" fontId="17" fillId="0" borderId="0" applyFont="0" applyFill="0" applyBorder="0" applyAlignment="0" applyProtection="0"/>
    <xf numFmtId="171" fontId="16" fillId="0" borderId="5">
      <alignment horizontal="right" vertical="center"/>
      <protection locked="0"/>
    </xf>
    <xf numFmtId="166" fontId="14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8" fontId="16" fillId="0" borderId="0"/>
    <xf numFmtId="178" fontId="16" fillId="0" borderId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7" fillId="0" borderId="0"/>
    <xf numFmtId="167" fontId="28" fillId="0" borderId="0" applyFont="0" applyFill="0" applyBorder="0" applyAlignment="0" applyProtection="0"/>
    <xf numFmtId="0" fontId="29" fillId="30" borderId="0" applyNumberFormat="0" applyBorder="0" applyAlignment="0" applyProtection="0"/>
    <xf numFmtId="0" fontId="30" fillId="0" borderId="0" applyNumberFormat="0" applyFill="0" applyBorder="0" applyAlignment="0"/>
    <xf numFmtId="164" fontId="23" fillId="4" borderId="0" applyNumberFormat="0" applyFont="0" applyBorder="0" applyAlignment="0">
      <alignment horizontal="right"/>
    </xf>
    <xf numFmtId="164" fontId="23" fillId="4" borderId="0" applyNumberFormat="0" applyFont="0" applyBorder="0" applyAlignment="0">
      <alignment horizontal="right"/>
    </xf>
    <xf numFmtId="0" fontId="31" fillId="0" borderId="0" applyNumberFormat="0" applyFill="0" applyBorder="0" applyAlignment="0">
      <protection locked="0"/>
    </xf>
    <xf numFmtId="0" fontId="32" fillId="14" borderId="11" applyNumberFormat="0" applyAlignment="0" applyProtection="0"/>
    <xf numFmtId="0" fontId="33" fillId="31" borderId="12" applyNumberFormat="0" applyAlignment="0" applyProtection="0"/>
    <xf numFmtId="164" fontId="2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3" fontId="3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180" fontId="2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9" fillId="0" borderId="0"/>
    <xf numFmtId="0" fontId="40" fillId="0" borderId="0"/>
    <xf numFmtId="0" fontId="41" fillId="35" borderId="0" applyNumberFormat="0" applyBorder="0" applyAlignment="0" applyProtection="0"/>
    <xf numFmtId="0" fontId="25" fillId="0" borderId="0" applyFill="0" applyBorder="0">
      <alignment vertical="center"/>
    </xf>
    <xf numFmtId="0" fontId="42" fillId="0" borderId="13" applyNumberFormat="0" applyFill="0" applyAlignment="0" applyProtection="0"/>
    <xf numFmtId="0" fontId="25" fillId="0" borderId="0" applyFill="0" applyBorder="0">
      <alignment vertical="center"/>
    </xf>
    <xf numFmtId="0" fontId="43" fillId="0" borderId="0" applyFill="0" applyBorder="0">
      <alignment vertical="center"/>
    </xf>
    <xf numFmtId="0" fontId="44" fillId="0" borderId="14" applyNumberFormat="0" applyFill="0" applyAlignment="0" applyProtection="0"/>
    <xf numFmtId="0" fontId="43" fillId="0" borderId="0" applyFill="0" applyBorder="0">
      <alignment vertical="center"/>
    </xf>
    <xf numFmtId="0" fontId="13" fillId="0" borderId="0" applyFill="0" applyBorder="0">
      <alignment vertical="center"/>
    </xf>
    <xf numFmtId="0" fontId="45" fillId="0" borderId="15" applyNumberFormat="0" applyFill="0" applyAlignment="0" applyProtection="0"/>
    <xf numFmtId="0" fontId="13" fillId="0" borderId="0" applyFill="0" applyBorder="0">
      <alignment vertical="center"/>
    </xf>
    <xf numFmtId="0" fontId="16" fillId="0" borderId="0" applyFill="0" applyBorder="0">
      <alignment vertical="center"/>
    </xf>
    <xf numFmtId="0" fontId="45" fillId="0" borderId="0" applyNumberFormat="0" applyFill="0" applyBorder="0" applyAlignment="0" applyProtection="0"/>
    <xf numFmtId="0" fontId="16" fillId="0" borderId="0" applyFill="0" applyBorder="0">
      <alignment vertical="center"/>
    </xf>
    <xf numFmtId="182" fontId="46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Fill="0" applyBorder="0">
      <alignment horizontal="center" vertical="center"/>
      <protection locked="0"/>
    </xf>
    <xf numFmtId="0" fontId="49" fillId="0" borderId="0" applyFill="0" applyBorder="0">
      <alignment horizontal="left" vertical="center"/>
      <protection locked="0"/>
    </xf>
    <xf numFmtId="0" fontId="50" fillId="12" borderId="11" applyNumberFormat="0" applyAlignment="0" applyProtection="0"/>
    <xf numFmtId="164" fontId="23" fillId="36" borderId="0" applyFont="0" applyBorder="0" applyAlignment="0">
      <alignment horizontal="right"/>
      <protection locked="0"/>
    </xf>
    <xf numFmtId="164" fontId="23" fillId="36" borderId="0" applyFont="0" applyBorder="0" applyAlignment="0">
      <alignment horizontal="right"/>
      <protection locked="0"/>
    </xf>
    <xf numFmtId="183" fontId="23" fillId="6" borderId="0" applyFont="0" applyBorder="0">
      <alignment horizontal="right"/>
      <protection locked="0"/>
    </xf>
    <xf numFmtId="183" fontId="23" fillId="6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0" fontId="16" fillId="4" borderId="0"/>
    <xf numFmtId="0" fontId="51" fillId="0" borderId="16" applyNumberFormat="0" applyFill="0" applyAlignment="0" applyProtection="0"/>
    <xf numFmtId="184" fontId="52" fillId="0" borderId="0"/>
    <xf numFmtId="0" fontId="53" fillId="0" borderId="0" applyFill="0" applyBorder="0">
      <alignment horizontal="left" vertical="center"/>
    </xf>
    <xf numFmtId="0" fontId="54" fillId="15" borderId="0" applyNumberFormat="0" applyBorder="0" applyAlignment="0" applyProtection="0"/>
    <xf numFmtId="185" fontId="5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3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8" fillId="0" borderId="0"/>
    <xf numFmtId="0" fontId="23" fillId="3" borderId="0"/>
    <xf numFmtId="0" fontId="56" fillId="0" borderId="0"/>
    <xf numFmtId="0" fontId="23" fillId="0" borderId="0"/>
    <xf numFmtId="0" fontId="23" fillId="0" borderId="0"/>
    <xf numFmtId="0" fontId="23" fillId="13" borderId="17" applyNumberFormat="0" applyFont="0" applyAlignment="0" applyProtection="0"/>
    <xf numFmtId="0" fontId="57" fillId="14" borderId="18" applyNumberFormat="0" applyAlignment="0" applyProtection="0"/>
    <xf numFmtId="186" fontId="23" fillId="0" borderId="0" applyFill="0" applyBorder="0"/>
    <xf numFmtId="186" fontId="23" fillId="0" borderId="0" applyFill="0" applyBorder="0"/>
    <xf numFmtId="186" fontId="23" fillId="0" borderId="0" applyFill="0" applyBorder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2" fontId="58" fillId="0" borderId="0"/>
    <xf numFmtId="0" fontId="13" fillId="0" borderId="0" applyFill="0" applyBorder="0">
      <alignment vertical="center"/>
    </xf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187" fontId="59" fillId="0" borderId="19"/>
    <xf numFmtId="0" fontId="60" fillId="0" borderId="20">
      <alignment horizontal="center"/>
    </xf>
    <xf numFmtId="3" fontId="34" fillId="0" borderId="0" applyFont="0" applyFill="0" applyBorder="0" applyAlignment="0" applyProtection="0"/>
    <xf numFmtId="0" fontId="34" fillId="37" borderId="0" applyNumberFormat="0" applyFont="0" applyBorder="0" applyAlignment="0" applyProtection="0"/>
    <xf numFmtId="188" fontId="23" fillId="0" borderId="0"/>
    <xf numFmtId="188" fontId="23" fillId="0" borderId="0"/>
    <xf numFmtId="188" fontId="23" fillId="0" borderId="0"/>
    <xf numFmtId="189" fontId="16" fillId="0" borderId="0" applyFill="0" applyBorder="0">
      <alignment horizontal="right" vertical="center"/>
    </xf>
    <xf numFmtId="190" fontId="16" fillId="0" borderId="0" applyFill="0" applyBorder="0">
      <alignment horizontal="right" vertical="center"/>
    </xf>
    <xf numFmtId="191" fontId="16" fillId="0" borderId="0" applyFill="0" applyBorder="0">
      <alignment horizontal="right" vertical="center"/>
    </xf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14" borderId="0" applyNumberFormat="0" applyFont="0" applyBorder="0" applyAlignment="0" applyProtection="0"/>
    <xf numFmtId="0" fontId="23" fillId="14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16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61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3" fillId="0" borderId="0"/>
    <xf numFmtId="0" fontId="62" fillId="0" borderId="0"/>
    <xf numFmtId="15" fontId="23" fillId="0" borderId="0"/>
    <xf numFmtId="15" fontId="23" fillId="0" borderId="0"/>
    <xf numFmtId="15" fontId="23" fillId="0" borderId="0"/>
    <xf numFmtId="10" fontId="23" fillId="0" borderId="0"/>
    <xf numFmtId="10" fontId="23" fillId="0" borderId="0"/>
    <xf numFmtId="10" fontId="23" fillId="0" borderId="0"/>
    <xf numFmtId="0" fontId="63" fillId="9" borderId="7" applyBorder="0" applyProtection="0">
      <alignment horizontal="centerContinuous" vertical="center"/>
    </xf>
    <xf numFmtId="0" fontId="64" fillId="0" borderId="0" applyBorder="0" applyProtection="0">
      <alignment vertical="center"/>
    </xf>
    <xf numFmtId="0" fontId="65" fillId="0" borderId="0">
      <alignment horizontal="left"/>
    </xf>
    <xf numFmtId="0" fontId="65" fillId="0" borderId="10" applyFill="0" applyBorder="0" applyProtection="0">
      <alignment horizontal="left" vertical="top"/>
    </xf>
    <xf numFmtId="49" fontId="23" fillId="0" borderId="0" applyFont="0" applyFill="0" applyBorder="0" applyAlignment="0" applyProtection="0"/>
    <xf numFmtId="0" fontId="66" fillId="0" borderId="0"/>
    <xf numFmtId="49" fontId="23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84" fontId="68" fillId="0" borderId="0"/>
    <xf numFmtId="0" fontId="61" fillId="0" borderId="0" applyNumberFormat="0" applyFill="0" applyBorder="0" applyAlignment="0" applyProtection="0"/>
    <xf numFmtId="0" fontId="69" fillId="0" borderId="0" applyFill="0" applyBorder="0">
      <alignment horizontal="left" vertical="center"/>
      <protection locked="0"/>
    </xf>
    <xf numFmtId="0" fontId="66" fillId="0" borderId="0"/>
    <xf numFmtId="0" fontId="70" fillId="0" borderId="0" applyFill="0" applyBorder="0">
      <alignment horizontal="left" vertical="center"/>
      <protection locked="0"/>
    </xf>
    <xf numFmtId="0" fontId="37" fillId="0" borderId="21" applyNumberFormat="0" applyFill="0" applyAlignment="0" applyProtection="0"/>
    <xf numFmtId="0" fontId="71" fillId="0" borderId="0" applyNumberFormat="0" applyFill="0" applyBorder="0" applyAlignment="0" applyProtection="0"/>
    <xf numFmtId="192" fontId="23" fillId="0" borderId="7" applyBorder="0" applyProtection="0">
      <alignment horizontal="right"/>
    </xf>
    <xf numFmtId="192" fontId="23" fillId="0" borderId="7" applyBorder="0" applyProtection="0">
      <alignment horizontal="right"/>
    </xf>
    <xf numFmtId="192" fontId="23" fillId="0" borderId="7" applyBorder="0" applyProtection="0">
      <alignment horizontal="right"/>
    </xf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77" fillId="42" borderId="0"/>
    <xf numFmtId="202" fontId="78" fillId="0" borderId="22">
      <alignment horizontal="center"/>
    </xf>
    <xf numFmtId="0" fontId="79" fillId="43" borderId="6">
      <alignment horizontal="center" vertical="center"/>
    </xf>
    <xf numFmtId="0" fontId="23" fillId="44" borderId="11"/>
    <xf numFmtId="0" fontId="80" fillId="0" borderId="0" applyFill="0" applyBorder="0"/>
    <xf numFmtId="0" fontId="81" fillId="0" borderId="0" applyNumberFormat="0" applyFill="0"/>
    <xf numFmtId="0" fontId="82" fillId="0" borderId="0" applyFill="0"/>
    <xf numFmtId="0" fontId="83" fillId="0" borderId="0" applyFill="0"/>
    <xf numFmtId="0" fontId="84" fillId="0" borderId="0" applyFill="0"/>
    <xf numFmtId="0" fontId="77" fillId="45" borderId="0"/>
    <xf numFmtId="0" fontId="23" fillId="38" borderId="23" applyNumberFormat="0" applyFont="0" applyAlignment="0"/>
    <xf numFmtId="0" fontId="85" fillId="7" borderId="24" applyNumberFormat="0"/>
    <xf numFmtId="0" fontId="86" fillId="46" borderId="0"/>
    <xf numFmtId="0" fontId="87" fillId="46" borderId="0" applyNumberFormat="0"/>
    <xf numFmtId="0" fontId="88" fillId="46" borderId="0"/>
    <xf numFmtId="0" fontId="89" fillId="47" borderId="6" applyNumberFormat="0">
      <alignment horizontal="center" vertical="center"/>
    </xf>
    <xf numFmtId="0" fontId="90" fillId="48" borderId="11" applyNumberFormat="0" applyAlignment="0">
      <alignment horizontal="right"/>
    </xf>
    <xf numFmtId="0" fontId="25" fillId="38" borderId="23" applyNumberFormat="0" applyAlignment="0"/>
    <xf numFmtId="0" fontId="78" fillId="0" borderId="0" applyNumberFormat="0" applyFill="0" applyBorder="0"/>
    <xf numFmtId="0" fontId="91" fillId="49" borderId="23" applyNumberFormat="0">
      <protection locked="0"/>
    </xf>
    <xf numFmtId="0" fontId="4" fillId="0" borderId="0"/>
    <xf numFmtId="0" fontId="93" fillId="50" borderId="27">
      <alignment vertical="center"/>
    </xf>
    <xf numFmtId="166" fontId="14" fillId="0" borderId="0" applyFont="0" applyFill="0" applyBorder="0" applyAlignment="0" applyProtection="0"/>
    <xf numFmtId="166" fontId="23" fillId="0" borderId="0" applyFont="0" applyFill="0" applyBorder="0" applyAlignment="0" applyProtection="0"/>
    <xf numFmtId="164" fontId="23" fillId="4" borderId="0" applyNumberFormat="0" applyFont="0" applyBorder="0" applyAlignment="0">
      <alignment horizontal="right"/>
    </xf>
    <xf numFmtId="164" fontId="23" fillId="4" borderId="0" applyNumberFormat="0" applyFont="0" applyBorder="0" applyAlignment="0">
      <alignment horizontal="right"/>
    </xf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36" borderId="0" applyFont="0" applyBorder="0" applyAlignment="0">
      <alignment horizontal="right"/>
      <protection locked="0"/>
    </xf>
    <xf numFmtId="164" fontId="23" fillId="36" borderId="0" applyFont="0" applyBorder="0" applyAlignment="0">
      <alignment horizontal="right"/>
      <protection locked="0"/>
    </xf>
    <xf numFmtId="164" fontId="23" fillId="10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165" fontId="94" fillId="0" borderId="0" applyFont="0" applyFill="0" applyBorder="0" applyAlignment="0" applyProtection="0"/>
    <xf numFmtId="0" fontId="3" fillId="0" borderId="0"/>
    <xf numFmtId="166" fontId="94" fillId="0" borderId="0" applyFont="0" applyFill="0" applyBorder="0" applyAlignment="0" applyProtection="0"/>
    <xf numFmtId="0" fontId="94" fillId="0" borderId="0"/>
    <xf numFmtId="207" fontId="23" fillId="0" borderId="0" applyFill="0" applyBorder="0">
      <alignment vertical="center"/>
    </xf>
    <xf numFmtId="0" fontId="2" fillId="0" borderId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4" borderId="0" applyNumberFormat="0" applyFont="0" applyBorder="0" applyAlignment="0">
      <alignment horizontal="right"/>
    </xf>
    <xf numFmtId="41" fontId="23" fillId="4" borderId="0" applyNumberFormat="0" applyFont="0" applyBorder="0" applyAlignment="0">
      <alignment horizontal="right"/>
    </xf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1" fontId="23" fillId="36" borderId="0" applyFont="0" applyBorder="0" applyAlignment="0">
      <alignment horizontal="right"/>
      <protection locked="0"/>
    </xf>
    <xf numFmtId="41" fontId="23" fillId="36" borderId="0" applyFont="0" applyBorder="0" applyAlignment="0">
      <alignment horizontal="right"/>
      <protection locked="0"/>
    </xf>
    <xf numFmtId="41" fontId="23" fillId="10" borderId="0" applyFont="0" applyBorder="0">
      <alignment horizontal="right"/>
      <protection locked="0"/>
    </xf>
    <xf numFmtId="41" fontId="23" fillId="10" borderId="0" applyFont="0" applyBorder="0">
      <alignment horizontal="right"/>
      <protection locked="0"/>
    </xf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4" borderId="0" applyNumberFormat="0" applyFont="0" applyBorder="0" applyAlignment="0">
      <alignment horizontal="right"/>
    </xf>
    <xf numFmtId="41" fontId="23" fillId="4" borderId="0" applyNumberFormat="0" applyFont="0" applyBorder="0" applyAlignment="0">
      <alignment horizontal="right"/>
    </xf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1" fontId="23" fillId="36" borderId="0" applyFont="0" applyBorder="0" applyAlignment="0">
      <alignment horizontal="right"/>
      <protection locked="0"/>
    </xf>
    <xf numFmtId="41" fontId="23" fillId="36" borderId="0" applyFont="0" applyBorder="0" applyAlignment="0">
      <alignment horizontal="right"/>
      <protection locked="0"/>
    </xf>
    <xf numFmtId="41" fontId="23" fillId="10" borderId="0" applyFont="0" applyBorder="0">
      <alignment horizontal="right"/>
      <protection locked="0"/>
    </xf>
    <xf numFmtId="41" fontId="23" fillId="10" borderId="0" applyFont="0" applyBorder="0">
      <alignment horizontal="right"/>
      <protection locked="0"/>
    </xf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4" fillId="0" borderId="0" applyFont="0" applyFill="0" applyBorder="0" applyAlignment="0" applyProtection="0"/>
    <xf numFmtId="0" fontId="1" fillId="0" borderId="0"/>
    <xf numFmtId="43" fontId="94" fillId="0" borderId="0" applyFont="0" applyFill="0" applyBorder="0" applyAlignment="0" applyProtection="0"/>
    <xf numFmtId="0" fontId="1" fillId="0" borderId="0"/>
  </cellStyleXfs>
  <cellXfs count="193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6" fillId="2" borderId="1" xfId="0" applyFont="1" applyFill="1" applyBorder="1"/>
    <xf numFmtId="168" fontId="7" fillId="3" borderId="0" xfId="0" applyNumberFormat="1" applyFont="1" applyFill="1"/>
    <xf numFmtId="168" fontId="8" fillId="0" borderId="0" xfId="0" applyNumberFormat="1" applyFont="1"/>
    <xf numFmtId="168" fontId="7" fillId="0" borderId="0" xfId="0" applyNumberFormat="1" applyFont="1"/>
    <xf numFmtId="168" fontId="9" fillId="0" borderId="0" xfId="0" applyNumberFormat="1" applyFont="1"/>
    <xf numFmtId="168" fontId="10" fillId="0" borderId="0" xfId="0" applyNumberFormat="1" applyFont="1"/>
    <xf numFmtId="0" fontId="7" fillId="5" borderId="0" xfId="0" applyFont="1" applyFill="1"/>
    <xf numFmtId="0" fontId="7" fillId="6" borderId="0" xfId="0" applyFont="1" applyFill="1"/>
    <xf numFmtId="168" fontId="13" fillId="0" borderId="0" xfId="0" applyNumberFormat="1" applyFont="1"/>
    <xf numFmtId="168" fontId="9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 indent="1"/>
    </xf>
    <xf numFmtId="168" fontId="8" fillId="0" borderId="0" xfId="0" applyNumberFormat="1" applyFont="1" applyAlignment="1">
      <alignment horizontal="center"/>
    </xf>
    <xf numFmtId="168" fontId="0" fillId="0" borderId="0" xfId="0" applyNumberFormat="1"/>
    <xf numFmtId="166" fontId="13" fillId="0" borderId="6" xfId="0" applyNumberFormat="1" applyFont="1" applyBorder="1" applyAlignment="1">
      <alignment horizontal="center"/>
    </xf>
    <xf numFmtId="168" fontId="8" fillId="3" borderId="0" xfId="0" applyNumberFormat="1" applyFont="1" applyFill="1"/>
    <xf numFmtId="168" fontId="19" fillId="0" borderId="0" xfId="0" applyNumberFormat="1" applyFont="1" applyAlignment="1">
      <alignment horizontal="center"/>
    </xf>
    <xf numFmtId="168" fontId="8" fillId="3" borderId="0" xfId="0" applyNumberFormat="1" applyFont="1" applyFill="1" applyAlignment="1">
      <alignment horizontal="center"/>
    </xf>
    <xf numFmtId="174" fontId="13" fillId="0" borderId="0" xfId="5" applyNumberFormat="1" applyFont="1" applyBorder="1" applyAlignment="1" applyProtection="1">
      <alignment horizontal="center" vertical="center"/>
    </xf>
    <xf numFmtId="175" fontId="7" fillId="0" borderId="0" xfId="0" applyNumberFormat="1" applyFont="1"/>
    <xf numFmtId="168" fontId="18" fillId="0" borderId="0" xfId="3" applyNumberFormat="1" applyFont="1" applyAlignment="1" applyProtection="1">
      <alignment horizontal="center"/>
    </xf>
    <xf numFmtId="0" fontId="72" fillId="38" borderId="0" xfId="0" applyFont="1" applyFill="1" applyAlignment="1">
      <alignment horizontal="left" vertical="center"/>
    </xf>
    <xf numFmtId="0" fontId="72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4" fillId="38" borderId="0" xfId="0" applyNumberFormat="1" applyFont="1" applyFill="1" applyAlignment="1">
      <alignment horizontal="center"/>
    </xf>
    <xf numFmtId="0" fontId="74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5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5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4" fillId="39" borderId="4" xfId="0" applyFont="1" applyFill="1" applyBorder="1"/>
    <xf numFmtId="169" fontId="7" fillId="41" borderId="3" xfId="0" applyNumberFormat="1" applyFont="1" applyFill="1" applyBorder="1" applyAlignment="1" applyProtection="1">
      <alignment horizontal="center"/>
      <protection locked="0"/>
    </xf>
    <xf numFmtId="0" fontId="76" fillId="39" borderId="4" xfId="0" applyFont="1" applyFill="1" applyBorder="1"/>
    <xf numFmtId="0" fontId="74" fillId="38" borderId="0" xfId="0" applyFont="1" applyFill="1" applyAlignment="1">
      <alignment horizontal="left"/>
    </xf>
    <xf numFmtId="0" fontId="74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7" fillId="40" borderId="0" xfId="0" applyFont="1" applyFill="1" applyAlignment="1">
      <alignment horizontal="center"/>
    </xf>
    <xf numFmtId="168" fontId="19" fillId="0" borderId="0" xfId="0" applyNumberFormat="1" applyFont="1" applyAlignment="1">
      <alignment horizontal="center" wrapText="1"/>
    </xf>
    <xf numFmtId="193" fontId="7" fillId="41" borderId="3" xfId="0" applyNumberFormat="1" applyFont="1" applyFill="1" applyBorder="1" applyAlignment="1" applyProtection="1">
      <alignment horizontal="center"/>
      <protection locked="0"/>
    </xf>
    <xf numFmtId="197" fontId="7" fillId="0" borderId="0" xfId="0" applyNumberFormat="1" applyFont="1" applyAlignment="1">
      <alignment horizontal="left"/>
    </xf>
    <xf numFmtId="168" fontId="8" fillId="0" borderId="0" xfId="0" applyNumberFormat="1" applyFont="1" applyAlignment="1">
      <alignment horizontal="center" wrapText="1"/>
    </xf>
    <xf numFmtId="168" fontId="20" fillId="40" borderId="9" xfId="0" applyNumberFormat="1" applyFont="1" applyFill="1" applyBorder="1" applyAlignment="1" applyProtection="1">
      <alignment horizontal="center"/>
      <protection locked="0"/>
    </xf>
    <xf numFmtId="0" fontId="74" fillId="38" borderId="1" xfId="0" applyFont="1" applyFill="1" applyBorder="1" applyAlignment="1">
      <alignment horizontal="left" indent="9"/>
    </xf>
    <xf numFmtId="0" fontId="24" fillId="38" borderId="2" xfId="0" applyFont="1" applyFill="1" applyBorder="1"/>
    <xf numFmtId="0" fontId="75" fillId="38" borderId="2" xfId="0" applyFont="1" applyFill="1" applyBorder="1"/>
    <xf numFmtId="0" fontId="75" fillId="39" borderId="4" xfId="0" applyFont="1" applyFill="1" applyBorder="1"/>
    <xf numFmtId="0" fontId="75" fillId="39" borderId="4" xfId="0" applyFont="1" applyFill="1" applyBorder="1" applyAlignment="1">
      <alignment horizontal="center"/>
    </xf>
    <xf numFmtId="0" fontId="20" fillId="39" borderId="4" xfId="0" applyFont="1" applyFill="1" applyBorder="1" applyAlignment="1">
      <alignment horizontal="center" vertical="center"/>
    </xf>
    <xf numFmtId="0" fontId="20" fillId="39" borderId="4" xfId="0" applyFont="1" applyFill="1" applyBorder="1" applyAlignment="1">
      <alignment vertical="center"/>
    </xf>
    <xf numFmtId="0" fontId="75" fillId="39" borderId="4" xfId="0" applyFont="1" applyFill="1" applyBorder="1" applyAlignment="1">
      <alignment wrapText="1"/>
    </xf>
    <xf numFmtId="165" fontId="20" fillId="39" borderId="4" xfId="0" applyNumberFormat="1" applyFont="1" applyFill="1" applyBorder="1" applyAlignment="1">
      <alignment horizontal="center" wrapText="1"/>
    </xf>
    <xf numFmtId="0" fontId="75" fillId="3" borderId="0" xfId="0" applyFont="1" applyFill="1" applyAlignment="1">
      <alignment wrapText="1"/>
    </xf>
    <xf numFmtId="0" fontId="75" fillId="3" borderId="0" xfId="0" applyFont="1" applyFill="1"/>
    <xf numFmtId="0" fontId="75" fillId="0" borderId="0" xfId="0" applyFont="1"/>
    <xf numFmtId="168" fontId="7" fillId="0" borderId="0" xfId="0" applyNumberFormat="1" applyFont="1" applyAlignment="1">
      <alignment horizontal="center"/>
    </xf>
    <xf numFmtId="168" fontId="18" fillId="0" borderId="0" xfId="3" applyNumberFormat="1" applyFont="1" applyFill="1" applyAlignment="1" applyProtection="1">
      <alignment horizontal="center"/>
    </xf>
    <xf numFmtId="198" fontId="7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center"/>
    </xf>
    <xf numFmtId="168" fontId="9" fillId="0" borderId="8" xfId="0" applyNumberFormat="1" applyFont="1" applyBorder="1" applyAlignment="1">
      <alignment horizontal="left" indent="1"/>
    </xf>
    <xf numFmtId="168" fontId="8" fillId="0" borderId="8" xfId="0" applyNumberFormat="1" applyFont="1" applyBorder="1" applyAlignment="1">
      <alignment horizontal="center"/>
    </xf>
    <xf numFmtId="198" fontId="9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/>
    </xf>
    <xf numFmtId="10" fontId="7" fillId="0" borderId="0" xfId="2" applyNumberFormat="1" applyFont="1" applyAlignment="1" applyProtection="1">
      <alignment horizontal="center"/>
    </xf>
    <xf numFmtId="168" fontId="9" fillId="0" borderId="8" xfId="0" applyNumberFormat="1" applyFont="1" applyBorder="1"/>
    <xf numFmtId="176" fontId="7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 indent="2"/>
    </xf>
    <xf numFmtId="168" fontId="19" fillId="0" borderId="8" xfId="0" applyNumberFormat="1" applyFont="1" applyBorder="1" applyAlignment="1">
      <alignment horizontal="center"/>
    </xf>
    <xf numFmtId="168" fontId="9" fillId="0" borderId="0" xfId="0" applyNumberFormat="1" applyFont="1" applyAlignment="1">
      <alignment horizontal="left" indent="1"/>
    </xf>
    <xf numFmtId="195" fontId="9" fillId="0" borderId="0" xfId="0" applyNumberFormat="1" applyFont="1" applyAlignment="1">
      <alignment horizontal="center"/>
    </xf>
    <xf numFmtId="201" fontId="7" fillId="0" borderId="0" xfId="0" applyNumberFormat="1" applyFont="1" applyAlignment="1">
      <alignment horizontal="center"/>
    </xf>
    <xf numFmtId="201" fontId="9" fillId="0" borderId="0" xfId="0" applyNumberFormat="1" applyFont="1" applyAlignment="1">
      <alignment horizontal="center"/>
    </xf>
    <xf numFmtId="166" fontId="13" fillId="0" borderId="3" xfId="0" applyNumberFormat="1" applyFont="1" applyBorder="1" applyAlignment="1">
      <alignment horizontal="center"/>
    </xf>
    <xf numFmtId="166" fontId="13" fillId="0" borderId="0" xfId="0" applyNumberFormat="1" applyFont="1" applyAlignment="1">
      <alignment horizontal="center"/>
    </xf>
    <xf numFmtId="0" fontId="11" fillId="38" borderId="2" xfId="0" applyFont="1" applyFill="1" applyBorder="1"/>
    <xf numFmtId="0" fontId="12" fillId="38" borderId="2" xfId="0" applyFont="1" applyFill="1" applyBorder="1" applyAlignment="1">
      <alignment horizontal="center"/>
    </xf>
    <xf numFmtId="0" fontId="12" fillId="38" borderId="2" xfId="0" applyFont="1" applyFill="1" applyBorder="1"/>
    <xf numFmtId="168" fontId="9" fillId="0" borderId="7" xfId="0" applyNumberFormat="1" applyFont="1" applyBorder="1"/>
    <xf numFmtId="168" fontId="7" fillId="0" borderId="7" xfId="0" applyNumberFormat="1" applyFont="1" applyBorder="1"/>
    <xf numFmtId="10" fontId="7" fillId="0" borderId="0" xfId="2" applyNumberFormat="1" applyFont="1" applyBorder="1" applyAlignment="1" applyProtection="1">
      <alignment horizontal="center"/>
    </xf>
    <xf numFmtId="176" fontId="7" fillId="0" borderId="0" xfId="0" applyNumberFormat="1" applyFont="1"/>
    <xf numFmtId="200" fontId="9" fillId="0" borderId="0" xfId="0" applyNumberFormat="1" applyFont="1" applyAlignment="1">
      <alignment horizontal="center"/>
    </xf>
    <xf numFmtId="168" fontId="7" fillId="0" borderId="0" xfId="0" applyNumberFormat="1" applyFont="1" applyProtection="1">
      <protection locked="0"/>
    </xf>
    <xf numFmtId="203" fontId="7" fillId="41" borderId="3" xfId="0" applyNumberFormat="1" applyFont="1" applyFill="1" applyBorder="1" applyAlignment="1" applyProtection="1">
      <alignment horizontal="center"/>
      <protection locked="0"/>
    </xf>
    <xf numFmtId="1" fontId="7" fillId="41" borderId="3" xfId="0" applyNumberFormat="1" applyFont="1" applyFill="1" applyBorder="1" applyAlignment="1" applyProtection="1">
      <alignment horizontal="center"/>
      <protection locked="0"/>
    </xf>
    <xf numFmtId="204" fontId="75" fillId="39" borderId="4" xfId="0" applyNumberFormat="1" applyFont="1" applyFill="1" applyBorder="1" applyAlignment="1">
      <alignment horizontal="center" wrapText="1"/>
    </xf>
    <xf numFmtId="204" fontId="92" fillId="38" borderId="2" xfId="0" applyNumberFormat="1" applyFont="1" applyFill="1" applyBorder="1" applyAlignment="1">
      <alignment horizontal="center"/>
    </xf>
    <xf numFmtId="204" fontId="75" fillId="38" borderId="2" xfId="0" applyNumberFormat="1" applyFont="1" applyFill="1" applyBorder="1" applyAlignment="1">
      <alignment horizontal="left"/>
    </xf>
    <xf numFmtId="204" fontId="7" fillId="0" borderId="0" xfId="0" applyNumberFormat="1" applyFont="1" applyAlignment="1">
      <alignment horizontal="left" indent="1"/>
    </xf>
    <xf numFmtId="204" fontId="8" fillId="0" borderId="0" xfId="0" applyNumberFormat="1" applyFont="1" applyAlignment="1">
      <alignment horizontal="center"/>
    </xf>
    <xf numFmtId="204" fontId="9" fillId="0" borderId="0" xfId="0" applyNumberFormat="1" applyFont="1" applyAlignment="1">
      <alignment horizontal="center"/>
    </xf>
    <xf numFmtId="0" fontId="75" fillId="38" borderId="25" xfId="0" applyFont="1" applyFill="1" applyBorder="1"/>
    <xf numFmtId="204" fontId="19" fillId="0" borderId="0" xfId="0" applyNumberFormat="1" applyFont="1" applyAlignment="1">
      <alignment horizontal="center"/>
    </xf>
    <xf numFmtId="168" fontId="9" fillId="0" borderId="7" xfId="0" applyNumberFormat="1" applyFont="1" applyBorder="1" applyAlignment="1">
      <alignment horizontal="left" indent="1"/>
    </xf>
    <xf numFmtId="204" fontId="8" fillId="0" borderId="7" xfId="0" applyNumberFormat="1" applyFont="1" applyBorder="1" applyAlignment="1">
      <alignment horizontal="center"/>
    </xf>
    <xf numFmtId="205" fontId="7" fillId="0" borderId="0" xfId="2" applyNumberFormat="1" applyFont="1" applyFill="1" applyBorder="1" applyAlignment="1" applyProtection="1">
      <alignment horizontal="center"/>
    </xf>
    <xf numFmtId="0" fontId="75" fillId="38" borderId="2" xfId="0" applyFont="1" applyFill="1" applyBorder="1" applyAlignment="1">
      <alignment horizontal="center"/>
    </xf>
    <xf numFmtId="0" fontId="7" fillId="0" borderId="3" xfId="0" applyFont="1" applyBorder="1" applyAlignment="1" applyProtection="1">
      <alignment horizontal="center"/>
      <protection locked="0"/>
    </xf>
    <xf numFmtId="204" fontId="7" fillId="0" borderId="3" xfId="0" applyNumberFormat="1" applyFont="1" applyBorder="1" applyAlignment="1" applyProtection="1">
      <alignment horizontal="center"/>
      <protection locked="0"/>
    </xf>
    <xf numFmtId="195" fontId="7" fillId="0" borderId="0" xfId="0" applyNumberFormat="1" applyFont="1" applyProtection="1">
      <protection locked="0"/>
    </xf>
    <xf numFmtId="195" fontId="9" fillId="0" borderId="0" xfId="0" applyNumberFormat="1" applyFont="1" applyProtection="1">
      <protection locked="0"/>
    </xf>
    <xf numFmtId="182" fontId="7" fillId="0" borderId="0" xfId="2" applyNumberFormat="1" applyFont="1" applyFill="1" applyBorder="1" applyAlignment="1" applyProtection="1">
      <alignment horizontal="center"/>
      <protection locked="0"/>
    </xf>
    <xf numFmtId="204" fontId="20" fillId="8" borderId="9" xfId="0" applyNumberFormat="1" applyFont="1" applyFill="1" applyBorder="1" applyAlignment="1" applyProtection="1">
      <alignment horizontal="center"/>
      <protection locked="0"/>
    </xf>
    <xf numFmtId="206" fontId="7" fillId="0" borderId="0" xfId="0" applyNumberFormat="1" applyFont="1" applyProtection="1">
      <protection locked="0"/>
    </xf>
    <xf numFmtId="1" fontId="7" fillId="0" borderId="0" xfId="0" applyNumberFormat="1" applyFont="1" applyAlignment="1" applyProtection="1">
      <alignment horizontal="center"/>
      <protection locked="0"/>
    </xf>
    <xf numFmtId="204" fontId="7" fillId="0" borderId="0" xfId="0" applyNumberFormat="1" applyFont="1" applyAlignment="1" applyProtection="1">
      <alignment horizontal="center"/>
      <protection locked="0"/>
    </xf>
    <xf numFmtId="195" fontId="21" fillId="0" borderId="0" xfId="0" applyNumberFormat="1" applyFont="1" applyProtection="1">
      <protection locked="0"/>
    </xf>
    <xf numFmtId="195" fontId="15" fillId="0" borderId="0" xfId="3" applyNumberFormat="1" applyProtection="1">
      <protection locked="0"/>
    </xf>
    <xf numFmtId="193" fontId="7" fillId="0" borderId="0" xfId="0" applyNumberFormat="1" applyFont="1" applyAlignment="1" applyProtection="1">
      <alignment horizontal="center"/>
      <protection locked="0"/>
    </xf>
    <xf numFmtId="0" fontId="79" fillId="39" borderId="4" xfId="0" applyFont="1" applyFill="1" applyBorder="1" applyAlignment="1">
      <alignment vertical="center"/>
    </xf>
    <xf numFmtId="165" fontId="79" fillId="39" borderId="4" xfId="0" applyNumberFormat="1" applyFont="1" applyFill="1" applyBorder="1" applyAlignment="1">
      <alignment horizontal="center" wrapText="1"/>
    </xf>
    <xf numFmtId="168" fontId="76" fillId="0" borderId="0" xfId="0" applyNumberFormat="1" applyFont="1" applyAlignment="1">
      <alignment horizontal="center"/>
    </xf>
    <xf numFmtId="168" fontId="75" fillId="0" borderId="0" xfId="0" applyNumberFormat="1" applyFont="1" applyAlignment="1">
      <alignment horizontal="center"/>
    </xf>
    <xf numFmtId="168" fontId="24" fillId="0" borderId="0" xfId="0" applyNumberFormat="1" applyFont="1"/>
    <xf numFmtId="204" fontId="24" fillId="0" borderId="7" xfId="0" applyNumberFormat="1" applyFont="1" applyBorder="1" applyAlignment="1">
      <alignment horizontal="center"/>
    </xf>
    <xf numFmtId="168" fontId="24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4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4" fillId="0" borderId="4" xfId="0" applyNumberFormat="1" applyFont="1" applyBorder="1" applyAlignment="1">
      <alignment horizontal="left"/>
    </xf>
    <xf numFmtId="168" fontId="76" fillId="0" borderId="4" xfId="0" applyNumberFormat="1" applyFont="1" applyBorder="1" applyAlignment="1">
      <alignment horizontal="center"/>
    </xf>
    <xf numFmtId="204" fontId="76" fillId="0" borderId="4" xfId="0" applyNumberFormat="1" applyFont="1" applyBorder="1" applyAlignment="1">
      <alignment horizontal="center"/>
    </xf>
    <xf numFmtId="199" fontId="24" fillId="0" borderId="4" xfId="5" applyNumberFormat="1" applyFont="1" applyBorder="1" applyAlignment="1" applyProtection="1">
      <alignment horizontal="center" vertical="center"/>
    </xf>
    <xf numFmtId="204" fontId="76" fillId="0" borderId="0" xfId="0" applyNumberFormat="1" applyFont="1" applyAlignment="1">
      <alignment horizontal="center"/>
    </xf>
    <xf numFmtId="49" fontId="76" fillId="0" borderId="4" xfId="0" applyNumberFormat="1" applyFont="1" applyBorder="1" applyAlignment="1">
      <alignment horizontal="center"/>
    </xf>
    <xf numFmtId="166" fontId="0" fillId="0" borderId="0" xfId="0" applyNumberFormat="1"/>
    <xf numFmtId="2" fontId="24" fillId="0" borderId="4" xfId="5" applyNumberFormat="1" applyFont="1" applyBorder="1" applyAlignment="1" applyProtection="1">
      <alignment horizontal="center" vertical="center"/>
    </xf>
    <xf numFmtId="204" fontId="24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 applyAlignment="1">
      <alignment horizontal="center" vertical="center"/>
    </xf>
    <xf numFmtId="0" fontId="75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6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4" fillId="0" borderId="0" xfId="0" applyNumberFormat="1" applyFont="1" applyAlignment="1">
      <alignment horizontal="center"/>
    </xf>
    <xf numFmtId="168" fontId="76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6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4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4" fillId="40" borderId="26" xfId="0" applyNumberFormat="1" applyFont="1" applyFill="1" applyBorder="1" applyAlignment="1" applyProtection="1">
      <alignment horizontal="center"/>
      <protection locked="0"/>
    </xf>
    <xf numFmtId="182" fontId="0" fillId="0" borderId="0" xfId="2" applyNumberFormat="1" applyFont="1" applyAlignment="1" applyProtection="1">
      <alignment horizontal="center"/>
      <protection locked="0"/>
    </xf>
    <xf numFmtId="168" fontId="95" fillId="0" borderId="0" xfId="0" applyNumberFormat="1" applyFont="1" applyAlignment="1">
      <alignment horizontal="center"/>
    </xf>
    <xf numFmtId="174" fontId="24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5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5" fillId="0" borderId="0" xfId="3" applyFill="1"/>
    <xf numFmtId="168" fontId="15" fillId="0" borderId="0" xfId="3" applyNumberFormat="1" applyAlignment="1" applyProtection="1">
      <protection locked="0"/>
    </xf>
    <xf numFmtId="0" fontId="73" fillId="38" borderId="0" xfId="0" applyFont="1" applyFill="1" applyProtection="1">
      <protection locked="0"/>
    </xf>
    <xf numFmtId="0" fontId="15" fillId="38" borderId="0" xfId="3" applyFill="1" applyBorder="1" applyAlignment="1" applyProtection="1">
      <alignment horizontal="right"/>
      <protection locked="0"/>
    </xf>
    <xf numFmtId="168" fontId="15" fillId="0" borderId="0" xfId="3" applyNumberFormat="1" applyAlignment="1" applyProtection="1">
      <alignment horizontal="center"/>
      <protection locked="0"/>
    </xf>
    <xf numFmtId="0" fontId="15" fillId="0" borderId="0" xfId="3" applyFill="1" applyProtection="1">
      <protection locked="0"/>
    </xf>
    <xf numFmtId="208" fontId="0" fillId="8" borderId="3" xfId="2" applyNumberFormat="1" applyFont="1" applyFill="1" applyBorder="1" applyAlignment="1" applyProtection="1">
      <alignment horizontal="center"/>
    </xf>
    <xf numFmtId="174" fontId="24" fillId="0" borderId="0" xfId="5" applyNumberFormat="1" applyFont="1" applyBorder="1" applyAlignment="1" applyProtection="1">
      <alignment horizontal="left" vertical="center"/>
    </xf>
    <xf numFmtId="193" fontId="0" fillId="41" borderId="3" xfId="0" applyNumberFormat="1" applyFill="1" applyBorder="1" applyAlignment="1" applyProtection="1">
      <alignment horizontal="left" indent="1"/>
      <protection locked="0"/>
    </xf>
    <xf numFmtId="0" fontId="75" fillId="38" borderId="2" xfId="0" applyFont="1" applyFill="1" applyBorder="1" applyAlignment="1">
      <alignment horizontal="center"/>
    </xf>
    <xf numFmtId="182" fontId="7" fillId="41" borderId="3" xfId="2" applyNumberFormat="1" applyFont="1" applyFill="1" applyBorder="1" applyAlignment="1" applyProtection="1">
      <alignment horizontal="center"/>
      <protection locked="0"/>
    </xf>
    <xf numFmtId="0" fontId="75" fillId="38" borderId="2" xfId="0" applyFont="1" applyFill="1" applyBorder="1" applyAlignment="1"/>
  </cellXfs>
  <cellStyles count="375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2 2 2" xfId="342" xr:uid="{0492C17F-EB3D-4F3C-9786-2B69DC181F43}"/>
    <cellStyle name="Blockout 2 3" xfId="309" xr:uid="{AFE7ED2B-F6B7-4F64-9F23-B4C1A8007ABC}"/>
    <cellStyle name="Blockout 3" xfId="268" xr:uid="{00000000-0005-0000-0000-00003A000000}"/>
    <cellStyle name="Blockout 3 2" xfId="341" xr:uid="{B8D9F669-172A-4C67-8D6A-98D8682DC2FB}"/>
    <cellStyle name="Blockout 4" xfId="308" xr:uid="{B007BE50-A421-4460-AD37-3D9854E1BE42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10 2" xfId="339" xr:uid="{78BD1916-7002-4BFB-B183-CDBF535F4BC3}"/>
    <cellStyle name="Comma 11" xfId="306" xr:uid="{362F5D16-673E-4ED3-9FBE-24CBC457EF76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2 2 2" xfId="343" xr:uid="{843E994B-F4EA-40A8-BA92-38F297B4E78B}"/>
    <cellStyle name="Comma 2 2 3" xfId="310" xr:uid="{692A77D6-120F-4638-9FB5-C66EF25DAB65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2 2 2" xfId="345" xr:uid="{EEE679CD-558B-404C-B882-0B2C17F12EA9}"/>
    <cellStyle name="Comma 2 3 2 3" xfId="312" xr:uid="{BA229AB3-735C-438A-93C7-D913770F87CB}"/>
    <cellStyle name="Comma 2 3 3" xfId="271" xr:uid="{00000000-0005-0000-0000-00004D000000}"/>
    <cellStyle name="Comma 2 3 3 2" xfId="344" xr:uid="{0E7EDECD-FDF2-46C0-A895-968226AB8010}"/>
    <cellStyle name="Comma 2 3 4" xfId="311" xr:uid="{F11BE07F-CD9D-477F-B5F1-4647F8463E13}"/>
    <cellStyle name="Comma 2 4" xfId="76" xr:uid="{00000000-0005-0000-0000-00004E000000}"/>
    <cellStyle name="Comma 2 4 2" xfId="273" xr:uid="{00000000-0005-0000-0000-00004F000000}"/>
    <cellStyle name="Comma 2 4 2 2" xfId="346" xr:uid="{732B1E48-929C-4C95-A9A3-161BB7D1C2B3}"/>
    <cellStyle name="Comma 2 4 3" xfId="313" xr:uid="{A17A648D-BD7C-4543-8543-31BF67BD4872}"/>
    <cellStyle name="Comma 2 5" xfId="77" xr:uid="{00000000-0005-0000-0000-000050000000}"/>
    <cellStyle name="Comma 2 5 2" xfId="274" xr:uid="{00000000-0005-0000-0000-000051000000}"/>
    <cellStyle name="Comma 2 5 2 2" xfId="347" xr:uid="{D39200C2-C97E-4930-9074-9FD3CC6050F5}"/>
    <cellStyle name="Comma 2 5 3" xfId="314" xr:uid="{F00F1CA3-5B42-4604-9C3B-7017A8701CAE}"/>
    <cellStyle name="Comma 2 6" xfId="267" xr:uid="{00000000-0005-0000-0000-000052000000}"/>
    <cellStyle name="Comma 2 6 2" xfId="340" xr:uid="{BDE4639E-D6B7-4EB3-AFFF-E807AFB34A0A}"/>
    <cellStyle name="Comma 2 7" xfId="307" xr:uid="{1A6ECE4C-4193-4CE1-8CA9-2EF1E7055F82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3 3 2 2" xfId="348" xr:uid="{238C9769-438D-4256-9D90-DE3F79AC26F4}"/>
    <cellStyle name="Comma 3 3 3" xfId="315" xr:uid="{BE1A7AFB-DAA8-4F47-9DF0-9681059E403A}"/>
    <cellStyle name="Comma 4" xfId="81" xr:uid="{00000000-0005-0000-0000-000057000000}"/>
    <cellStyle name="Comma 4 2" xfId="276" xr:uid="{00000000-0005-0000-0000-000058000000}"/>
    <cellStyle name="Comma 4 2 2" xfId="349" xr:uid="{9BDF981E-846A-4E89-B7FF-01CAAFF72902}"/>
    <cellStyle name="Comma 4 3" xfId="316" xr:uid="{E930A0A7-DF5C-4A1D-ACA2-12949D3AECA3}"/>
    <cellStyle name="Comma 5" xfId="82" xr:uid="{00000000-0005-0000-0000-000059000000}"/>
    <cellStyle name="Comma 5 2" xfId="277" xr:uid="{00000000-0005-0000-0000-00005A000000}"/>
    <cellStyle name="Comma 5 2 2" xfId="350" xr:uid="{01A89059-BFD7-4315-BE87-86C793AA2C45}"/>
    <cellStyle name="Comma 5 3" xfId="317" xr:uid="{CDE398AD-0E45-4CC6-BB19-0C50470A3853}"/>
    <cellStyle name="Comma 6" xfId="83" xr:uid="{00000000-0005-0000-0000-00005B000000}"/>
    <cellStyle name="Comma 6 2" xfId="278" xr:uid="{00000000-0005-0000-0000-00005C000000}"/>
    <cellStyle name="Comma 6 2 2" xfId="351" xr:uid="{2FF5ADC7-9109-45DE-B773-29CBE5B9D71E}"/>
    <cellStyle name="Comma 6 3" xfId="318" xr:uid="{EF802620-71DD-4C6A-9655-D7ADE734A6F6}"/>
    <cellStyle name="Comma 7" xfId="84" xr:uid="{00000000-0005-0000-0000-00005D000000}"/>
    <cellStyle name="Comma 7 2" xfId="279" xr:uid="{00000000-0005-0000-0000-00005E000000}"/>
    <cellStyle name="Comma 7 2 2" xfId="352" xr:uid="{DCB6E33E-01C7-49B4-A431-56C3C7D9FBB4}"/>
    <cellStyle name="Comma 7 3" xfId="319" xr:uid="{3A384181-7C12-4BE7-B28A-A130601F9298}"/>
    <cellStyle name="Comma 8" xfId="85" xr:uid="{00000000-0005-0000-0000-00005F000000}"/>
    <cellStyle name="Comma 8 2" xfId="280" xr:uid="{00000000-0005-0000-0000-000060000000}"/>
    <cellStyle name="Comma 8 2 2" xfId="353" xr:uid="{FF216514-8153-4F58-909E-5029825B1077}"/>
    <cellStyle name="Comma 8 3" xfId="320" xr:uid="{B293AF87-A860-40DB-ADBA-48654D91EE5F}"/>
    <cellStyle name="Comma 9" xfId="302" xr:uid="{00000000-0005-0000-0000-000061000000}"/>
    <cellStyle name="Comma 9 2" xfId="373" xr:uid="{E9C912DA-7DA0-4D57-A914-9CE2EA41CE95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2 2 2" xfId="355" xr:uid="{1062C5F6-ADAB-4B04-9BBA-098268B701DC}"/>
    <cellStyle name="Currency 11 2 3" xfId="322" xr:uid="{44DC42E9-2350-4DF1-9F76-5CC7BD6E56DE}"/>
    <cellStyle name="Currency 11 3" xfId="281" xr:uid="{00000000-0005-0000-0000-000066000000}"/>
    <cellStyle name="Currency 11 3 2" xfId="354" xr:uid="{2AFAF01F-2C22-4F21-884D-30E2418D90F7}"/>
    <cellStyle name="Currency 11 4" xfId="321" xr:uid="{3F3D7869-1F99-43ED-BD88-F98D2630200F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2 2 2" xfId="357" xr:uid="{67EC7088-E680-46EA-A2DD-7EFE31C1447E}"/>
    <cellStyle name="Currency 2 2 3" xfId="324" xr:uid="{D22D6982-FDBC-4192-97EC-F9B581BFD1DE}"/>
    <cellStyle name="Currency 2 3" xfId="283" xr:uid="{00000000-0005-0000-0000-00006A000000}"/>
    <cellStyle name="Currency 2 3 2" xfId="356" xr:uid="{3FE4007D-50D2-4404-8DC7-B5F1EEBFF6BA}"/>
    <cellStyle name="Currency 2 4" xfId="323" xr:uid="{A97032A8-964F-4B1E-B0C1-652C78EF6F52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2 2 2" xfId="359" xr:uid="{3F4A0995-4667-431A-901A-78D29A71CE83}"/>
    <cellStyle name="Currency 3 2 3" xfId="326" xr:uid="{15828326-81FE-48D1-9BCB-F09BA95E2D94}"/>
    <cellStyle name="Currency 3 3" xfId="285" xr:uid="{00000000-0005-0000-0000-00006E000000}"/>
    <cellStyle name="Currency 3 3 2" xfId="358" xr:uid="{7D858F15-B851-4F9A-8D13-AD4D8F279E3E}"/>
    <cellStyle name="Currency 3 4" xfId="325" xr:uid="{CB77E26E-F0CB-4CBB-8D8F-5ACBE3113B85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2 2 2" xfId="361" xr:uid="{E79A6AC3-BF36-41E8-8F53-CB213344376E}"/>
    <cellStyle name="Currency 4 2 3" xfId="328" xr:uid="{D2B8E0AA-6007-4321-A4A3-D43D84E8DDCF}"/>
    <cellStyle name="Currency 4 3" xfId="287" xr:uid="{00000000-0005-0000-0000-000072000000}"/>
    <cellStyle name="Currency 4 3 2" xfId="360" xr:uid="{484A065E-D756-4E66-A227-377DA4AD7277}"/>
    <cellStyle name="Currency 4 4" xfId="327" xr:uid="{C29D658A-69D0-491D-B1A8-82146845A16A}"/>
    <cellStyle name="Currency 5" xfId="243" xr:uid="{00000000-0005-0000-0000-000073000000}"/>
    <cellStyle name="Currency 5 2" xfId="297" xr:uid="{00000000-0005-0000-0000-000074000000}"/>
    <cellStyle name="Currency 5 2 2" xfId="370" xr:uid="{0427CB27-3AE6-43F8-9319-0BD2EE225491}"/>
    <cellStyle name="Currency 5 3" xfId="337" xr:uid="{99458C12-1202-468D-8DD8-ED9302CEA8E4}"/>
    <cellStyle name="Currency 6" xfId="300" xr:uid="{00000000-0005-0000-0000-000075000000}"/>
    <cellStyle name="Currency 6 2" xfId="371" xr:uid="{759264D9-7D79-4C24-8E7F-1886489795C9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2 2 2" xfId="363" xr:uid="{02B617C0-AA09-41D9-8B5D-5C240D0FDF8E}"/>
    <cellStyle name="Input1 2 3" xfId="330" xr:uid="{FE9E590C-7B19-40AE-9A02-9C279E53D866}"/>
    <cellStyle name="Input1 3" xfId="289" xr:uid="{00000000-0005-0000-0000-0000A0000000}"/>
    <cellStyle name="Input1 3 2" xfId="362" xr:uid="{130E34BE-F870-43FC-AC49-AC03533B6613}"/>
    <cellStyle name="Input1 4" xfId="329" xr:uid="{62A7ACB9-3008-4BC1-8F08-64FEBFA8FAE1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2 2 2" xfId="365" xr:uid="{C3C03980-20A8-468E-8B66-C09D9B85919E}"/>
    <cellStyle name="Input3 2 3" xfId="332" xr:uid="{C8E8D639-35C3-40D1-A573-C64A897911C1}"/>
    <cellStyle name="Input3 3" xfId="291" xr:uid="{00000000-0005-0000-0000-0000A6000000}"/>
    <cellStyle name="Input3 3 2" xfId="364" xr:uid="{0542C3D8-AB63-4AFC-9E24-CD889B935E5E}"/>
    <cellStyle name="Input3 4" xfId="331" xr:uid="{9D35DF33-41A0-406F-B7E6-F003E87E7571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2 2" xfId="368" xr:uid="{6C336011-444E-4CD3-B942-C8233FCC52EA}"/>
    <cellStyle name="Normal 10 3" xfId="305" xr:uid="{8AEA0D15-5C51-43D8-B1A9-559B282927D3}"/>
    <cellStyle name="Normal 10 3 2" xfId="374" xr:uid="{CA7885FC-81FE-4958-80B4-1DB9B5050898}"/>
    <cellStyle name="Normal 10 4" xfId="335" xr:uid="{A99D1359-534F-4F7F-A166-4C92B61D3519}"/>
    <cellStyle name="Normal 11" xfId="264" xr:uid="{00000000-0005-0000-0000-0000B3000000}"/>
    <cellStyle name="Normal 11 2" xfId="298" xr:uid="{00000000-0005-0000-0000-0000B4000000}"/>
    <cellStyle name="Normal 11 3" xfId="338" xr:uid="{7BAF0B8A-1490-46E5-A81B-8472B5AE678B}"/>
    <cellStyle name="Normal 12" xfId="301" xr:uid="{00000000-0005-0000-0000-0000B5000000}"/>
    <cellStyle name="Normal 12 2" xfId="372" xr:uid="{402D46B5-1313-41DF-8520-8A35C2475B2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 3 2 2" xfId="366" xr:uid="{97CF337D-0034-48EC-B511-C850068A0CA0}"/>
    <cellStyle name="Normal 4 3 3" xfId="333" xr:uid="{70E2B99E-5B50-4963-A712-6E7F12B02074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7 2 2 2" xfId="367" xr:uid="{8543438E-D389-4DB4-97BD-412100666BBB}"/>
    <cellStyle name="Normal 7 2 3" xfId="334" xr:uid="{6BDDAF72-DC87-4996-B6D7-D550448C75FF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5 2 2" xfId="369" xr:uid="{C7741857-4893-448E-A43F-E34D4096748B}"/>
    <cellStyle name="Percent 5 3" xfId="336" xr:uid="{524DE1E5-8DDE-4978-9F4F-9AC7B19C65FB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workbookViewId="0"/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204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82" t="s">
        <v>57</v>
      </c>
      <c r="D7" s="8" t="s">
        <v>187</v>
      </c>
    </row>
    <row r="8" spans="1:30">
      <c r="C8" s="182" t="s">
        <v>35</v>
      </c>
      <c r="D8" s="8" t="s">
        <v>91</v>
      </c>
    </row>
    <row r="9" spans="1:30">
      <c r="C9" s="182" t="s">
        <v>54</v>
      </c>
      <c r="D9" s="8" t="s">
        <v>195</v>
      </c>
    </row>
    <row r="10" spans="1:30">
      <c r="C10" s="182" t="s">
        <v>168</v>
      </c>
      <c r="D10" s="8" t="s">
        <v>188</v>
      </c>
    </row>
    <row r="11" spans="1:30">
      <c r="C11" s="182" t="s">
        <v>56</v>
      </c>
      <c r="D11" s="8" t="s">
        <v>189</v>
      </c>
    </row>
    <row r="12" spans="1:30">
      <c r="C12" s="182" t="s">
        <v>169</v>
      </c>
      <c r="D12" s="8" t="s">
        <v>190</v>
      </c>
    </row>
    <row r="13" spans="1:30">
      <c r="C13" s="182" t="s">
        <v>170</v>
      </c>
      <c r="D13" s="8" t="s">
        <v>191</v>
      </c>
    </row>
    <row r="14" spans="1:30">
      <c r="C14" s="182" t="s">
        <v>50</v>
      </c>
      <c r="D14" s="8" t="s">
        <v>55</v>
      </c>
    </row>
    <row r="15" spans="1:30">
      <c r="C15" s="182" t="s">
        <v>25</v>
      </c>
      <c r="D15" s="8" t="s">
        <v>192</v>
      </c>
    </row>
    <row r="16" spans="1:30" ht="12.75">
      <c r="C16" s="10"/>
      <c r="D16" s="7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3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4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185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85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85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85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85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185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185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tabSelected="1" zoomScaleNormal="10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3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4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206</v>
      </c>
      <c r="H7" s="8"/>
      <c r="I7" s="8"/>
      <c r="S7" s="81" t="str">
        <f>IF(COUNTBLANK($G7),"Check","Ok")</f>
        <v>Ok</v>
      </c>
    </row>
    <row r="8" spans="1:30">
      <c r="C8" s="8" t="s">
        <v>125</v>
      </c>
      <c r="D8" s="16" t="s">
        <v>64</v>
      </c>
      <c r="E8" s="8"/>
      <c r="F8" s="8"/>
      <c r="G8" s="39" t="s">
        <v>180</v>
      </c>
      <c r="H8" s="8"/>
      <c r="I8" s="8"/>
      <c r="S8" s="81" t="str">
        <f>IF(COUNTBLANK($G8),"Check","Ok")</f>
        <v>Ok</v>
      </c>
    </row>
    <row r="9" spans="1:30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185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>
      <c r="C12" s="8" t="s">
        <v>186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171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60" priority="1" operator="equal">
      <formula>"Check"</formula>
    </cfRule>
    <cfRule type="cellIs" dxfId="159" priority="2" operator="equal">
      <formula>"Ok"</formula>
    </cfRule>
  </conditionalFormatting>
  <conditionalFormatting sqref="S7:S15">
    <cfRule type="cellIs" dxfId="158" priority="5" operator="equal">
      <formula>"Check"</formula>
    </cfRule>
    <cfRule type="cellIs" dxfId="157" priority="6" operator="equal">
      <formula>"Ok"</formula>
    </cfRule>
  </conditionalFormatting>
  <conditionalFormatting sqref="V1">
    <cfRule type="cellIs" dxfId="156" priority="3" operator="equal">
      <formula>"Check"</formula>
    </cfRule>
    <cfRule type="cellIs" dxfId="155" priority="4" operator="equal">
      <formula>"Ok"</formula>
    </cfRule>
  </conditionalFormatting>
  <conditionalFormatting sqref="W14:W16">
    <cfRule type="cellIs" dxfId="154" priority="13" operator="equal">
      <formula>"Check"</formula>
    </cfRule>
    <cfRule type="cellIs" dxfId="153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'Lookup|Tables'!$G$48:$G$68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topLeftCell="A49" workbookViewId="0">
      <selection activeCell="K84" sqref="K84"/>
    </sheetView>
  </sheetViews>
  <sheetFormatPr defaultColWidth="0" defaultRowHeight="0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9" width="21.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5"/>
      <c r="J1" s="26"/>
      <c r="K1" s="26"/>
      <c r="L1" s="26"/>
      <c r="M1" s="183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84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30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2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42.75">
      <c r="D6" s="47" t="s">
        <v>92</v>
      </c>
      <c r="E6" s="47" t="s">
        <v>213</v>
      </c>
      <c r="F6" s="47"/>
      <c r="G6" s="47" t="s">
        <v>182</v>
      </c>
      <c r="H6" s="47" t="s">
        <v>183</v>
      </c>
      <c r="I6" s="47" t="s">
        <v>123</v>
      </c>
      <c r="J6" s="47"/>
      <c r="K6" s="8"/>
      <c r="L6" s="8"/>
    </row>
    <row r="7" spans="1:33" ht="11.25">
      <c r="C7" s="9" t="s">
        <v>7</v>
      </c>
      <c r="D7" s="50" t="s">
        <v>90</v>
      </c>
      <c r="E7" s="50" t="s">
        <v>90</v>
      </c>
      <c r="F7" s="50"/>
      <c r="G7" s="50" t="s">
        <v>181</v>
      </c>
      <c r="H7" s="50" t="s">
        <v>30</v>
      </c>
      <c r="I7" s="50" t="s">
        <v>30</v>
      </c>
      <c r="J7" s="50"/>
      <c r="K7" s="8"/>
      <c r="L7" s="8"/>
    </row>
    <row r="8" spans="1:33" ht="11.25">
      <c r="C8" s="9" t="s">
        <v>8</v>
      </c>
      <c r="D8" s="50" t="s">
        <v>78</v>
      </c>
      <c r="E8" s="50" t="s">
        <v>78</v>
      </c>
      <c r="F8" s="50"/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1.25">
      <c r="C9" s="49">
        <v>39172</v>
      </c>
      <c r="D9" s="48">
        <v>155.6</v>
      </c>
      <c r="E9" s="117"/>
      <c r="F9" s="117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1.25">
      <c r="C10" s="49">
        <v>39263</v>
      </c>
      <c r="D10" s="48">
        <v>157.5</v>
      </c>
      <c r="E10" s="117"/>
      <c r="F10" s="117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1.25">
      <c r="C11" s="49">
        <v>39355</v>
      </c>
      <c r="D11" s="48">
        <v>158.6</v>
      </c>
      <c r="E11" s="117"/>
      <c r="F11" s="117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1.25">
      <c r="C12" s="49">
        <v>39447</v>
      </c>
      <c r="D12" s="48">
        <v>160.1</v>
      </c>
      <c r="E12" s="117"/>
      <c r="F12" s="117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1.25">
      <c r="C13" s="49">
        <v>39538</v>
      </c>
      <c r="D13" s="48">
        <v>162.19999999999999</v>
      </c>
      <c r="E13" s="117"/>
      <c r="F13" s="117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1.25">
      <c r="C14" s="49">
        <v>39629</v>
      </c>
      <c r="D14" s="48">
        <v>164.6</v>
      </c>
      <c r="E14" s="117"/>
      <c r="F14" s="117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1.25">
      <c r="C15" s="49">
        <v>39721</v>
      </c>
      <c r="D15" s="48">
        <v>166.5</v>
      </c>
      <c r="E15" s="117"/>
      <c r="F15" s="117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1.25">
      <c r="C16" s="49">
        <v>39813</v>
      </c>
      <c r="D16" s="48">
        <v>166</v>
      </c>
      <c r="E16" s="117"/>
      <c r="F16" s="117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1.25">
      <c r="C17" s="49">
        <v>39903</v>
      </c>
      <c r="D17" s="48">
        <v>166.2</v>
      </c>
      <c r="E17" s="117"/>
      <c r="F17" s="117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1.25">
      <c r="C18" s="49">
        <v>39994</v>
      </c>
      <c r="D18" s="48">
        <v>167</v>
      </c>
      <c r="E18" s="117"/>
      <c r="F18" s="117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1.25">
      <c r="C19" s="49">
        <v>40086</v>
      </c>
      <c r="D19" s="48">
        <v>168.6</v>
      </c>
      <c r="E19" s="117"/>
      <c r="F19" s="117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1.25">
      <c r="C20" s="49">
        <v>40178</v>
      </c>
      <c r="D20" s="48">
        <v>169.5</v>
      </c>
      <c r="E20" s="117"/>
      <c r="F20" s="117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1.25">
      <c r="C21" s="49">
        <v>40268</v>
      </c>
      <c r="D21" s="48">
        <v>171</v>
      </c>
      <c r="E21" s="48">
        <v>95.2</v>
      </c>
      <c r="F21" s="48">
        <f>E21*0.6945</f>
        <v>66.116399999999999</v>
      </c>
      <c r="G21" s="117"/>
      <c r="H21" s="117">
        <f>IF(F21="",IF(COUNT(G21:G$88)=0,"",IF(ISBLANK(G21),AVERAGE(H20,H22),(1+G21)*H17)),F21)</f>
        <v>66.116399999999999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1.25">
      <c r="C22" s="49">
        <v>40359</v>
      </c>
      <c r="D22" s="48">
        <v>172.1</v>
      </c>
      <c r="E22" s="48">
        <v>95.8</v>
      </c>
      <c r="F22" s="48">
        <f t="shared" ref="F22:F83" si="0">E22*0.6945</f>
        <v>66.533100000000005</v>
      </c>
      <c r="G22" s="117"/>
      <c r="H22" s="117">
        <f>IF(F22="",IF(COUNT(G22:G$88)=0,"",IF(ISBLANK(G22),AVERAGE(H21,H23),(1+G22)*H18)),F22)</f>
        <v>66.533100000000005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1.25">
      <c r="C23" s="49">
        <v>40451</v>
      </c>
      <c r="D23" s="48">
        <v>173.3</v>
      </c>
      <c r="E23" s="48">
        <v>96.5</v>
      </c>
      <c r="F23" s="48">
        <f t="shared" si="0"/>
        <v>67.01925</v>
      </c>
      <c r="G23" s="117"/>
      <c r="H23" s="117">
        <f>IF(F23="",IF(COUNT(G23:G$88)=0,"",IF(ISBLANK(G23),AVERAGE(H22,H24),(1+G23)*H19)),F23)</f>
        <v>67.01925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1.25">
      <c r="C24" s="49">
        <v>40543</v>
      </c>
      <c r="D24" s="48">
        <v>174</v>
      </c>
      <c r="E24" s="48">
        <v>96.9</v>
      </c>
      <c r="F24" s="48">
        <f t="shared" si="0"/>
        <v>67.297049999999999</v>
      </c>
      <c r="G24" s="117"/>
      <c r="H24" s="117">
        <f>IF(F24="",IF(COUNT(G24:G$88)=0,"",IF(ISBLANK(G24),AVERAGE(H23,H25),(1+G24)*H20)),F24)</f>
        <v>67.297049999999999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1.25">
      <c r="C25" s="49">
        <v>40633</v>
      </c>
      <c r="D25" s="48">
        <v>176.7</v>
      </c>
      <c r="E25" s="48">
        <v>98.3</v>
      </c>
      <c r="F25" s="48">
        <f t="shared" si="0"/>
        <v>68.269350000000003</v>
      </c>
      <c r="G25" s="117"/>
      <c r="H25" s="117">
        <f>IF(F25="",IF(COUNT(G25:G$88)=0,"",IF(ISBLANK(G25),AVERAGE(H24,H26),(1+G25)*H21)),F25)</f>
        <v>68.269350000000003</v>
      </c>
      <c r="I25" s="72">
        <f t="shared" ref="I25:I56" si="1">IF(H25="","",H25/H21-1)</f>
        <v>3.256302521008414E-2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1.25">
      <c r="C26" s="49">
        <v>40724</v>
      </c>
      <c r="D26" s="48">
        <v>178.3</v>
      </c>
      <c r="E26" s="48">
        <v>99.2</v>
      </c>
      <c r="F26" s="48">
        <f t="shared" si="0"/>
        <v>68.894400000000005</v>
      </c>
      <c r="G26" s="117"/>
      <c r="H26" s="117">
        <f>IF(F26="",IF(COUNT(G26:G$88)=0,"",IF(ISBLANK(G26),AVERAGE(H25,H27),(1+G26)*H22)),F26)</f>
        <v>68.894400000000005</v>
      </c>
      <c r="I26" s="72">
        <f t="shared" si="1"/>
        <v>3.5490605427974886E-2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1.25">
      <c r="C27" s="49">
        <v>40816</v>
      </c>
      <c r="D27" s="48">
        <v>179.4</v>
      </c>
      <c r="E27" s="48">
        <v>99.8</v>
      </c>
      <c r="F27" s="48">
        <f t="shared" si="0"/>
        <v>69.311099999999996</v>
      </c>
      <c r="G27" s="117"/>
      <c r="H27" s="117">
        <f>IF(F27="",IF(COUNT(G27:G$88)=0,"",IF(ISBLANK(G27),AVERAGE(H26,H28),(1+G27)*H23)),F27)</f>
        <v>69.311099999999996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1.25">
      <c r="C28" s="49">
        <v>40908</v>
      </c>
      <c r="D28" s="48">
        <v>179.4</v>
      </c>
      <c r="E28" s="48">
        <v>99.8</v>
      </c>
      <c r="F28" s="48">
        <f t="shared" si="0"/>
        <v>69.311099999999996</v>
      </c>
      <c r="G28" s="117"/>
      <c r="H28" s="117">
        <f>IF(F28="",IF(COUNT(G28:G$88)=0,"",IF(ISBLANK(G28),AVERAGE(H27,H29),(1+G28)*H24)),F28)</f>
        <v>69.311099999999996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1.25">
      <c r="C29" s="49">
        <v>40999</v>
      </c>
      <c r="D29" s="48">
        <v>179.5</v>
      </c>
      <c r="E29" s="48">
        <v>99.9</v>
      </c>
      <c r="F29" s="48">
        <f t="shared" si="0"/>
        <v>69.380549999999999</v>
      </c>
      <c r="G29" s="117"/>
      <c r="H29" s="117">
        <f>IF(F29="",IF(COUNT(G29:G$88)=0,"",IF(ISBLANK(G29),AVERAGE(H28,H30),(1+G29)*H25)),F29)</f>
        <v>69.380549999999999</v>
      </c>
      <c r="I29" s="72">
        <f t="shared" si="1"/>
        <v>1.6276703967446515E-2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1.25">
      <c r="C30" s="49">
        <v>41090</v>
      </c>
      <c r="D30" s="8"/>
      <c r="E30" s="48">
        <v>100.4</v>
      </c>
      <c r="F30" s="48">
        <f t="shared" si="0"/>
        <v>69.727800000000002</v>
      </c>
      <c r="G30" s="117"/>
      <c r="H30" s="117">
        <f>IF(F30="",IF(COUNT(G30:G$88)=0,"",IF(ISBLANK(G30),AVERAGE(H29,H31),(1+G30)*H26)),F30)</f>
        <v>69.727800000000002</v>
      </c>
      <c r="I30" s="72">
        <f t="shared" si="1"/>
        <v>1.2096774193548265E-2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1.25">
      <c r="C31" s="49">
        <v>41182</v>
      </c>
      <c r="D31" s="8"/>
      <c r="E31" s="48">
        <v>101.8</v>
      </c>
      <c r="F31" s="48">
        <f t="shared" si="0"/>
        <v>70.700099999999992</v>
      </c>
      <c r="G31" s="117"/>
      <c r="H31" s="117">
        <f>IF(F31="",IF(COUNT(G31:G$88)=0,"",IF(ISBLANK(G31),AVERAGE(H30,H32),(1+G31)*H27)),F31)</f>
        <v>70.700099999999992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1.25">
      <c r="C32" s="49">
        <v>41274</v>
      </c>
      <c r="D32" s="8"/>
      <c r="E32" s="48">
        <v>102</v>
      </c>
      <c r="F32" s="48">
        <f t="shared" si="0"/>
        <v>70.838999999999999</v>
      </c>
      <c r="G32" s="117"/>
      <c r="H32" s="117">
        <f>IF(F32="",IF(COUNT(G32:G$88)=0,"",IF(ISBLANK(G32),AVERAGE(H31,H33),(1+G32)*H28)),F32)</f>
        <v>70.838999999999999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1.25">
      <c r="C33" s="49">
        <v>41364</v>
      </c>
      <c r="D33" s="8"/>
      <c r="E33" s="48">
        <v>102.4</v>
      </c>
      <c r="F33" s="48">
        <f t="shared" si="0"/>
        <v>71.116799999999998</v>
      </c>
      <c r="G33" s="117"/>
      <c r="H33" s="117">
        <f>IF(F33="",IF(COUNT(G33:G$88)=0,"",IF(ISBLANK(G33),AVERAGE(H32,H34),(1+G33)*H29)),F33)</f>
        <v>71.116799999999998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1.25">
      <c r="C34" s="49">
        <v>41455</v>
      </c>
      <c r="D34" s="8"/>
      <c r="E34" s="48">
        <v>102.8</v>
      </c>
      <c r="F34" s="48">
        <f t="shared" si="0"/>
        <v>71.394599999999997</v>
      </c>
      <c r="G34" s="117"/>
      <c r="H34" s="117">
        <f>IF(F34="",IF(COUNT(G34:G$88)=0,"",IF(ISBLANK(G34),AVERAGE(H33,H35),(1+G34)*H30)),F34)</f>
        <v>71.394599999999997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1.25">
      <c r="C35" s="49">
        <v>41547</v>
      </c>
      <c r="D35" s="8"/>
      <c r="E35" s="48">
        <v>104</v>
      </c>
      <c r="F35" s="48">
        <f t="shared" si="0"/>
        <v>72.227999999999994</v>
      </c>
      <c r="G35" s="117"/>
      <c r="H35" s="117">
        <f>IF(F35="",IF(COUNT(G35:G$88)=0,"",IF(ISBLANK(G35),AVERAGE(H34,H36),(1+G35)*H31)),F35)</f>
        <v>72.227999999999994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1.25">
      <c r="C36" s="49">
        <v>41639</v>
      </c>
      <c r="D36" s="8"/>
      <c r="E36" s="48">
        <v>104.8</v>
      </c>
      <c r="F36" s="48">
        <f t="shared" si="0"/>
        <v>72.783599999999993</v>
      </c>
      <c r="G36" s="117"/>
      <c r="H36" s="117">
        <f>IF(F36="",IF(COUNT(G36:G$88)=0,"",IF(ISBLANK(G36),AVERAGE(H35,H37),(1+G36)*H32)),F36)</f>
        <v>72.783599999999993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1.25">
      <c r="C37" s="49">
        <v>41729</v>
      </c>
      <c r="D37" s="8"/>
      <c r="E37" s="48">
        <v>105.4</v>
      </c>
      <c r="F37" s="48">
        <f t="shared" si="0"/>
        <v>73.200299999999999</v>
      </c>
      <c r="G37" s="117"/>
      <c r="H37" s="117">
        <f>IF(F37="",IF(COUNT(G37:G$88)=0,"",IF(ISBLANK(G37),AVERAGE(H36,H38),(1+G37)*H33)),F37)</f>
        <v>73.200299999999999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1.25">
      <c r="C38" s="49">
        <v>41820</v>
      </c>
      <c r="D38" s="8"/>
      <c r="E38" s="48">
        <v>105.9</v>
      </c>
      <c r="F38" s="48">
        <f t="shared" si="0"/>
        <v>73.547550000000001</v>
      </c>
      <c r="G38" s="117"/>
      <c r="H38" s="117">
        <f>IF(F38="",IF(COUNT(G38:G$88)=0,"",IF(ISBLANK(G38),AVERAGE(H37,H39),(1+G38)*H34)),F38)</f>
        <v>73.547550000000001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1.25">
      <c r="C39" s="49">
        <v>41912</v>
      </c>
      <c r="D39" s="8"/>
      <c r="E39" s="48">
        <v>106.4</v>
      </c>
      <c r="F39" s="48">
        <f t="shared" si="0"/>
        <v>73.894800000000004</v>
      </c>
      <c r="G39" s="117"/>
      <c r="H39" s="117">
        <f>IF(F39="",IF(COUNT(G39:G$88)=0,"",IF(ISBLANK(G39),AVERAGE(H38,H40),(1+G39)*H35)),F39)</f>
        <v>73.894800000000004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1.25">
      <c r="C40" s="49">
        <v>42004</v>
      </c>
      <c r="D40" s="8"/>
      <c r="E40" s="48">
        <v>106.6</v>
      </c>
      <c r="F40" s="48">
        <f t="shared" si="0"/>
        <v>74.033699999999996</v>
      </c>
      <c r="G40" s="117"/>
      <c r="H40" s="117">
        <f>IF(F40="",IF(COUNT(G40:G$88)=0,"",IF(ISBLANK(G40),AVERAGE(H39,H41),(1+G40)*H36)),F40)</f>
        <v>74.033699999999996</v>
      </c>
      <c r="I40" s="72">
        <f t="shared" si="1"/>
        <v>1.7175572519084081E-2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1.25">
      <c r="C41" s="49">
        <v>42094</v>
      </c>
      <c r="D41" s="8"/>
      <c r="E41" s="48">
        <v>106.8</v>
      </c>
      <c r="F41" s="48">
        <f t="shared" si="0"/>
        <v>74.172600000000003</v>
      </c>
      <c r="G41" s="117"/>
      <c r="H41" s="117">
        <f>IF(F41="",IF(COUNT(G41:G$88)=0,"",IF(ISBLANK(G41),AVERAGE(H40,H42),(1+G41)*H37)),F41)</f>
        <v>74.172600000000003</v>
      </c>
      <c r="I41" s="72">
        <f t="shared" si="1"/>
        <v>1.3282732447817969E-2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1.25">
      <c r="C42" s="49">
        <v>42185</v>
      </c>
      <c r="D42" s="8"/>
      <c r="E42" s="48">
        <v>107.5</v>
      </c>
      <c r="F42" s="48">
        <f t="shared" si="0"/>
        <v>74.658749999999998</v>
      </c>
      <c r="G42" s="117"/>
      <c r="H42" s="117">
        <f>IF(F42="",IF(COUNT(G42:G$88)=0,"",IF(ISBLANK(G42),AVERAGE(H41,H43),(1+G42)*H38)),F42)</f>
        <v>74.658749999999998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1.25">
      <c r="C43" s="49">
        <v>42277</v>
      </c>
      <c r="D43" s="8"/>
      <c r="E43" s="48">
        <v>108</v>
      </c>
      <c r="F43" s="48">
        <f t="shared" si="0"/>
        <v>75.006</v>
      </c>
      <c r="G43" s="117"/>
      <c r="H43" s="117">
        <f>IF(F43="",IF(COUNT(G43:G$88)=0,"",IF(ISBLANK(G43),AVERAGE(H42,H44),(1+G43)*H39)),F43)</f>
        <v>75.006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1.25">
      <c r="C44" s="49">
        <v>42369</v>
      </c>
      <c r="D44" s="8"/>
      <c r="E44" s="48">
        <v>108.4</v>
      </c>
      <c r="F44" s="48">
        <f t="shared" si="0"/>
        <v>75.283799999999999</v>
      </c>
      <c r="G44" s="117"/>
      <c r="H44" s="117">
        <f>IF(F44="",IF(COUNT(G44:G$88)=0,"",IF(ISBLANK(G44),AVERAGE(H43,H45),(1+G44)*H40)),F44)</f>
        <v>75.283799999999999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1.25">
      <c r="C45" s="49">
        <v>42460</v>
      </c>
      <c r="D45" s="8"/>
      <c r="E45" s="48">
        <v>108.2</v>
      </c>
      <c r="F45" s="48">
        <f t="shared" si="0"/>
        <v>75.144900000000007</v>
      </c>
      <c r="G45" s="117"/>
      <c r="H45" s="117">
        <f>IF(F45="",IF(COUNT(G45:G$88)=0,"",IF(ISBLANK(G45),AVERAGE(H44,H46),(1+G45)*H41)),F45)</f>
        <v>75.144900000000007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1.25">
      <c r="C46" s="49">
        <v>42551</v>
      </c>
      <c r="D46" s="8"/>
      <c r="E46" s="48">
        <v>108.6</v>
      </c>
      <c r="F46" s="48">
        <f t="shared" si="0"/>
        <v>75.422699999999992</v>
      </c>
      <c r="G46" s="117"/>
      <c r="H46" s="117">
        <f>IF(F46="",IF(COUNT(G46:G$88)=0,"",IF(ISBLANK(G46),AVERAGE(H45,H47),(1+G46)*H42)),F46)</f>
        <v>75.422699999999992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1.25">
      <c r="C47" s="49">
        <v>42643</v>
      </c>
      <c r="D47" s="8"/>
      <c r="E47" s="48">
        <v>109.4</v>
      </c>
      <c r="F47" s="48">
        <f t="shared" si="0"/>
        <v>75.978300000000004</v>
      </c>
      <c r="G47" s="117"/>
      <c r="H47" s="117">
        <f>IF(F47="",IF(COUNT(G47:G$88)=0,"",IF(ISBLANK(G47),AVERAGE(H46,H48),(1+G47)*H43)),F47)</f>
        <v>75.978300000000004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1.25">
      <c r="C48" s="49">
        <v>42735</v>
      </c>
      <c r="D48" s="8"/>
      <c r="E48" s="48">
        <v>110</v>
      </c>
      <c r="F48" s="48">
        <f t="shared" si="0"/>
        <v>76.394999999999996</v>
      </c>
      <c r="G48" s="117"/>
      <c r="H48" s="117">
        <f>IF(F48="",IF(COUNT(G48:G$88)=0,"",IF(ISBLANK(G48),AVERAGE(H47,H49),(1+G48)*H44)),F48)</f>
        <v>76.394999999999996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1.25">
      <c r="C49" s="49">
        <v>42825</v>
      </c>
      <c r="D49" s="8"/>
      <c r="E49" s="48">
        <v>110.5</v>
      </c>
      <c r="F49" s="48">
        <f t="shared" si="0"/>
        <v>76.742249999999999</v>
      </c>
      <c r="G49" s="117"/>
      <c r="H49" s="117">
        <f>IF(F49="",IF(COUNT(G49:G$88)=0,"",IF(ISBLANK(G49),AVERAGE(H48,H50),(1+G49)*H45)),F49)</f>
        <v>76.742249999999999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1.25">
      <c r="C50" s="49">
        <v>42916</v>
      </c>
      <c r="D50" s="8"/>
      <c r="E50" s="48">
        <v>110.7</v>
      </c>
      <c r="F50" s="48">
        <f t="shared" si="0"/>
        <v>76.881150000000005</v>
      </c>
      <c r="G50" s="117"/>
      <c r="H50" s="117">
        <f>IF(F50="",IF(COUNT(G50:G$88)=0,"",IF(ISBLANK(G50),AVERAGE(H49,H51),(1+G50)*H46)),F50)</f>
        <v>76.881150000000005</v>
      </c>
      <c r="I50" s="72">
        <f t="shared" si="1"/>
        <v>1.9337016574585864E-2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1.25">
      <c r="C51" s="49">
        <v>43008</v>
      </c>
      <c r="D51" s="8"/>
      <c r="E51" s="48">
        <v>111.4</v>
      </c>
      <c r="F51" s="48">
        <f t="shared" si="0"/>
        <v>77.3673</v>
      </c>
      <c r="G51" s="117"/>
      <c r="H51" s="117">
        <f>IF(F51="",IF(COUNT(G51:G$88)=0,"",IF(ISBLANK(G51),AVERAGE(H50,H52),(1+G51)*H47)),F51)</f>
        <v>77.3673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1.25">
      <c r="C52" s="49">
        <v>43100</v>
      </c>
      <c r="D52" s="8"/>
      <c r="E52" s="48">
        <v>112.1</v>
      </c>
      <c r="F52" s="48">
        <f t="shared" si="0"/>
        <v>77.853449999999995</v>
      </c>
      <c r="G52" s="117"/>
      <c r="H52" s="117">
        <f>IF(F52="",IF(COUNT(G52:G$88)=0,"",IF(ISBLANK(G52),AVERAGE(H51,H53),(1+G52)*H48)),F52)</f>
        <v>77.853449999999995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1.25">
      <c r="C53" s="49">
        <v>43190</v>
      </c>
      <c r="D53" s="8"/>
      <c r="E53" s="48">
        <v>112.6</v>
      </c>
      <c r="F53" s="48">
        <f t="shared" si="0"/>
        <v>78.200699999999998</v>
      </c>
      <c r="G53" s="117"/>
      <c r="H53" s="117">
        <f>IF(F53="",IF(COUNT(G53:G$88)=0,"",IF(ISBLANK(G53),AVERAGE(H52,H54),(1+G53)*H49)),F53)</f>
        <v>78.200699999999998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1.25">
      <c r="C54" s="49">
        <v>43281</v>
      </c>
      <c r="D54" s="8"/>
      <c r="E54" s="48">
        <v>113</v>
      </c>
      <c r="F54" s="48">
        <f t="shared" si="0"/>
        <v>78.478499999999997</v>
      </c>
      <c r="G54" s="117"/>
      <c r="H54" s="117">
        <f>IF(F54="",IF(COUNT(G54:G$88)=0,"",IF(ISBLANK(G54),AVERAGE(H53,H55),(1+G54)*H50)),F54)</f>
        <v>78.478499999999997</v>
      </c>
      <c r="I54" s="72">
        <f t="shared" si="1"/>
        <v>2.0776874435410875E-2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1.25">
      <c r="C55" s="49">
        <v>43373</v>
      </c>
      <c r="D55" s="8"/>
      <c r="E55" s="48">
        <v>113.5</v>
      </c>
      <c r="F55" s="48">
        <f t="shared" si="0"/>
        <v>78.825749999999999</v>
      </c>
      <c r="G55" s="117"/>
      <c r="H55" s="117">
        <f>IF(F55="",IF(COUNT(G55:G$88)=0,"",IF(ISBLANK(G55),AVERAGE(H54,H56),(1+G55)*H51)),F55)</f>
        <v>78.825749999999999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1.25">
      <c r="C56" s="49">
        <v>43465</v>
      </c>
      <c r="D56" s="8"/>
      <c r="E56" s="48">
        <v>114.1</v>
      </c>
      <c r="F56" s="48">
        <f t="shared" si="0"/>
        <v>79.242449999999991</v>
      </c>
      <c r="G56" s="117"/>
      <c r="H56" s="117">
        <f>IF(F56="",IF(COUNT(G56:G$88)=0,"",IF(ISBLANK(G56),AVERAGE(H55,H57),(1+G56)*H52)),F56)</f>
        <v>79.242449999999991</v>
      </c>
      <c r="I56" s="72">
        <f t="shared" si="1"/>
        <v>1.7841213202497652E-2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1.25">
      <c r="C57" s="49">
        <v>43555</v>
      </c>
      <c r="D57" s="8"/>
      <c r="E57" s="48">
        <v>114.1</v>
      </c>
      <c r="F57" s="48">
        <f t="shared" si="0"/>
        <v>79.242449999999991</v>
      </c>
      <c r="G57" s="117"/>
      <c r="H57" s="117">
        <f>IF(F57="",IF(COUNT(G57:G$88)=0,"",IF(ISBLANK(G57),AVERAGE(H56,H58),(1+G57)*H53)),F57)</f>
        <v>79.242449999999991</v>
      </c>
      <c r="I57" s="72">
        <f t="shared" ref="I57:I88" si="2">IF(H57="","",H57/H53-1)</f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1.25">
      <c r="C58" s="49">
        <v>43646</v>
      </c>
      <c r="D58" s="8"/>
      <c r="E58" s="48">
        <v>114.8</v>
      </c>
      <c r="F58" s="48">
        <f t="shared" si="0"/>
        <v>79.7286</v>
      </c>
      <c r="G58" s="117"/>
      <c r="H58" s="117">
        <f>IF(F58="",IF(COUNT(G58:G$88)=0,"",IF(ISBLANK(G58),AVERAGE(H57,H59),(1+G58)*H54)),F58)</f>
        <v>79.7286</v>
      </c>
      <c r="I58" s="72">
        <f t="shared" si="2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1.25">
      <c r="C59" s="49">
        <v>43738</v>
      </c>
      <c r="D59" s="8"/>
      <c r="E59" s="48">
        <v>115.4</v>
      </c>
      <c r="F59" s="48">
        <f t="shared" si="0"/>
        <v>80.145300000000006</v>
      </c>
      <c r="G59" s="117"/>
      <c r="H59" s="117">
        <f>IF(F59="",IF(COUNT(G59:G$88)=0,"",IF(ISBLANK(G59),AVERAGE(H58,H60),(1+G59)*H55)),F59)</f>
        <v>80.145300000000006</v>
      </c>
      <c r="I59" s="72">
        <f t="shared" si="2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1.25">
      <c r="C60" s="49">
        <v>43830</v>
      </c>
      <c r="D60" s="8"/>
      <c r="E60" s="48">
        <v>116.2</v>
      </c>
      <c r="F60" s="48">
        <f t="shared" si="0"/>
        <v>80.700900000000004</v>
      </c>
      <c r="G60" s="117"/>
      <c r="H60" s="117">
        <f>IF(F60="",IF(COUNT(G60:G$88)=0,"",IF(ISBLANK(G60),AVERAGE(H59,H61),(1+G60)*H56)),F60)</f>
        <v>80.700900000000004</v>
      </c>
      <c r="I60" s="72">
        <f t="shared" si="2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1.25">
      <c r="C61" s="49">
        <v>43921</v>
      </c>
      <c r="D61" s="8"/>
      <c r="E61" s="48">
        <v>116.6</v>
      </c>
      <c r="F61" s="48">
        <f t="shared" si="0"/>
        <v>80.978700000000003</v>
      </c>
      <c r="G61" s="117"/>
      <c r="H61" s="117">
        <f>IF(F61="",IF(COUNT(G61:G$88)=0,"",IF(ISBLANK(G61),AVERAGE(H60,H62),(1+G61)*H57)),F61)</f>
        <v>80.978700000000003</v>
      </c>
      <c r="I61" s="72">
        <f t="shared" si="2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1.25">
      <c r="C62" s="49">
        <v>44012</v>
      </c>
      <c r="D62" s="8"/>
      <c r="E62" s="48">
        <v>114.4</v>
      </c>
      <c r="F62" s="48">
        <f t="shared" si="0"/>
        <v>79.450800000000001</v>
      </c>
      <c r="G62" s="117"/>
      <c r="H62" s="117">
        <f>IF(F62="",IF(COUNT(G62:G$88)=0,"",IF(ISBLANK(G62),AVERAGE(H61,H63),(1+G62)*H58)),F62)</f>
        <v>79.450800000000001</v>
      </c>
      <c r="I62" s="72">
        <f t="shared" si="2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1.25">
      <c r="C63" s="49">
        <v>44104</v>
      </c>
      <c r="D63" s="8"/>
      <c r="E63" s="48">
        <v>116.2</v>
      </c>
      <c r="F63" s="48">
        <f t="shared" si="0"/>
        <v>80.700900000000004</v>
      </c>
      <c r="G63" s="117"/>
      <c r="H63" s="117">
        <f>IF(F63="",IF(COUNT(G63:G$88)=0,"",IF(ISBLANK(G63),AVERAGE(H62,H64),(1+G63)*H59)),F63)</f>
        <v>80.700900000000004</v>
      </c>
      <c r="I63" s="72">
        <f t="shared" si="2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1.25">
      <c r="C64" s="49">
        <v>44196</v>
      </c>
      <c r="D64" s="8"/>
      <c r="E64" s="48">
        <v>117.2</v>
      </c>
      <c r="F64" s="48">
        <f t="shared" si="0"/>
        <v>81.395400000000009</v>
      </c>
      <c r="G64" s="117"/>
      <c r="H64" s="117">
        <f>IF(F64="",IF(COUNT(G64:G$88)=0,"",IF(ISBLANK(G64),AVERAGE(H63,H65),(1+G64)*H60)),F64)</f>
        <v>81.395400000000009</v>
      </c>
      <c r="I64" s="72">
        <f t="shared" si="2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1.25">
      <c r="C65" s="49">
        <v>44286</v>
      </c>
      <c r="D65" s="8"/>
      <c r="E65" s="48">
        <v>117.9</v>
      </c>
      <c r="F65" s="48">
        <f t="shared" si="0"/>
        <v>81.881550000000004</v>
      </c>
      <c r="G65" s="117"/>
      <c r="H65" s="117">
        <f>IF(F65="",IF(COUNT(G65:G$88)=0,"",IF(ISBLANK(G65),AVERAGE(H64,H66),(1+G65)*H61)),F65)</f>
        <v>81.881550000000004</v>
      </c>
      <c r="I65" s="72">
        <f t="shared" si="2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1.25">
      <c r="C66" s="49">
        <v>44377</v>
      </c>
      <c r="D66" s="8"/>
      <c r="E66" s="48">
        <v>118.8</v>
      </c>
      <c r="F66" s="48">
        <f t="shared" si="0"/>
        <v>82.506599999999992</v>
      </c>
      <c r="G66" s="117"/>
      <c r="H66" s="117">
        <f>IF(F66="",IF(COUNT(G66:G$88)=0,"",IF(ISBLANK(G66),AVERAGE(H65,H67),(1+G66)*H62)),F66)</f>
        <v>82.506599999999992</v>
      </c>
      <c r="I66" s="72">
        <f t="shared" si="2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1.25">
      <c r="C67" s="49">
        <v>44469</v>
      </c>
      <c r="D67" s="8"/>
      <c r="E67" s="48">
        <v>119.7</v>
      </c>
      <c r="F67" s="48">
        <f t="shared" si="0"/>
        <v>83.131650000000008</v>
      </c>
      <c r="G67" s="117"/>
      <c r="H67" s="117">
        <f>IF(F67="",IF(COUNT(G67:G$88)=0,"",IF(ISBLANK(G67),AVERAGE(H66,H68),(1+G67)*H63)),F67)</f>
        <v>83.131650000000008</v>
      </c>
      <c r="I67" s="72">
        <f t="shared" si="2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1.25">
      <c r="C68" s="49">
        <v>44561</v>
      </c>
      <c r="D68" s="8"/>
      <c r="E68" s="48">
        <v>121.3</v>
      </c>
      <c r="F68" s="48">
        <f t="shared" si="0"/>
        <v>84.242850000000004</v>
      </c>
      <c r="G68" s="117"/>
      <c r="H68" s="117">
        <f>IF(F68="",IF(COUNT(G68:G$88)=0,"",IF(ISBLANK(G68),AVERAGE(H67,H69),(1+G68)*H64)),F68)</f>
        <v>84.242850000000004</v>
      </c>
      <c r="I68" s="72">
        <f t="shared" si="2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1.25">
      <c r="C69" s="49">
        <v>44651</v>
      </c>
      <c r="D69" s="8"/>
      <c r="E69" s="48">
        <v>123.9</v>
      </c>
      <c r="F69" s="48">
        <f t="shared" si="0"/>
        <v>86.048550000000006</v>
      </c>
      <c r="G69" s="117"/>
      <c r="H69" s="117">
        <f>IF(F69="",IF(COUNT(G69:G$88)=0,"",IF(ISBLANK(G69),AVERAGE(H68,H70),(1+G69)*H65)),F69)</f>
        <v>86.048550000000006</v>
      </c>
      <c r="I69" s="72">
        <f t="shared" si="2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1.25">
      <c r="C70" s="49">
        <v>44742</v>
      </c>
      <c r="D70" s="8"/>
      <c r="E70" s="48">
        <v>126.1</v>
      </c>
      <c r="F70" s="48">
        <f t="shared" si="0"/>
        <v>87.576449999999994</v>
      </c>
      <c r="G70" s="117"/>
      <c r="H70" s="117">
        <f>IF(F70="",IF(COUNT(G70:G$88)=0,"",IF(ISBLANK(G70),AVERAGE(H69,H71),(1+G70)*H66)),F70)</f>
        <v>87.576449999999994</v>
      </c>
      <c r="I70" s="72">
        <f t="shared" si="2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1.25">
      <c r="C71" s="49">
        <v>44834</v>
      </c>
      <c r="D71" s="8"/>
      <c r="E71" s="48">
        <v>128.4</v>
      </c>
      <c r="F71" s="48">
        <f t="shared" si="0"/>
        <v>89.1738</v>
      </c>
      <c r="G71" s="117"/>
      <c r="H71" s="117">
        <f>IF(F71="",IF(COUNT(G71:G$88)=0,"",IF(ISBLANK(G71),AVERAGE(H70,H72),(1+G71)*H67)),F71)</f>
        <v>89.1738</v>
      </c>
      <c r="I71" s="72">
        <f t="shared" si="2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1.25">
      <c r="C72" s="49">
        <v>44926</v>
      </c>
      <c r="D72" s="8"/>
      <c r="E72" s="48">
        <v>130.80000000000001</v>
      </c>
      <c r="F72" s="48">
        <f t="shared" si="0"/>
        <v>90.840600000000009</v>
      </c>
      <c r="G72" s="110"/>
      <c r="H72" s="117">
        <f>IF(F72="",IF(COUNT(G72:G$88)=0,"",IF(ISBLANK(G72),AVERAGE(H71,H73),(1+G72)*H68)),F72)</f>
        <v>90.840600000000009</v>
      </c>
      <c r="I72" s="72">
        <f t="shared" si="2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1.25">
      <c r="C73" s="49">
        <v>45016</v>
      </c>
      <c r="D73" s="8"/>
      <c r="E73" s="48">
        <v>132.6</v>
      </c>
      <c r="F73" s="48">
        <f t="shared" si="0"/>
        <v>92.090699999999998</v>
      </c>
      <c r="G73" s="110"/>
      <c r="H73" s="117">
        <f>IF(F73="",IF(COUNT(G73:G$88)=0,"",IF(ISBLANK(G73),AVERAGE(H72,H74),(1+G73)*H69)),F73)</f>
        <v>92.090699999999998</v>
      </c>
      <c r="I73" s="72">
        <f t="shared" si="2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1.25">
      <c r="C74" s="49">
        <v>45107</v>
      </c>
      <c r="D74" s="8"/>
      <c r="E74" s="48">
        <v>133.69999999999999</v>
      </c>
      <c r="F74" s="48">
        <f t="shared" si="0"/>
        <v>92.854649999999992</v>
      </c>
      <c r="G74" s="110"/>
      <c r="H74" s="117">
        <f>IF(F74="",IF(COUNT(G74:G$88)=0,"",IF(ISBLANK(G74),AVERAGE(H73,H75),(1+G74)*H70)),F74)</f>
        <v>92.854649999999992</v>
      </c>
      <c r="I74" s="72">
        <f t="shared" si="2"/>
        <v>6.0269627279936566E-2</v>
      </c>
      <c r="J74" s="181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1.25">
      <c r="C75" s="49">
        <v>45199</v>
      </c>
      <c r="D75" s="8"/>
      <c r="E75" s="48">
        <v>135.30000000000001</v>
      </c>
      <c r="F75" s="48">
        <f t="shared" si="0"/>
        <v>93.965850000000003</v>
      </c>
      <c r="G75" s="110"/>
      <c r="H75" s="117">
        <f>IF(F75="",IF(COUNT(G75:G$88)=0,"",IF(ISBLANK(G75),AVERAGE(H74,H76),(1+G75)*H71)),F75)</f>
        <v>93.965850000000003</v>
      </c>
      <c r="I75" s="72">
        <f t="shared" si="2"/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1.25">
      <c r="C76" s="49">
        <v>45291</v>
      </c>
      <c r="D76" s="8"/>
      <c r="E76" s="48">
        <v>136.1</v>
      </c>
      <c r="F76" s="48">
        <f t="shared" si="0"/>
        <v>94.521450000000002</v>
      </c>
      <c r="G76" s="110"/>
      <c r="H76" s="117">
        <f>IF(F76="",IF(COUNT(G76:G$88)=0,"",IF(ISBLANK(G76),AVERAGE(H75,H77),(1+G76)*H72)),F76)</f>
        <v>94.521450000000002</v>
      </c>
      <c r="I76" s="72">
        <f t="shared" si="2"/>
        <v>4.0519877675840865E-2</v>
      </c>
      <c r="J76" s="186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1.25">
      <c r="C77" s="49">
        <v>45382</v>
      </c>
      <c r="D77" s="8"/>
      <c r="E77" s="48">
        <v>137.4</v>
      </c>
      <c r="F77" s="48">
        <f t="shared" si="0"/>
        <v>95.424300000000002</v>
      </c>
      <c r="G77" s="110"/>
      <c r="H77" s="117">
        <f>IF(F77="",IF(COUNT(G77:G$88)=0,"",IF(ISBLANK(G77),AVERAGE(H76,H78),(1+G77)*H73)),F77)</f>
        <v>95.424300000000002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1.25">
      <c r="C78" s="49">
        <v>45473</v>
      </c>
      <c r="D78" s="8"/>
      <c r="E78" s="48">
        <v>138.80000000000001</v>
      </c>
      <c r="F78" s="48">
        <f t="shared" si="0"/>
        <v>96.396600000000007</v>
      </c>
      <c r="G78" s="110"/>
      <c r="H78" s="117">
        <f>IF(F78="",IF(COUNT(G78:G$88)=0,"",IF(ISBLANK(G78),AVERAGE(H77,H79),(1+G78)*H74)),F78)</f>
        <v>96.396600000000007</v>
      </c>
      <c r="I78" s="72">
        <f t="shared" si="2"/>
        <v>3.8145100972326151E-2</v>
      </c>
      <c r="J78" s="186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1.25">
      <c r="C79" s="49">
        <v>45565</v>
      </c>
      <c r="D79" s="8"/>
      <c r="E79" s="48">
        <v>139.1</v>
      </c>
      <c r="F79" s="48">
        <f t="shared" si="0"/>
        <v>96.604950000000002</v>
      </c>
      <c r="G79" s="110"/>
      <c r="H79" s="117">
        <f>IF(F79="",IF(COUNT(G79:G$88)=0,"",IF(ISBLANK(G79),AVERAGE(H78,H80),(1+G79)*H75)),F79)</f>
        <v>96.604950000000002</v>
      </c>
      <c r="I79" s="72">
        <f t="shared" si="2"/>
        <v>2.8085735402808565E-2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1.25">
      <c r="C80" s="49">
        <v>45657</v>
      </c>
      <c r="D80" s="8"/>
      <c r="E80" s="48">
        <v>139.4</v>
      </c>
      <c r="F80" s="48">
        <f t="shared" si="0"/>
        <v>96.813299999999998</v>
      </c>
      <c r="G80" s="110"/>
      <c r="H80" s="117">
        <f>IF(F80="",IF(COUNT(G80:G$88)=0,"",IF(ISBLANK(G80),AVERAGE(H79,H81),(1+G80)*H76)),F80)</f>
        <v>96.813299999999998</v>
      </c>
      <c r="I80" s="72">
        <f t="shared" si="2"/>
        <v>2.4246877296105751E-2</v>
      </c>
      <c r="J80" s="186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1.25">
      <c r="C81" s="49">
        <v>45747</v>
      </c>
      <c r="D81" s="8"/>
      <c r="E81" s="48">
        <v>140.69999999999999</v>
      </c>
      <c r="F81" s="48">
        <f t="shared" si="0"/>
        <v>97.716149999999999</v>
      </c>
      <c r="G81" s="110"/>
      <c r="H81" s="117">
        <f>IF(F81="",IF(COUNT(G81:G$88)=0,"",IF(ISBLANK(G81),AVERAGE(H80,H82),(1+G81)*H77)),F81)</f>
        <v>97.716149999999999</v>
      </c>
      <c r="I81" s="72">
        <f t="shared" si="2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1.25">
      <c r="C82" s="49">
        <v>45838</v>
      </c>
      <c r="D82" s="8"/>
      <c r="E82" s="48">
        <v>141.69999999999999</v>
      </c>
      <c r="F82" s="48">
        <f t="shared" si="0"/>
        <v>98.41064999999999</v>
      </c>
      <c r="G82" s="110"/>
      <c r="H82" s="117">
        <f>IF(F82="",IF(COUNT(G82:G$88)=0,"",IF(ISBLANK(G82),AVERAGE(H81,H83),(1+G82)*H78)),F82)</f>
        <v>98.41064999999999</v>
      </c>
      <c r="I82" s="72">
        <f t="shared" si="2"/>
        <v>2.0893371757924939E-2</v>
      </c>
      <c r="J82" s="186"/>
      <c r="K82" s="8"/>
      <c r="L82" s="8"/>
      <c r="V82" s="81" t="str">
        <f>IF(C82&gt;EOMONTH(DATE('Input|General'!$G$12,MONTH('Input|General'!$G$9),1),0),"Ok",IF(I82="","Check","Ok"))</f>
        <v>Ok</v>
      </c>
    </row>
    <row r="83" spans="1:50" ht="11.25">
      <c r="C83" s="49">
        <v>45930</v>
      </c>
      <c r="D83" s="8"/>
      <c r="E83" s="48">
        <v>143.6</v>
      </c>
      <c r="F83" s="48">
        <f t="shared" si="0"/>
        <v>99.730199999999996</v>
      </c>
      <c r="G83" s="110"/>
      <c r="H83" s="117">
        <f>IF(F83="",IF(COUNT(G83:G$88)=0,"",IF(ISBLANK(G83),AVERAGE(H82,H84),(1+G83)*H79)),F83)</f>
        <v>99.730199999999996</v>
      </c>
      <c r="I83" s="72">
        <f t="shared" si="2"/>
        <v>3.2350826743350103E-2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1.25">
      <c r="C84" s="49">
        <v>46022</v>
      </c>
      <c r="D84" s="8"/>
      <c r="E84" s="8"/>
      <c r="F84" s="48">
        <v>100.32</v>
      </c>
      <c r="G84" s="110"/>
      <c r="H84" s="117">
        <f>IF(F84="",IF(COUNT(G84:G$88)=0,"",IF(ISBLANK(G84),AVERAGE(H83,H85),(1+G84)*H80)),F84)</f>
        <v>100.32</v>
      </c>
      <c r="I84" s="72">
        <f t="shared" si="2"/>
        <v>3.6221262987626623E-2</v>
      </c>
      <c r="J84" s="186"/>
      <c r="K84" s="8"/>
      <c r="L84" s="8"/>
      <c r="V84" s="81" t="str">
        <f>IF(C84&gt;EOMONTH(DATE('Input|General'!$G$12,MONTH('Input|General'!$G$9),1),0),"Ok",IF(I84="","Check","Ok"))</f>
        <v>Ok</v>
      </c>
    </row>
    <row r="85" spans="1:50" ht="11.25">
      <c r="C85" s="49">
        <v>46112</v>
      </c>
      <c r="D85" s="8"/>
      <c r="E85" s="8"/>
      <c r="G85" s="191"/>
      <c r="H85" s="117">
        <f>IF(F85="",IF(COUNT(G85:G$88)=0,"",IF(ISBLANK(G85),AVERAGE(H84,H86),(1+G85)*H81)),F85)</f>
        <v>101.7271806</v>
      </c>
      <c r="I85" s="72">
        <f t="shared" si="2"/>
        <v>4.1047775623579197E-2</v>
      </c>
      <c r="J85" s="186"/>
      <c r="K85" s="8"/>
      <c r="L85" s="8"/>
      <c r="V85" s="81" t="str">
        <f>IF(C85&gt;EOMONTH(DATE('Input|General'!$G$12,MONTH('Input|General'!$G$9),1),0),"Ok",IF(I85="","Check","Ok"))</f>
        <v>Ok</v>
      </c>
    </row>
    <row r="86" spans="1:50" ht="11.25">
      <c r="C86" s="49">
        <v>46203</v>
      </c>
      <c r="D86" s="8"/>
      <c r="E86" s="8"/>
      <c r="G86" s="191">
        <v>4.8000000000000001E-2</v>
      </c>
      <c r="H86" s="117">
        <f>IF(F86="",IF(COUNT(G86:G$88)=0,"",IF(ISBLANK(G86),AVERAGE(H85,H87),(1+G86)*H82)),F86)</f>
        <v>103.13436119999999</v>
      </c>
      <c r="I86" s="72">
        <f t="shared" si="2"/>
        <v>4.8000000000000043E-2</v>
      </c>
      <c r="J86" s="186"/>
      <c r="K86" s="8"/>
      <c r="L86" s="8"/>
      <c r="V86" s="81" t="str">
        <f>IF(C86&gt;EOMONTH(DATE('Input|General'!$G$12,MONTH('Input|General'!$G$9),1),0),"Ok",IF(I86="","Check","Ok"))</f>
        <v>Ok</v>
      </c>
    </row>
    <row r="87" spans="1:50" ht="11.25">
      <c r="C87" s="49">
        <v>46295</v>
      </c>
      <c r="D87" s="8"/>
      <c r="E87" s="8"/>
      <c r="G87" s="191"/>
      <c r="H87" s="117">
        <f>IF(F87="",IF(COUNT(G87:G$88)=0,"",IF(ISBLANK(G87),AVERAGE(H86,H88),(1+G87)*H83)),F87)</f>
        <v>103.73358059999998</v>
      </c>
      <c r="I87" s="72">
        <f t="shared" si="2"/>
        <v>4.014210941119134E-2</v>
      </c>
      <c r="J87" s="186"/>
      <c r="K87" s="8"/>
      <c r="L87" s="8"/>
      <c r="V87" s="81" t="str">
        <f>IF(C87&gt;EOMONTH(DATE('Input|General'!$G$12,MONTH('Input|General'!$G$9),1),0),"Ok",IF(I87="","Check","Ok"))</f>
        <v>Ok</v>
      </c>
    </row>
    <row r="88" spans="1:50" ht="11.25">
      <c r="C88" s="49">
        <v>46387</v>
      </c>
      <c r="D88" s="8"/>
      <c r="E88" s="8"/>
      <c r="G88" s="191">
        <v>0.04</v>
      </c>
      <c r="H88" s="117">
        <f>IF(F88="",IF(COUNT(G88:G$88)=0,"",IF(ISBLANK(G88),AVERAGE(H87,H89),(1+G88)*H84)),F88)</f>
        <v>104.33279999999999</v>
      </c>
      <c r="I88" s="72">
        <f t="shared" si="2"/>
        <v>4.0000000000000036E-2</v>
      </c>
      <c r="J88" s="186"/>
      <c r="K88" s="8"/>
      <c r="L88" s="8"/>
      <c r="V88" s="81" t="str">
        <f>IF(C88&gt;EOMONTH(DATE('Input|General'!$G$12,MONTH('Input|General'!$G$9),1),0),"Ok",IF(I88="","Check","Ok"))</f>
        <v>Ok</v>
      </c>
    </row>
    <row r="89" spans="1:50" ht="11.25">
      <c r="J89" s="8"/>
      <c r="K89" s="8"/>
      <c r="L89" s="8"/>
      <c r="V89" s="82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2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1.25" hidden="1">
      <c r="J91" s="20"/>
      <c r="K91" s="20"/>
    </row>
    <row r="92" spans="1:50" ht="11.25" hidden="1">
      <c r="J92" s="20"/>
      <c r="K92" s="20"/>
    </row>
    <row r="93" spans="1:50" s="16" customFormat="1" ht="11.25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1.25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1.25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1.25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1.25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1.25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1.25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1.25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4">
    <cfRule type="expression" dxfId="152" priority="184">
      <formula>#REF!=""</formula>
    </cfRule>
  </conditionalFormatting>
  <conditionalFormatting sqref="H20:H88">
    <cfRule type="expression" dxfId="151" priority="1">
      <formula>#REF!=""</formula>
    </cfRule>
  </conditionalFormatting>
  <conditionalFormatting sqref="V1">
    <cfRule type="cellIs" dxfId="150" priority="7" operator="equal">
      <formula>"Check"</formula>
    </cfRule>
    <cfRule type="cellIs" dxfId="149" priority="8" operator="equal">
      <formula>"Ok"</formula>
    </cfRule>
  </conditionalFormatting>
  <conditionalFormatting sqref="V9:V88">
    <cfRule type="cellIs" dxfId="148" priority="13" operator="equal">
      <formula>"Check"</formula>
    </cfRule>
    <cfRule type="cellIs" dxfId="147" priority="14" operator="equal">
      <formula>"Ok"</formula>
    </cfRule>
  </conditionalFormatting>
  <conditionalFormatting sqref="Y1">
    <cfRule type="cellIs" dxfId="146" priority="9" operator="equal">
      <formula>"Check"</formula>
    </cfRule>
    <cfRule type="cellIs" dxfId="145" priority="10" operator="equal">
      <formula>"Ok"</formula>
    </cfRule>
  </conditionalFormatting>
  <dataValidations count="3"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E84:E88 E9:E79 F9:F84 G9:I88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</hyperlinks>
  <pageMargins left="0.7" right="0.7" top="0.75" bottom="0.75" header="0.3" footer="0.3"/>
  <pageSetup paperSize="9" orientation="portrait" verticalDpi="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topLeftCell="A31" zoomScaleNormal="100" workbookViewId="0">
      <selection activeCell="S1" sqref="S1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3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IF(COUNTA($V$8:$V$73)=COUNTIF($V$8:$V$73,"OK"),"OK","Check")</f>
        <v>OK</v>
      </c>
      <c r="T1" s="29"/>
      <c r="U1" s="184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196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68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72.457727338638861</v>
      </c>
      <c r="K13" s="129">
        <v>73.027142496677541</v>
      </c>
      <c r="L13" s="129">
        <v>73.529640386550341</v>
      </c>
      <c r="M13" s="129">
        <v>74.125052159160077</v>
      </c>
      <c r="N13" s="129">
        <v>74.835674838838244</v>
      </c>
      <c r="O13" s="129"/>
      <c r="P13" s="129"/>
      <c r="Q13" s="129"/>
      <c r="R13" s="129"/>
      <c r="S13" s="129"/>
      <c r="T13" s="129"/>
      <c r="U13" s="17" t="s">
        <v>172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72.457727338638861</v>
      </c>
      <c r="K15" s="133">
        <f t="shared" ref="K15:S15" si="1">K13</f>
        <v>73.027142496677541</v>
      </c>
      <c r="L15" s="133">
        <f t="shared" si="1"/>
        <v>73.529640386550341</v>
      </c>
      <c r="M15" s="133">
        <f t="shared" si="1"/>
        <v>74.125052159160077</v>
      </c>
      <c r="N15" s="133">
        <f t="shared" si="1"/>
        <v>74.835674838838244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197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 t="s">
        <v>39</v>
      </c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>
        <v>0.848657175796944</v>
      </c>
      <c r="K19" s="129">
        <v>0.85787568707611506</v>
      </c>
      <c r="L19" s="129">
        <v>0.86246460827563598</v>
      </c>
      <c r="M19" s="129">
        <v>0.86405396696106407</v>
      </c>
      <c r="N19" s="129">
        <v>0.86881746281799599</v>
      </c>
      <c r="O19" s="129"/>
      <c r="P19" s="129"/>
      <c r="Q19" s="129"/>
      <c r="R19" s="129"/>
      <c r="S19" s="129"/>
      <c r="T19" s="129"/>
      <c r="U19" s="17" t="s">
        <v>198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209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8.0845199999999995</v>
      </c>
      <c r="K20" s="129">
        <v>8.0845199999999995</v>
      </c>
      <c r="L20" s="129">
        <v>8.0845199999999995</v>
      </c>
      <c r="M20" s="129">
        <v>8.0845199999999995</v>
      </c>
      <c r="N20" s="129">
        <v>8.0845199999999995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 t="s">
        <v>207</v>
      </c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>
        <v>2.4178770339636597</v>
      </c>
      <c r="K21" s="129">
        <v>2.4427069340348702</v>
      </c>
      <c r="L21" s="129">
        <v>2.4704071107983498</v>
      </c>
      <c r="M21" s="129">
        <v>2.5009726664399499</v>
      </c>
      <c r="N21" s="129">
        <v>2.5308427142726901</v>
      </c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/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145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11.351054209760603</v>
      </c>
      <c r="K29" s="133">
        <f t="shared" ref="K29:S29" si="5">SUM(K19:K27)</f>
        <v>11.385102621110985</v>
      </c>
      <c r="L29" s="133">
        <f t="shared" si="5"/>
        <v>11.417391719073985</v>
      </c>
      <c r="M29" s="133">
        <f t="shared" si="5"/>
        <v>11.449546633401013</v>
      </c>
      <c r="N29" s="133">
        <f t="shared" si="5"/>
        <v>11.484180177090686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23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70</v>
      </c>
      <c r="E37" s="120" t="str">
        <f>units</f>
        <v>$millions</v>
      </c>
      <c r="F37" s="134" t="s">
        <v>95</v>
      </c>
      <c r="G37" s="121"/>
      <c r="H37" s="121"/>
      <c r="I37" s="120"/>
      <c r="J37" s="129">
        <v>57.746838591205893</v>
      </c>
      <c r="K37" s="129">
        <v>60.608130694982243</v>
      </c>
      <c r="L37" s="129">
        <v>61.399287859949723</v>
      </c>
      <c r="M37" s="129">
        <v>68.671003044042209</v>
      </c>
      <c r="N37" s="129"/>
      <c r="O37" s="129"/>
      <c r="P37" s="129"/>
      <c r="Q37" s="129"/>
      <c r="R37" s="129"/>
      <c r="S37" s="129"/>
      <c r="T37" s="129"/>
      <c r="U37" s="17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158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154</v>
      </c>
      <c r="D41" s="120" t="s">
        <v>70</v>
      </c>
      <c r="E41" s="120" t="str">
        <f>units</f>
        <v>$millions</v>
      </c>
      <c r="F41" s="134" t="s">
        <v>95</v>
      </c>
      <c r="G41" s="121"/>
      <c r="H41" s="121"/>
      <c r="I41" s="120"/>
      <c r="J41" s="129">
        <v>0.3104579946991079</v>
      </c>
      <c r="K41" s="129">
        <v>0.15749160924950831</v>
      </c>
      <c r="L41" s="129">
        <v>0.35127704546760002</v>
      </c>
      <c r="M41" s="129">
        <v>-0.64</v>
      </c>
      <c r="N41" s="129"/>
      <c r="O41" s="129"/>
      <c r="P41" s="129"/>
      <c r="Q41" s="129"/>
      <c r="R41" s="129"/>
      <c r="S41" s="129"/>
      <c r="T41" s="129"/>
      <c r="U41" s="17" t="s">
        <v>157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 t="s">
        <v>208</v>
      </c>
      <c r="D42" s="120" t="s">
        <v>70</v>
      </c>
      <c r="E42" s="120" t="str">
        <f>units</f>
        <v>$millions</v>
      </c>
      <c r="F42" s="134" t="s">
        <v>95</v>
      </c>
      <c r="G42" s="121"/>
      <c r="H42" s="121"/>
      <c r="I42" s="120"/>
      <c r="J42" s="129">
        <v>2.0073176999999998</v>
      </c>
      <c r="K42" s="129">
        <v>1.8515069</v>
      </c>
      <c r="L42" s="129">
        <v>2.0873046</v>
      </c>
      <c r="M42" s="129">
        <v>2.4354862000000002</v>
      </c>
      <c r="N42" s="129"/>
      <c r="O42" s="129"/>
      <c r="P42" s="129"/>
      <c r="Q42" s="129"/>
      <c r="R42" s="129"/>
      <c r="S42" s="129"/>
      <c r="T42" s="129"/>
      <c r="U42" s="17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/>
      <c r="D43" s="120" t="s">
        <v>70</v>
      </c>
      <c r="E43" s="120" t="str">
        <f>units</f>
        <v>$millions</v>
      </c>
      <c r="F43" s="134" t="s">
        <v>95</v>
      </c>
      <c r="G43" s="121"/>
      <c r="H43" s="121"/>
      <c r="I43" s="120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7"/>
      <c r="V43" s="64" t="str">
        <f t="shared" si="7"/>
        <v>Ok</v>
      </c>
    </row>
    <row r="44" spans="1:22">
      <c r="A44" s="17"/>
      <c r="B44" s="17"/>
      <c r="C44" s="127"/>
      <c r="D44" s="120" t="s">
        <v>70</v>
      </c>
      <c r="E44" s="120" t="str">
        <f>units</f>
        <v>$millions</v>
      </c>
      <c r="F44" s="134" t="s">
        <v>95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 t="shared" si="7"/>
        <v>Ok</v>
      </c>
    </row>
    <row r="45" spans="1:22">
      <c r="A45" s="17"/>
      <c r="B45" s="17"/>
      <c r="C45" s="127"/>
      <c r="D45" s="120" t="s">
        <v>70</v>
      </c>
      <c r="E45" s="120" t="str">
        <f>units</f>
        <v>$millions</v>
      </c>
      <c r="F45" s="134" t="s">
        <v>95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 t="shared" si="7"/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155</v>
      </c>
      <c r="D47" s="131" t="s">
        <v>30</v>
      </c>
      <c r="E47" s="135" t="str">
        <f>units</f>
        <v>$millions</v>
      </c>
      <c r="F47" s="132" t="s">
        <v>95</v>
      </c>
      <c r="G47" s="121"/>
      <c r="H47" s="121"/>
      <c r="I47" s="120"/>
      <c r="J47" s="133">
        <f>J37-SUM(J41:J45)</f>
        <v>55.429062896506785</v>
      </c>
      <c r="K47" s="133">
        <f t="shared" ref="K47:S47" si="8">K37-SUM(K41:K45)</f>
        <v>58.599132185732735</v>
      </c>
      <c r="L47" s="133">
        <f t="shared" si="8"/>
        <v>58.960706214482123</v>
      </c>
      <c r="M47" s="133">
        <f t="shared" si="8"/>
        <v>66.87551684404221</v>
      </c>
      <c r="N47" s="133">
        <f t="shared" si="8"/>
        <v>0</v>
      </c>
      <c r="O47" s="133">
        <f t="shared" si="8"/>
        <v>0</v>
      </c>
      <c r="P47" s="133">
        <f t="shared" si="8"/>
        <v>0</v>
      </c>
      <c r="Q47" s="133">
        <f t="shared" si="8"/>
        <v>0</v>
      </c>
      <c r="R47" s="133">
        <f t="shared" si="8"/>
        <v>0</v>
      </c>
      <c r="S47" s="133">
        <f t="shared" si="8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103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39</v>
      </c>
      <c r="D51" s="120" t="s">
        <v>70</v>
      </c>
      <c r="E51" s="120" t="str">
        <f>units</f>
        <v>$millions</v>
      </c>
      <c r="F51" s="134" t="s">
        <v>95</v>
      </c>
      <c r="G51" s="121"/>
      <c r="H51" s="121"/>
      <c r="I51" s="120"/>
      <c r="J51" s="129">
        <v>1.31888168860796</v>
      </c>
      <c r="K51" s="129">
        <v>1.33754029437796</v>
      </c>
      <c r="L51" s="129">
        <v>1.7041610103700602</v>
      </c>
      <c r="M51" s="129">
        <v>2.0142671997514001</v>
      </c>
      <c r="N51" s="129"/>
      <c r="O51" s="129"/>
      <c r="P51" s="129"/>
      <c r="Q51" s="129"/>
      <c r="R51" s="129"/>
      <c r="S51" s="129"/>
      <c r="T51" s="129"/>
      <c r="U51" s="17" t="s">
        <v>153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209</v>
      </c>
      <c r="D52" s="120" t="s">
        <v>70</v>
      </c>
      <c r="E52" s="120" t="str">
        <f>units</f>
        <v>$millions</v>
      </c>
      <c r="F52" s="134" t="s">
        <v>95</v>
      </c>
      <c r="G52" s="121"/>
      <c r="H52" s="121"/>
      <c r="I52" s="120"/>
      <c r="J52" s="129">
        <v>5.2572470400000002</v>
      </c>
      <c r="K52" s="129">
        <v>3.49260115</v>
      </c>
      <c r="L52" s="129">
        <v>0.39416685999999901</v>
      </c>
      <c r="M52" s="129">
        <v>-0.11582816</v>
      </c>
      <c r="N52" s="129"/>
      <c r="O52" s="129"/>
      <c r="P52" s="129"/>
      <c r="Q52" s="129"/>
      <c r="R52" s="129"/>
      <c r="S52" s="129"/>
      <c r="T52" s="129"/>
      <c r="U52" s="17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/>
      <c r="D53" s="120" t="s">
        <v>70</v>
      </c>
      <c r="E53" s="120" t="str">
        <f>units</f>
        <v>$millions</v>
      </c>
      <c r="F53" s="134" t="s">
        <v>95</v>
      </c>
      <c r="G53" s="121"/>
      <c r="H53" s="121"/>
      <c r="I53" s="120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7"/>
      <c r="V53" s="64" t="str">
        <f t="shared" si="9"/>
        <v>Ok</v>
      </c>
    </row>
    <row r="54" spans="1:22">
      <c r="A54" s="17"/>
      <c r="B54" s="17"/>
      <c r="C54" s="127"/>
      <c r="D54" s="120" t="s">
        <v>70</v>
      </c>
      <c r="E54" s="120" t="str">
        <f>units</f>
        <v>$millions</v>
      </c>
      <c r="F54" s="134" t="s">
        <v>95</v>
      </c>
      <c r="G54" s="121"/>
      <c r="H54" s="121"/>
      <c r="I54" s="120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7"/>
      <c r="V54" s="64" t="str">
        <f t="shared" si="9"/>
        <v>Ok</v>
      </c>
    </row>
    <row r="55" spans="1:22">
      <c r="A55" s="17"/>
      <c r="B55" s="17"/>
      <c r="C55" s="127"/>
      <c r="D55" s="120" t="s">
        <v>70</v>
      </c>
      <c r="E55" s="120" t="str">
        <f>units</f>
        <v>$millions</v>
      </c>
      <c r="F55" s="134" t="s">
        <v>95</v>
      </c>
      <c r="G55" s="121"/>
      <c r="H55" s="121"/>
      <c r="I55" s="120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145</v>
      </c>
      <c r="D57" s="131" t="s">
        <v>30</v>
      </c>
      <c r="E57" s="135" t="str">
        <f>units</f>
        <v>$millions</v>
      </c>
      <c r="F57" s="132" t="s">
        <v>95</v>
      </c>
      <c r="G57" s="121"/>
      <c r="H57" s="121"/>
      <c r="I57" s="120"/>
      <c r="J57" s="137">
        <f>SUM(J51:J55)</f>
        <v>6.5761287286079604</v>
      </c>
      <c r="K57" s="137">
        <f t="shared" ref="K57:S57" si="10">SUM(K51:K55)</f>
        <v>4.8301414443779596</v>
      </c>
      <c r="L57" s="137">
        <f t="shared" si="10"/>
        <v>2.098327870370059</v>
      </c>
      <c r="M57" s="137">
        <f t="shared" si="10"/>
        <v>1.8984390397514002</v>
      </c>
      <c r="N57" s="137">
        <f t="shared" si="10"/>
        <v>0</v>
      </c>
      <c r="O57" s="137">
        <f t="shared" si="10"/>
        <v>0</v>
      </c>
      <c r="P57" s="137">
        <f t="shared" si="10"/>
        <v>0</v>
      </c>
      <c r="Q57" s="137">
        <f t="shared" si="10"/>
        <v>0</v>
      </c>
      <c r="R57" s="137">
        <f t="shared" si="10"/>
        <v>0</v>
      </c>
      <c r="S57" s="137">
        <f t="shared" si="10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104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105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11">IF(YEAR(J$4)=PPLastYear,J$4,"")</f>
        <v/>
      </c>
      <c r="K61" s="123" t="str">
        <f t="shared" si="11"/>
        <v/>
      </c>
      <c r="L61" s="123" t="str">
        <f t="shared" si="11"/>
        <v/>
      </c>
      <c r="M61" s="123" t="str">
        <f t="shared" si="11"/>
        <v/>
      </c>
      <c r="N61" s="123">
        <f t="shared" si="11"/>
        <v>46174</v>
      </c>
      <c r="O61" s="123" t="str">
        <f t="shared" si="11"/>
        <v/>
      </c>
      <c r="P61" s="123" t="str">
        <f t="shared" si="11"/>
        <v/>
      </c>
      <c r="Q61" s="123" t="str">
        <f t="shared" si="11"/>
        <v/>
      </c>
      <c r="R61" s="123" t="str">
        <f t="shared" si="11"/>
        <v/>
      </c>
      <c r="S61" s="123" t="str">
        <f t="shared" si="11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/>
      <c r="D63" s="120" t="s">
        <v>34</v>
      </c>
      <c r="E63" s="120" t="str">
        <f>units</f>
        <v>$millions</v>
      </c>
      <c r="F63" s="139">
        <f>DATE(PPLastYear,MONTH(month),1)</f>
        <v>46174</v>
      </c>
      <c r="G63" s="121"/>
      <c r="H63" s="121"/>
      <c r="I63" s="121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7" t="s">
        <v>160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/>
      <c r="D64" s="120" t="s">
        <v>34</v>
      </c>
      <c r="E64" s="120" t="str">
        <f>units</f>
        <v>$millions</v>
      </c>
      <c r="F64" s="139">
        <f>DATE(PPLastYear,MONTH(month),1)</f>
        <v>46174</v>
      </c>
      <c r="G64" s="121"/>
      <c r="H64" s="121"/>
      <c r="I64" s="121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2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/>
      <c r="D65" s="120" t="s">
        <v>34</v>
      </c>
      <c r="E65" s="120" t="str">
        <f>units</f>
        <v>$millions</v>
      </c>
      <c r="F65" s="139">
        <f>DATE(PPLastYear,MONTH(month),1)</f>
        <v>46174</v>
      </c>
      <c r="G65" s="121"/>
      <c r="H65" s="121"/>
      <c r="I65" s="121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2"/>
      <c r="V65" s="64" t="str">
        <f t="shared" si="12"/>
        <v>Ok</v>
      </c>
    </row>
    <row r="66" spans="1:22">
      <c r="A66" s="17"/>
      <c r="B66" s="17"/>
      <c r="C66" s="127"/>
      <c r="D66" s="120" t="s">
        <v>34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2"/>
      <c r="V66" s="64" t="str">
        <f t="shared" si="12"/>
        <v>Ok</v>
      </c>
    </row>
    <row r="67" spans="1:22">
      <c r="A67" s="17"/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 t="shared" si="12"/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156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29">
        <v>0</v>
      </c>
      <c r="O69" s="129"/>
      <c r="P69" s="129"/>
      <c r="Q69" s="129"/>
      <c r="R69" s="129"/>
      <c r="S69" s="129"/>
      <c r="T69" s="129"/>
      <c r="U69" s="17" t="s">
        <v>194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193</v>
      </c>
      <c r="V71" s="64" t="str">
        <f t="shared" si="13"/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13:T13">
    <cfRule type="expression" dxfId="144" priority="31">
      <formula>J$10=J$4</formula>
    </cfRule>
  </conditionalFormatting>
  <conditionalFormatting sqref="J15:T15">
    <cfRule type="cellIs" dxfId="143" priority="34" operator="equal">
      <formula>0</formula>
    </cfRule>
  </conditionalFormatting>
  <conditionalFormatting sqref="J19:T27">
    <cfRule type="expression" dxfId="142" priority="26">
      <formula>J$10=J$4</formula>
    </cfRule>
  </conditionalFormatting>
  <conditionalFormatting sqref="J29:T29">
    <cfRule type="cellIs" dxfId="141" priority="27" operator="equal">
      <formula>0</formula>
    </cfRule>
  </conditionalFormatting>
  <conditionalFormatting sqref="J33:T33 N37:T37">
    <cfRule type="expression" dxfId="140" priority="32">
      <formula>J$34=J$4</formula>
    </cfRule>
  </conditionalFormatting>
  <conditionalFormatting sqref="J37:T37">
    <cfRule type="expression" dxfId="139" priority="30">
      <formula>J$10=J$4</formula>
    </cfRule>
  </conditionalFormatting>
  <conditionalFormatting sqref="J41:T45">
    <cfRule type="expression" dxfId="138" priority="24">
      <formula>J$34=J$4</formula>
    </cfRule>
  </conditionalFormatting>
  <conditionalFormatting sqref="J47:T47">
    <cfRule type="cellIs" dxfId="137" priority="29" operator="equal">
      <formula>0</formula>
    </cfRule>
  </conditionalFormatting>
  <conditionalFormatting sqref="J51:T55">
    <cfRule type="expression" dxfId="136" priority="21">
      <formula>J$34=J$4</formula>
    </cfRule>
  </conditionalFormatting>
  <conditionalFormatting sqref="J57:T57">
    <cfRule type="cellIs" dxfId="135" priority="33" operator="equal">
      <formula>0</formula>
    </cfRule>
  </conditionalFormatting>
  <conditionalFormatting sqref="J63:T67">
    <cfRule type="expression" dxfId="134" priority="28">
      <formula>J$61=J$4</formula>
    </cfRule>
  </conditionalFormatting>
  <conditionalFormatting sqref="J69:T69 J71:T71">
    <cfRule type="expression" dxfId="133" priority="63">
      <formula>J$61=J$4</formula>
    </cfRule>
  </conditionalFormatting>
  <conditionalFormatting sqref="S1:T1">
    <cfRule type="cellIs" dxfId="132" priority="52" operator="equal">
      <formula>"Ok"</formula>
    </cfRule>
    <cfRule type="cellIs" dxfId="131" priority="51" operator="equal">
      <formula>"Check"</formula>
    </cfRule>
  </conditionalFormatting>
  <conditionalFormatting sqref="V1">
    <cfRule type="cellIs" dxfId="130" priority="81" operator="equal">
      <formula>"Ok"</formula>
    </cfRule>
    <cfRule type="cellIs" dxfId="129" priority="80" operator="equal">
      <formula>"Check"</formula>
    </cfRule>
  </conditionalFormatting>
  <conditionalFormatting sqref="V13">
    <cfRule type="cellIs" dxfId="128" priority="19" operator="equal">
      <formula>"Check"</formula>
    </cfRule>
    <cfRule type="cellIs" dxfId="127" priority="20" operator="equal">
      <formula>"Ok"</formula>
    </cfRule>
  </conditionalFormatting>
  <conditionalFormatting sqref="V15">
    <cfRule type="cellIs" dxfId="126" priority="82" operator="equal">
      <formula>"Check"</formula>
    </cfRule>
    <cfRule type="cellIs" dxfId="125" priority="83" operator="equal">
      <formula>"Ok"</formula>
    </cfRule>
  </conditionalFormatting>
  <conditionalFormatting sqref="V19:V27">
    <cfRule type="cellIs" dxfId="124" priority="17" operator="equal">
      <formula>"Check"</formula>
    </cfRule>
    <cfRule type="cellIs" dxfId="123" priority="18" operator="equal">
      <formula>"Ok"</formula>
    </cfRule>
  </conditionalFormatting>
  <conditionalFormatting sqref="V29">
    <cfRule type="cellIs" dxfId="122" priority="60" operator="equal">
      <formula>"Ok"</formula>
    </cfRule>
    <cfRule type="cellIs" dxfId="121" priority="59" operator="equal">
      <formula>"Check"</formula>
    </cfRule>
  </conditionalFormatting>
  <conditionalFormatting sqref="V37">
    <cfRule type="cellIs" dxfId="120" priority="13" operator="equal">
      <formula>"Check"</formula>
    </cfRule>
    <cfRule type="cellIs" dxfId="119" priority="14" operator="equal">
      <formula>"Ok"</formula>
    </cfRule>
  </conditionalFormatting>
  <conditionalFormatting sqref="V41:V45">
    <cfRule type="cellIs" dxfId="118" priority="9" operator="equal">
      <formula>"Check"</formula>
    </cfRule>
    <cfRule type="cellIs" dxfId="117" priority="10" operator="equal">
      <formula>"Ok"</formula>
    </cfRule>
  </conditionalFormatting>
  <conditionalFormatting sqref="V47">
    <cfRule type="cellIs" dxfId="116" priority="67" operator="equal">
      <formula>"Ok"</formula>
    </cfRule>
    <cfRule type="cellIs" dxfId="115" priority="66" operator="equal">
      <formula>"Check"</formula>
    </cfRule>
  </conditionalFormatting>
  <conditionalFormatting sqref="V48:V50">
    <cfRule type="cellIs" dxfId="114" priority="74" operator="equal">
      <formula>"Check"</formula>
    </cfRule>
    <cfRule type="cellIs" dxfId="113" priority="75" operator="equal">
      <formula>"Ok"</formula>
    </cfRule>
  </conditionalFormatting>
  <conditionalFormatting sqref="V51:V55">
    <cfRule type="cellIs" dxfId="112" priority="8" operator="equal">
      <formula>"Ok"</formula>
    </cfRule>
    <cfRule type="cellIs" dxfId="111" priority="7" operator="equal">
      <formula>"Check"</formula>
    </cfRule>
  </conditionalFormatting>
  <conditionalFormatting sqref="V52:V55">
    <cfRule type="cellIs" dxfId="110" priority="86" operator="equal">
      <formula>"Check"</formula>
    </cfRule>
    <cfRule type="cellIs" dxfId="109" priority="87" operator="equal">
      <formula>"Ok"</formula>
    </cfRule>
  </conditionalFormatting>
  <conditionalFormatting sqref="V57">
    <cfRule type="cellIs" dxfId="108" priority="84" operator="equal">
      <formula>"Check"</formula>
    </cfRule>
    <cfRule type="cellIs" dxfId="107" priority="85" operator="equal">
      <formula>"Ok"</formula>
    </cfRule>
  </conditionalFormatting>
  <conditionalFormatting sqref="V63:V67">
    <cfRule type="cellIs" dxfId="106" priority="6" operator="equal">
      <formula>"Ok"</formula>
    </cfRule>
    <cfRule type="cellIs" dxfId="105" priority="5" operator="equal">
      <formula>"Check"</formula>
    </cfRule>
  </conditionalFormatting>
  <conditionalFormatting sqref="V69">
    <cfRule type="cellIs" dxfId="104" priority="4" operator="equal">
      <formula>"Ok"</formula>
    </cfRule>
    <cfRule type="cellIs" dxfId="103" priority="3" operator="equal">
      <formula>"Check"</formula>
    </cfRule>
  </conditionalFormatting>
  <conditionalFormatting sqref="V71">
    <cfRule type="cellIs" dxfId="102" priority="2" operator="equal">
      <formula>"Ok"</formula>
    </cfRule>
    <cfRule type="cellIs" dxfId="101" priority="1" operator="equal">
      <formula>"Check"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13:T13 J19:T27 J37:T37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07"/>
  <sheetViews>
    <sheetView showGridLines="0" zoomScaleNormal="100" workbookViewId="0">
      <selection activeCell="N3" sqref="N3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3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IF(COUNTIF(X5:X106,"Check")=0,"OK","Check")</f>
        <v>OK</v>
      </c>
      <c r="U1" s="29"/>
      <c r="W1" s="184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109</v>
      </c>
      <c r="K3" s="192"/>
      <c r="L3" s="192"/>
      <c r="M3" s="192"/>
      <c r="N3" s="105"/>
      <c r="O3" s="190"/>
      <c r="P3" s="190"/>
      <c r="Q3" s="190"/>
      <c r="R3" s="190"/>
      <c r="S3" s="190"/>
      <c r="T3" s="190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93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IF(J10=J4,LOOKUP(EOMONTH(J4,0),'Input|Inflation'!$C$9:$C$88,'Input|Inflation'!$I$9:$I$88),"")</f>
        <v>3.8461538461538325E-2</v>
      </c>
      <c r="K12" s="148">
        <f>IF(K10=K4,LOOKUP(EOMONTH(K4,0),'Input|Inflation'!$C$9:$C$88,'Input|Inflation'!$I$9:$I$88),"")</f>
        <v>6.1447811447811418E-2</v>
      </c>
      <c r="L12" s="148">
        <f>IF(L10=L4,LOOKUP(EOMONTH(L4,0),'Input|Inflation'!$C$9:$C$88,'Input|Inflation'!$I$9:$I$88),"")</f>
        <v>6.0269627279936566E-2</v>
      </c>
      <c r="M12" s="148">
        <f>IF(M10=M4,LOOKUP(EOMONTH(M4,0),'Input|Inflation'!$C$9:$C$88,'Input|Inflation'!$I$9:$I$88),"")</f>
        <v>3.8145100972326151E-2</v>
      </c>
      <c r="N12" s="148">
        <f>IF(N10=N4,LOOKUP(EOMONTH(N4,0),'Input|Inflation'!$C$9:$C$88,'Input|Inflation'!$I$9:$I$88),"")</f>
        <v>2.0893371757924939E-2</v>
      </c>
      <c r="O12" s="148">
        <f>IF(O10=O4,LOOKUP(EOMONTH(O4,0),'Input|Inflation'!$C$9:$C$88,'Input|Inflation'!$I$9:$I$88),"")</f>
        <v>4.8000000000000043E-2</v>
      </c>
      <c r="P12" s="148" t="str">
        <f>IF(P10=P4,LOOKUP(EOMONTH(P4,0),'Input|Inflation'!$C$9:$C$88,'Input|Inflation'!$I$9:$I$88),"")</f>
        <v/>
      </c>
      <c r="Q12" s="148" t="str">
        <f>IF(Q10=Q4,LOOKUP(EOMONTH(Q4,0),'Input|Inflation'!$C$9:$C$88,'Input|Inflation'!$I$9:$I$88),"")</f>
        <v/>
      </c>
      <c r="R12" s="148" t="str">
        <f>IF(R10=R4,LOOKUP(EOMONTH(R4,0),'Input|Inflation'!$C$9:$C$88,'Input|Inflation'!$I$9:$I$88),"")</f>
        <v/>
      </c>
      <c r="S12" s="148" t="str">
        <f>IF(S10=S4,LOOKUP(EOMONTH(S4,0),'Input|Inflation'!$C$9:$C$88,'Input|Inflation'!$I$9:$I$88),"")</f>
        <v/>
      </c>
      <c r="T12" s="148" t="str">
        <f>IF(T10=T4,LOOKUP(EOMONTH(T4,0),'Input|Inflation'!$C$9:$C$88,'Input|Inflation'!$I$9:$I$88),"")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94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N16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1.1683501683501685</v>
      </c>
      <c r="N16" s="154">
        <f t="shared" si="3"/>
        <v>1.1927609427609427</v>
      </c>
      <c r="O16" s="154">
        <f t="shared" ref="O16:P16" si="4">IF(AND($C16&gt;O$14,ISNONTEXT($C16)),P16/(1+O$12),IF(AND($C16=O$14,O$14=O$4),1,IF(AND($C16&lt;O$14,O$14=O$4),N16*(1+O$12),0)))</f>
        <v>1.250013468013468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ref="J17:N17" si="6">IF(AND($C17&gt;J$14,ISNONTEXT($C17)),K17/(1+K$12),IF(AND($C17=J$14,J$14=J$4),1,IF(AND($C17&lt;J$14,J$14=J$4),I17*(1+J$12),0)))</f>
        <v>0.94210943695479776</v>
      </c>
      <c r="K17" s="154">
        <f t="shared" si="6"/>
        <v>1</v>
      </c>
      <c r="L17" s="154">
        <f t="shared" si="6"/>
        <v>1.0602696272799366</v>
      </c>
      <c r="M17" s="154">
        <f t="shared" si="6"/>
        <v>1.1007137192704204</v>
      </c>
      <c r="N17" s="154">
        <f t="shared" si="6"/>
        <v>1.1237113402061856</v>
      </c>
      <c r="O17" s="154">
        <f t="shared" ref="O17:P17" si="7">IF(AND($C17&gt;O$14,ISNONTEXT($C17)),P17/(1+O$12),IF(AND($C17=O$14,O$14=O$4),1,IF(AND($C17&lt;O$14,O$14=O$4),N17*(1+O$12),0)))</f>
        <v>1.1776494845360825</v>
      </c>
      <c r="P17" s="154">
        <f t="shared" si="7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ref="J18:N18" si="8">IF(AND($C18&gt;J$14,ISNONTEXT($C18)),K18/(1+K$12),IF(AND($C18=J$14,J$14=J$4),1,IF(AND($C18&lt;J$14,J$14=J$4),I18*(1+J$12),0)))</f>
        <v>0.88855646970830215</v>
      </c>
      <c r="K18" s="154">
        <f t="shared" si="8"/>
        <v>0.94315632011967088</v>
      </c>
      <c r="L18" s="154">
        <f t="shared" si="8"/>
        <v>1</v>
      </c>
      <c r="M18" s="154">
        <f t="shared" si="8"/>
        <v>1.0381451009723262</v>
      </c>
      <c r="N18" s="154">
        <f t="shared" si="8"/>
        <v>1.0598354525056095</v>
      </c>
      <c r="O18" s="154">
        <f t="shared" ref="O18:P18" si="9">IF(AND($C18&gt;O$14,ISNONTEXT($C18)),P18/(1+O$12),IF(AND($C18=O$14,O$14=O$4),1,IF(AND($C18&lt;O$14,O$14=O$4),N18*(1+O$12),0)))</f>
        <v>1.1107075542258789</v>
      </c>
      <c r="P18" s="154">
        <f t="shared" si="9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ref="J19:N19" si="10">IF(AND($C19&gt;J$14,ISNONTEXT($C19)),K19/(1+K$12),IF(AND($C19=J$14,J$14=J$4),1,IF(AND($C19&lt;J$14,J$14=J$4),I19*(1+J$12),0)))</f>
        <v>0.85590778097982712</v>
      </c>
      <c r="K19" s="154">
        <f t="shared" si="10"/>
        <v>0.90850144092219021</v>
      </c>
      <c r="L19" s="154">
        <f t="shared" si="10"/>
        <v>0.96325648414985587</v>
      </c>
      <c r="M19" s="154">
        <f t="shared" si="10"/>
        <v>1</v>
      </c>
      <c r="N19" s="154">
        <f t="shared" si="10"/>
        <v>1.0208933717579249</v>
      </c>
      <c r="O19" s="154">
        <f t="shared" ref="O19:P19" si="11">IF(AND($C19&gt;O$14,ISNONTEXT($C19)),P19/(1+O$12),IF(AND($C19=O$14,O$14=O$4),1,IF(AND($C19&lt;O$14,O$14=O$4),N19*(1+O$12),0)))</f>
        <v>1.0698962536023053</v>
      </c>
      <c r="P19" s="154">
        <f t="shared" si="11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>IF(AND($C20&gt;J$14,ISNONTEXT($C20)),K20/(1+K$12),IF(AND($C20=J$14,J$14=J$4),1,IF(AND($C20&lt;J$14,J$14=J$4),I20*(1+J$12),0)))</f>
        <v>0.83839096683133396</v>
      </c>
      <c r="K20" s="154">
        <f t="shared" ref="K20:N20" si="12">IF(AND($C20&gt;K$14,ISNONTEXT($C20)),L20/(1+L$12),IF(AND($C20=K$14,K$14=K$4),1,IF(AND($C20&lt;K$14,K$14=K$4),J20*(1+K$12),0)))</f>
        <v>0.88990825688073405</v>
      </c>
      <c r="L20" s="154">
        <f t="shared" si="12"/>
        <v>0.94354269583627393</v>
      </c>
      <c r="M20" s="154">
        <f t="shared" si="12"/>
        <v>0.97953422724064942</v>
      </c>
      <c r="N20" s="154">
        <f t="shared" si="12"/>
        <v>1</v>
      </c>
      <c r="O20" s="154">
        <f t="shared" ref="O20:P20" si="13">IF(AND($C20&gt;O$14,ISNONTEXT($C20)),P20/(1+O$12),IF(AND($C20=O$14,O$14=O$4),1,IF(AND($C20&lt;O$14,O$14=O$4),N20*(1+O$12),0)))</f>
        <v>1.048</v>
      </c>
      <c r="P20" s="154">
        <f t="shared" si="13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>IF(AND($C21&gt;J$14,ISNONTEXT($C21)),K21/(1+K$12),IF(AND($C21=J$14,J$14=J$4),1,IF(AND($C21&lt;J$14,J$14=J$4),I21*(1+J$12),0)))</f>
        <v>0.7999913805642499</v>
      </c>
      <c r="K21" s="154">
        <f t="shared" ref="K21:K22" si="14">IF(AND($C21&gt;K$14,ISNONTEXT($C21)),L21/(1+L$12),IF(AND($C21=K$14,K$14=K$4),1,IF(AND($C21&lt;K$14,K$14=K$4),J21*(1+K$12),0)))</f>
        <v>0.84914910007703626</v>
      </c>
      <c r="L21" s="154">
        <f t="shared" ref="L21:L22" si="15">IF(AND($C21&gt;L$14,ISNONTEXT($C21)),M21/(1+M$12),IF(AND($C21=L$14,L$14=L$4),1,IF(AND($C21&lt;L$14,L$14=L$4),K21*(1+L$12),0)))</f>
        <v>0.90032699984377274</v>
      </c>
      <c r="M21" s="154">
        <f t="shared" ref="M21:M22" si="16">IF(AND($C21&gt;M$14,ISNONTEXT($C21)),N21/(1+N$12),IF(AND($C21=M$14,M$14=M$4),1,IF(AND($C21&lt;M$14,M$14=M$4),L21*(1+M$12),0)))</f>
        <v>0.93467006416092491</v>
      </c>
      <c r="N21" s="154">
        <f t="shared" ref="N21:N22" si="17">IF(AND($C21&gt;N$14,ISNONTEXT($C21)),O21/(1+O$12),IF(AND($C21=N$14,N$14=N$4),1,IF(AND($C21&lt;N$14,N$14=N$4),M21*(1+N$12),0)))</f>
        <v>0.95419847328244267</v>
      </c>
      <c r="O21" s="154">
        <f t="shared" ref="O21:P21" si="18">IF(AND($C21&gt;O$14,ISNONTEXT($C21)),P21/(1+O$12),IF(AND($C21=O$14,O$14=O$4),1,IF(AND($C21&lt;O$14,O$14=O$4),N21*(1+O$12),0)))</f>
        <v>1</v>
      </c>
      <c r="P21" s="154">
        <f t="shared" si="18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>IF(AND($C22&gt;J$14,ISNONTEXT($C22)),K22/(1+K$12),IF(AND($C22=J$14,J$14=J$4),1,IF(AND($C22&lt;J$14,J$14=J$4),I22*(1+J$12),0)))</f>
        <v>0</v>
      </c>
      <c r="K22" s="154">
        <f t="shared" si="14"/>
        <v>0</v>
      </c>
      <c r="L22" s="154">
        <f t="shared" si="15"/>
        <v>0</v>
      </c>
      <c r="M22" s="154">
        <f t="shared" si="16"/>
        <v>0</v>
      </c>
      <c r="N22" s="154">
        <f t="shared" si="17"/>
        <v>0</v>
      </c>
      <c r="O22" s="154">
        <f t="shared" ref="O22:P22" si="19">IF(AND($C22&gt;O$14,ISNONTEXT($C22)),P22/(1+P$12),IF(AND($C22=O$14,O$14=O$4),1,IF(AND($C22&lt;O$14,O$14=O$4),N22*(1+O$12),0)))</f>
        <v>0</v>
      </c>
      <c r="P22" s="154">
        <f t="shared" si="19"/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20">IF(YEAR(J$4)&lt;=PPLastYear,J$4,"")</f>
        <v>44348</v>
      </c>
      <c r="K24" s="123">
        <f t="shared" si="20"/>
        <v>44713</v>
      </c>
      <c r="L24" s="123">
        <f t="shared" si="20"/>
        <v>45078</v>
      </c>
      <c r="M24" s="123">
        <f t="shared" si="20"/>
        <v>45444</v>
      </c>
      <c r="N24" s="123">
        <f t="shared" si="20"/>
        <v>45809</v>
      </c>
      <c r="O24" s="123">
        <f t="shared" si="20"/>
        <v>46174</v>
      </c>
      <c r="P24" s="123" t="str">
        <f t="shared" si="20"/>
        <v/>
      </c>
      <c r="Q24" s="123" t="str">
        <f t="shared" si="20"/>
        <v/>
      </c>
      <c r="R24" s="123" t="str">
        <f t="shared" si="20"/>
        <v/>
      </c>
      <c r="S24" s="123" t="str">
        <f t="shared" si="20"/>
        <v/>
      </c>
      <c r="T24" s="123" t="str">
        <f t="shared" si="20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21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22">IF(AND(K$24=K$4,ISNONTEXT($C26)),1/K16*(1+K$12)^0.5,0)</f>
        <v>0.970623220902322</v>
      </c>
      <c r="L26" s="154">
        <f t="shared" si="22"/>
        <v>0.9149412196307648</v>
      </c>
      <c r="M26" s="154">
        <f t="shared" si="22"/>
        <v>0.87207935204504272</v>
      </c>
      <c r="N26" s="154">
        <f t="shared" si="22"/>
        <v>0.8471040975075842</v>
      </c>
      <c r="O26" s="154">
        <f t="shared" si="22"/>
        <v>0.8189661452148036</v>
      </c>
      <c r="P26" s="154">
        <f t="shared" si="22"/>
        <v>0</v>
      </c>
      <c r="Q26" s="154">
        <f t="shared" si="22"/>
        <v>0</v>
      </c>
      <c r="R26" s="154">
        <f t="shared" si="22"/>
        <v>0</v>
      </c>
      <c r="S26" s="154">
        <f t="shared" si="22"/>
        <v>0</v>
      </c>
      <c r="T26" s="154">
        <f t="shared" si="22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21"/>
        <v>calculated</v>
      </c>
      <c r="E27" s="120" t="str">
        <f t="shared" ref="E27:E32" si="23">IF(ISNONTEXT($C27),"index","")</f>
        <v>index</v>
      </c>
      <c r="F27" s="120"/>
      <c r="G27" s="120"/>
      <c r="H27" s="120"/>
      <c r="I27" s="154"/>
      <c r="J27" s="154">
        <f t="shared" ref="J27:T27" si="24">IF(AND(J$24=J$4,ISNONTEXT($C27)),1/J17*(1+J$12)^0.5,0)</f>
        <v>1.0816676818608599</v>
      </c>
      <c r="K27" s="154">
        <f t="shared" si="24"/>
        <v>1.0302658935671953</v>
      </c>
      <c r="L27" s="154">
        <f t="shared" si="24"/>
        <v>0.97116235518046667</v>
      </c>
      <c r="M27" s="154">
        <f t="shared" si="24"/>
        <v>0.92566671963703606</v>
      </c>
      <c r="N27" s="154">
        <f t="shared" si="24"/>
        <v>0.89915679036789875</v>
      </c>
      <c r="O27" s="154">
        <f t="shared" si="24"/>
        <v>0.86928982248810382</v>
      </c>
      <c r="P27" s="154">
        <f t="shared" si="24"/>
        <v>0</v>
      </c>
      <c r="Q27" s="154">
        <f t="shared" si="24"/>
        <v>0</v>
      </c>
      <c r="R27" s="154">
        <f t="shared" si="24"/>
        <v>0</v>
      </c>
      <c r="S27" s="154">
        <f t="shared" si="24"/>
        <v>0</v>
      </c>
      <c r="T27" s="154">
        <f t="shared" si="24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21"/>
        <v>calculated</v>
      </c>
      <c r="E28" s="120" t="str">
        <f t="shared" si="23"/>
        <v>index</v>
      </c>
      <c r="F28" s="120"/>
      <c r="G28" s="120"/>
      <c r="H28" s="120"/>
      <c r="I28" s="154"/>
      <c r="J28" s="154">
        <f t="shared" ref="J28:T28" si="25">IF(AND(J$24=J$4,ISNONTEXT($C28)),1/J18*(1+J$12)^0.5,0)</f>
        <v>1.1468593898873669</v>
      </c>
      <c r="K28" s="154">
        <f t="shared" si="25"/>
        <v>1.0923596349717211</v>
      </c>
      <c r="L28" s="154">
        <f t="shared" si="25"/>
        <v>1.0296939483554988</v>
      </c>
      <c r="M28" s="154">
        <f t="shared" si="25"/>
        <v>0.98145630781500193</v>
      </c>
      <c r="N28" s="154">
        <f t="shared" si="25"/>
        <v>0.9533486349895961</v>
      </c>
      <c r="O28" s="154">
        <f t="shared" si="25"/>
        <v>0.92168159608770406</v>
      </c>
      <c r="P28" s="154">
        <f t="shared" si="25"/>
        <v>0</v>
      </c>
      <c r="Q28" s="154">
        <f t="shared" si="25"/>
        <v>0</v>
      </c>
      <c r="R28" s="154">
        <f t="shared" si="25"/>
        <v>0</v>
      </c>
      <c r="S28" s="154">
        <f t="shared" si="25"/>
        <v>0</v>
      </c>
      <c r="T28" s="154">
        <f t="shared" si="25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21"/>
        <v>calculated</v>
      </c>
      <c r="E29" s="120" t="str">
        <f t="shared" si="23"/>
        <v>index</v>
      </c>
      <c r="F29" s="120"/>
      <c r="G29" s="120"/>
      <c r="H29" s="120"/>
      <c r="I29" s="154"/>
      <c r="J29" s="154">
        <f t="shared" ref="J29:T29" si="26">IF(AND(J$24=J$4,ISNONTEXT($C29)),1/J19*(1+J$12)^0.5,0)</f>
        <v>1.1906064571156807</v>
      </c>
      <c r="K29" s="154">
        <f t="shared" si="26"/>
        <v>1.1340278035458107</v>
      </c>
      <c r="L29" s="154">
        <f t="shared" si="26"/>
        <v>1.0689717279861124</v>
      </c>
      <c r="M29" s="154">
        <f t="shared" si="26"/>
        <v>1.0188940577765315</v>
      </c>
      <c r="N29" s="154">
        <f t="shared" si="26"/>
        <v>0.98971421493310363</v>
      </c>
      <c r="O29" s="154">
        <f t="shared" si="26"/>
        <v>0.95683923363480439</v>
      </c>
      <c r="P29" s="154">
        <f t="shared" si="26"/>
        <v>0</v>
      </c>
      <c r="Q29" s="154">
        <f t="shared" si="26"/>
        <v>0</v>
      </c>
      <c r="R29" s="154">
        <f t="shared" si="26"/>
        <v>0</v>
      </c>
      <c r="S29" s="154">
        <f t="shared" si="26"/>
        <v>0</v>
      </c>
      <c r="T29" s="154">
        <f t="shared" si="26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21"/>
        <v>calculated</v>
      </c>
      <c r="E30" s="120" t="str">
        <f t="shared" si="23"/>
        <v>index</v>
      </c>
      <c r="F30" s="120"/>
      <c r="G30" s="120"/>
      <c r="H30" s="120"/>
      <c r="I30" s="154"/>
      <c r="J30" s="154">
        <f t="shared" ref="J30:T30" si="27">IF(AND(J$24=J$4,ISNONTEXT($C30)),1/J20*(1+J$12)^0.5,0)</f>
        <v>1.2154822404415846</v>
      </c>
      <c r="K30" s="154">
        <f t="shared" si="27"/>
        <v>1.1577214680291161</v>
      </c>
      <c r="L30" s="154">
        <f t="shared" si="27"/>
        <v>1.0913061516976377</v>
      </c>
      <c r="M30" s="154">
        <f t="shared" si="27"/>
        <v>1.0401821901075972</v>
      </c>
      <c r="N30" s="154">
        <f t="shared" si="27"/>
        <v>1.0103926819598037</v>
      </c>
      <c r="O30" s="154">
        <f t="shared" si="27"/>
        <v>0.97683083145570426</v>
      </c>
      <c r="P30" s="154">
        <f t="shared" si="27"/>
        <v>0</v>
      </c>
      <c r="Q30" s="154">
        <f t="shared" si="27"/>
        <v>0</v>
      </c>
      <c r="R30" s="154">
        <f t="shared" si="27"/>
        <v>0</v>
      </c>
      <c r="S30" s="154">
        <f t="shared" si="27"/>
        <v>0</v>
      </c>
      <c r="T30" s="154">
        <f t="shared" si="2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21"/>
        <v>calculated</v>
      </c>
      <c r="E31" s="120" t="str">
        <f t="shared" si="23"/>
        <v>index</v>
      </c>
      <c r="F31" s="120"/>
      <c r="G31" s="120"/>
      <c r="H31" s="120"/>
      <c r="I31" s="154"/>
      <c r="J31" s="154">
        <f t="shared" ref="J31:T32" si="28">IF(AND(J$24=J$4,ISNONTEXT($C31)),1/J21*(1+J$12)^0.5,0)</f>
        <v>1.2738253879827808</v>
      </c>
      <c r="K31" s="154">
        <f t="shared" si="28"/>
        <v>1.2132920984945139</v>
      </c>
      <c r="L31" s="154">
        <f t="shared" si="28"/>
        <v>1.1436888469791244</v>
      </c>
      <c r="M31" s="154">
        <f t="shared" si="28"/>
        <v>1.0901109352327618</v>
      </c>
      <c r="N31" s="154">
        <f t="shared" si="28"/>
        <v>1.0588915306938742</v>
      </c>
      <c r="O31" s="154">
        <f t="shared" si="28"/>
        <v>1.0237187113655781</v>
      </c>
      <c r="P31" s="154">
        <f t="shared" si="28"/>
        <v>0</v>
      </c>
      <c r="Q31" s="154">
        <f t="shared" si="28"/>
        <v>0</v>
      </c>
      <c r="R31" s="154">
        <f t="shared" si="28"/>
        <v>0</v>
      </c>
      <c r="S31" s="154">
        <f t="shared" si="28"/>
        <v>0</v>
      </c>
      <c r="T31" s="154">
        <f t="shared" si="28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21"/>
        <v/>
      </c>
      <c r="E32" s="120" t="str">
        <f t="shared" si="23"/>
        <v/>
      </c>
      <c r="F32" s="120"/>
      <c r="G32" s="120"/>
      <c r="H32" s="120"/>
      <c r="I32" s="154"/>
      <c r="J32" s="154">
        <f t="shared" si="28"/>
        <v>0</v>
      </c>
      <c r="K32" s="154">
        <f t="shared" si="28"/>
        <v>0</v>
      </c>
      <c r="L32" s="154">
        <f t="shared" si="28"/>
        <v>0</v>
      </c>
      <c r="M32" s="154">
        <f t="shared" si="28"/>
        <v>0</v>
      </c>
      <c r="N32" s="154">
        <f t="shared" si="28"/>
        <v>0</v>
      </c>
      <c r="O32" s="154">
        <f t="shared" si="28"/>
        <v>0</v>
      </c>
      <c r="P32" s="154">
        <f t="shared" si="28"/>
        <v>0</v>
      </c>
      <c r="Q32" s="154">
        <f t="shared" si="28"/>
        <v>0</v>
      </c>
      <c r="R32" s="154">
        <f t="shared" si="28"/>
        <v>0</v>
      </c>
      <c r="S32" s="154">
        <f t="shared" si="28"/>
        <v>0</v>
      </c>
      <c r="T32" s="154">
        <f t="shared" si="28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9">IF(YEAR(J$4)&gt;=FPFirstYear,IF(YEAR(J$4)&lt;=FPLastYear,J$4,""),"")</f>
        <v/>
      </c>
      <c r="K36" s="138" t="str">
        <f t="shared" si="29"/>
        <v/>
      </c>
      <c r="L36" s="138" t="str">
        <f t="shared" si="29"/>
        <v/>
      </c>
      <c r="M36" s="138" t="str">
        <f t="shared" si="29"/>
        <v/>
      </c>
      <c r="N36" s="138" t="str">
        <f t="shared" si="29"/>
        <v/>
      </c>
      <c r="O36" s="138" t="str">
        <f t="shared" si="29"/>
        <v/>
      </c>
      <c r="P36" s="138">
        <f t="shared" si="29"/>
        <v>46539</v>
      </c>
      <c r="Q36" s="138">
        <f t="shared" si="29"/>
        <v>46905</v>
      </c>
      <c r="R36" s="138">
        <f t="shared" si="29"/>
        <v>47270</v>
      </c>
      <c r="S36" s="138">
        <f t="shared" si="29"/>
        <v>47635</v>
      </c>
      <c r="T36" s="138">
        <f t="shared" si="29"/>
        <v>48000</v>
      </c>
      <c r="U36" s="138" t="str">
        <f t="shared" si="29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211</v>
      </c>
      <c r="D38" s="120" t="s">
        <v>96</v>
      </c>
      <c r="E38" s="120" t="str">
        <f t="shared" ref="E38:E45" si="30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8.9999999999999993E-3</v>
      </c>
      <c r="Q38" s="159">
        <v>8.9999999999999993E-3</v>
      </c>
      <c r="R38" s="159">
        <v>1.0999999999999999E-2</v>
      </c>
      <c r="S38" s="159">
        <v>1.2999999999999999E-2</v>
      </c>
      <c r="T38" s="159">
        <v>1.2999999999999999E-2</v>
      </c>
      <c r="U38" s="17"/>
      <c r="V38" s="17"/>
      <c r="W38" s="17"/>
    </row>
    <row r="39" spans="1:34" ht="11.25" customHeight="1" outlineLevel="1">
      <c r="A39" s="17"/>
      <c r="B39" s="17"/>
      <c r="C39" s="161" t="s">
        <v>210</v>
      </c>
      <c r="D39" s="120" t="s">
        <v>96</v>
      </c>
      <c r="E39" s="120" t="str">
        <f t="shared" si="30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3.2611068341632521E-3</v>
      </c>
      <c r="Q39" s="160">
        <v>7.2355957756888856E-3</v>
      </c>
      <c r="R39" s="160">
        <v>8.4987632532935731E-3</v>
      </c>
      <c r="S39" s="160">
        <v>8.7211063749346174E-3</v>
      </c>
      <c r="T39" s="160">
        <v>9.1410375757572382E-3</v>
      </c>
      <c r="U39" s="17"/>
      <c r="V39" s="17"/>
      <c r="W39" s="17"/>
    </row>
    <row r="40" spans="1:34" ht="11.25" customHeight="1" outlineLevel="1">
      <c r="A40" s="17"/>
      <c r="B40" s="17"/>
      <c r="C40" s="127" t="s">
        <v>203</v>
      </c>
      <c r="D40" s="120" t="s">
        <v>96</v>
      </c>
      <c r="E40" s="120" t="str">
        <f t="shared" si="30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6.1305534170816257E-3</v>
      </c>
      <c r="Q40" s="160">
        <f t="shared" ref="Q40:T40" si="31">AVERAGE(Q38:Q39)</f>
        <v>8.1177978878444433E-3</v>
      </c>
      <c r="R40" s="160">
        <f t="shared" si="31"/>
        <v>9.7493816266467862E-3</v>
      </c>
      <c r="S40" s="160">
        <f t="shared" si="31"/>
        <v>1.0860553187467308E-2</v>
      </c>
      <c r="T40" s="160">
        <f t="shared" si="31"/>
        <v>1.1070518787878618E-2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96</v>
      </c>
      <c r="E41" s="120" t="str">
        <f t="shared" si="30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/>
      <c r="D42" s="120" t="s">
        <v>96</v>
      </c>
      <c r="E42" s="120" t="str">
        <f t="shared" si="30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/>
      <c r="Q42" s="160"/>
      <c r="R42" s="160"/>
      <c r="S42" s="160"/>
      <c r="T42" s="160"/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96</v>
      </c>
      <c r="E43" s="120" t="str">
        <f t="shared" si="30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96</v>
      </c>
      <c r="E44" s="120" t="str">
        <f t="shared" si="30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96</v>
      </c>
      <c r="E45" s="120" t="str">
        <f t="shared" si="30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93</v>
      </c>
      <c r="E47" s="120" t="s">
        <v>28</v>
      </c>
      <c r="F47" s="120" t="s">
        <v>36</v>
      </c>
      <c r="G47" s="120"/>
      <c r="H47" s="120"/>
      <c r="I47" s="120"/>
      <c r="J47" s="165" t="str">
        <f t="shared" ref="J47:S47" si="32">IF(J36=J4,IF(COUNTA($C38:$C45)=COUNT(J38:J45),"Ok","Check"),"")</f>
        <v/>
      </c>
      <c r="K47" s="165" t="str">
        <f t="shared" si="32"/>
        <v/>
      </c>
      <c r="L47" s="165" t="str">
        <f t="shared" si="32"/>
        <v/>
      </c>
      <c r="M47" s="165" t="str">
        <f t="shared" si="32"/>
        <v/>
      </c>
      <c r="N47" s="165" t="str">
        <f t="shared" si="32"/>
        <v/>
      </c>
      <c r="O47" s="165" t="str">
        <f t="shared" si="32"/>
        <v/>
      </c>
      <c r="P47" s="165" t="str">
        <f t="shared" si="32"/>
        <v>Ok</v>
      </c>
      <c r="Q47" s="165" t="str">
        <f t="shared" si="32"/>
        <v>Ok</v>
      </c>
      <c r="R47" s="165" t="str">
        <f t="shared" si="32"/>
        <v>Ok</v>
      </c>
      <c r="S47" s="165" t="str">
        <f t="shared" si="32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33">IF(YEAR(J$4)&gt;=FPFirstYear,IF(YEAR(J$4)&lt;=FPLastYear,J$4,""),"")</f>
        <v/>
      </c>
      <c r="K49" s="138" t="str">
        <f t="shared" si="33"/>
        <v/>
      </c>
      <c r="L49" s="138" t="str">
        <f t="shared" si="33"/>
        <v/>
      </c>
      <c r="M49" s="138" t="str">
        <f t="shared" si="33"/>
        <v/>
      </c>
      <c r="N49" s="138" t="str">
        <f t="shared" si="33"/>
        <v/>
      </c>
      <c r="O49" s="138" t="str">
        <f t="shared" si="33"/>
        <v/>
      </c>
      <c r="P49" s="138">
        <f t="shared" si="33"/>
        <v>46539</v>
      </c>
      <c r="Q49" s="138">
        <f t="shared" si="33"/>
        <v>46905</v>
      </c>
      <c r="R49" s="138">
        <f t="shared" si="33"/>
        <v>47270</v>
      </c>
      <c r="S49" s="138">
        <f t="shared" si="33"/>
        <v>47635</v>
      </c>
      <c r="T49" s="138">
        <f t="shared" si="33"/>
        <v>48000</v>
      </c>
      <c r="U49" s="138" t="str">
        <f t="shared" si="33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34">C38</f>
        <v>Oxford Economics</v>
      </c>
      <c r="D51" s="120" t="s">
        <v>96</v>
      </c>
      <c r="E51" s="120" t="str">
        <f t="shared" ref="E51:E58" si="35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34"/>
        <v>WPI - DAE</v>
      </c>
      <c r="D52" s="120" t="s">
        <v>96</v>
      </c>
      <c r="E52" s="120" t="str">
        <f t="shared" si="35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34"/>
        <v>Average</v>
      </c>
      <c r="D53" s="120" t="s">
        <v>96</v>
      </c>
      <c r="E53" s="120" t="str">
        <f t="shared" si="35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>
        <v>0.62</v>
      </c>
      <c r="Q53" s="143">
        <v>0.62</v>
      </c>
      <c r="R53" s="143">
        <v>0.62</v>
      </c>
      <c r="S53" s="143">
        <v>0.62</v>
      </c>
      <c r="T53" s="143">
        <v>0.62</v>
      </c>
      <c r="U53" s="168"/>
      <c r="V53" s="17"/>
      <c r="W53" s="17"/>
    </row>
    <row r="54" spans="1:34" ht="11.25" customHeight="1" outlineLevel="1">
      <c r="A54" s="17"/>
      <c r="B54" s="17"/>
      <c r="C54" s="167">
        <f t="shared" si="34"/>
        <v>0</v>
      </c>
      <c r="D54" s="120" t="s">
        <v>96</v>
      </c>
      <c r="E54" s="120" t="str">
        <f t="shared" si="35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>
        <f t="shared" si="34"/>
        <v>0</v>
      </c>
      <c r="D55" s="120" t="s">
        <v>96</v>
      </c>
      <c r="E55" s="120" t="str">
        <f t="shared" si="35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/>
      <c r="Q55" s="169"/>
      <c r="R55" s="169"/>
      <c r="S55" s="169"/>
      <c r="T55" s="169"/>
      <c r="U55" s="168"/>
      <c r="V55" s="17"/>
      <c r="W55" s="17"/>
    </row>
    <row r="56" spans="1:34" ht="11.25" customHeight="1" outlineLevel="1">
      <c r="A56" s="17"/>
      <c r="B56" s="17"/>
      <c r="C56" s="167">
        <f t="shared" si="34"/>
        <v>0</v>
      </c>
      <c r="D56" s="120" t="s">
        <v>96</v>
      </c>
      <c r="E56" s="120" t="str">
        <f t="shared" si="35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34"/>
        <v>0</v>
      </c>
      <c r="D57" s="120" t="s">
        <v>96</v>
      </c>
      <c r="E57" s="120" t="str">
        <f t="shared" si="35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34"/>
        <v>CPI</v>
      </c>
      <c r="D58" s="120" t="s">
        <v>96</v>
      </c>
      <c r="E58" s="120" t="str">
        <f t="shared" si="35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0.38</v>
      </c>
      <c r="Q58" s="143">
        <v>0.38</v>
      </c>
      <c r="R58" s="143">
        <v>0.38</v>
      </c>
      <c r="S58" s="143">
        <v>0.38</v>
      </c>
      <c r="T58" s="143">
        <v>0.38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20" t="s">
        <v>93</v>
      </c>
      <c r="E60" s="120" t="s">
        <v>28</v>
      </c>
      <c r="F60" s="120" t="s">
        <v>36</v>
      </c>
      <c r="G60" s="120"/>
      <c r="H60" s="120"/>
      <c r="I60" s="120"/>
      <c r="J60" s="165" t="str">
        <f t="shared" ref="J60:S60" si="36">IF(J49=J$4,IF(SUM(J51:J58)=1,"Ok","Check"),"")</f>
        <v/>
      </c>
      <c r="K60" s="165" t="str">
        <f t="shared" si="36"/>
        <v/>
      </c>
      <c r="L60" s="165" t="str">
        <f t="shared" si="36"/>
        <v/>
      </c>
      <c r="M60" s="165" t="str">
        <f t="shared" si="36"/>
        <v/>
      </c>
      <c r="N60" s="165" t="str">
        <f t="shared" si="36"/>
        <v/>
      </c>
      <c r="O60" s="165" t="str">
        <f t="shared" si="36"/>
        <v/>
      </c>
      <c r="P60" s="165" t="str">
        <f t="shared" si="36"/>
        <v>Ok</v>
      </c>
      <c r="Q60" s="165" t="str">
        <f t="shared" si="36"/>
        <v>Ok</v>
      </c>
      <c r="R60" s="165" t="str">
        <f t="shared" si="36"/>
        <v>Ok</v>
      </c>
      <c r="S60" s="165" t="str">
        <f t="shared" si="36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37">IF(YEAR(J$4)&gt;=PPLastYear,IF(YEAR(J$4)&lt;=FPLastYear,J$4,""),"")</f>
        <v/>
      </c>
      <c r="K64" s="138" t="str">
        <f t="shared" si="37"/>
        <v/>
      </c>
      <c r="L64" s="138" t="str">
        <f t="shared" si="37"/>
        <v/>
      </c>
      <c r="M64" s="138" t="str">
        <f t="shared" si="37"/>
        <v/>
      </c>
      <c r="N64" s="138" t="str">
        <f t="shared" si="37"/>
        <v/>
      </c>
      <c r="O64" s="138">
        <f t="shared" si="37"/>
        <v>46174</v>
      </c>
      <c r="P64" s="138">
        <f t="shared" si="37"/>
        <v>46539</v>
      </c>
      <c r="Q64" s="138">
        <f t="shared" si="37"/>
        <v>46905</v>
      </c>
      <c r="R64" s="138">
        <f t="shared" si="37"/>
        <v>47270</v>
      </c>
      <c r="S64" s="138">
        <f t="shared" si="37"/>
        <v>47635</v>
      </c>
      <c r="T64" s="138">
        <f t="shared" si="37"/>
        <v>48000</v>
      </c>
      <c r="U64" s="138" t="str">
        <f t="shared" si="37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173</v>
      </c>
      <c r="D66" s="120" t="s">
        <v>96</v>
      </c>
      <c r="E66" s="120" t="s">
        <v>18</v>
      </c>
      <c r="F66" s="120" t="s">
        <v>36</v>
      </c>
      <c r="G66" s="121"/>
      <c r="H66" s="121"/>
      <c r="I66" s="120"/>
      <c r="J66" s="157"/>
      <c r="K66" s="170"/>
      <c r="L66" s="170"/>
      <c r="M66" s="170"/>
      <c r="N66" s="170"/>
      <c r="O66" s="141">
        <v>490484.0483133333</v>
      </c>
      <c r="P66" s="141">
        <v>489682.4105120587</v>
      </c>
      <c r="Q66" s="141">
        <v>485966.54247306503</v>
      </c>
      <c r="R66" s="141">
        <v>484889.69622208993</v>
      </c>
      <c r="S66" s="141">
        <v>481295.72487883165</v>
      </c>
      <c r="T66" s="141">
        <v>462204.93079726706</v>
      </c>
      <c r="U66" s="141"/>
      <c r="V66" s="17"/>
      <c r="W66" s="17"/>
    </row>
    <row r="67" spans="1:24" outlineLevel="1">
      <c r="A67" s="17"/>
      <c r="B67" s="17"/>
      <c r="C67" s="127" t="s">
        <v>212</v>
      </c>
      <c r="D67" s="120" t="s">
        <v>96</v>
      </c>
      <c r="E67" s="120" t="s">
        <v>18</v>
      </c>
      <c r="F67" s="120" t="s">
        <v>36</v>
      </c>
      <c r="G67" s="121"/>
      <c r="H67" s="121"/>
      <c r="I67" s="120"/>
      <c r="J67" s="157"/>
      <c r="K67" s="170"/>
      <c r="L67" s="170"/>
      <c r="M67" s="170"/>
      <c r="N67" s="170"/>
      <c r="O67" s="141">
        <v>8502.7474054092236</v>
      </c>
      <c r="P67" s="141">
        <v>8542.1538873275495</v>
      </c>
      <c r="Q67" s="141">
        <v>8580.4731860204301</v>
      </c>
      <c r="R67" s="141">
        <v>8611.565918736962</v>
      </c>
      <c r="S67" s="141">
        <v>8643.0981354618962</v>
      </c>
      <c r="T67" s="141">
        <v>8670.8865940075757</v>
      </c>
      <c r="U67" s="141"/>
      <c r="V67" s="17"/>
      <c r="W67" s="17"/>
    </row>
    <row r="68" spans="1:24" outlineLevel="1">
      <c r="A68" s="17"/>
      <c r="B68" s="17"/>
      <c r="C68" s="127"/>
      <c r="D68" s="120" t="s">
        <v>96</v>
      </c>
      <c r="E68" s="120" t="s">
        <v>18</v>
      </c>
      <c r="F68" s="120" t="s">
        <v>36</v>
      </c>
      <c r="G68" s="121"/>
      <c r="H68" s="121"/>
      <c r="I68" s="120"/>
      <c r="J68" s="157"/>
      <c r="K68" s="170"/>
      <c r="L68" s="170"/>
      <c r="M68" s="170"/>
      <c r="N68" s="170"/>
      <c r="O68" s="141"/>
      <c r="P68" s="141"/>
      <c r="Q68" s="141"/>
      <c r="R68" s="141"/>
      <c r="S68" s="141"/>
      <c r="T68" s="141"/>
      <c r="U68" s="141"/>
      <c r="V68" s="17"/>
      <c r="W68" s="17"/>
    </row>
    <row r="69" spans="1:24" outlineLevel="1">
      <c r="A69" s="17"/>
      <c r="B69" s="17"/>
      <c r="C69" s="127"/>
      <c r="D69" s="120" t="s">
        <v>96</v>
      </c>
      <c r="E69" s="120" t="s">
        <v>18</v>
      </c>
      <c r="F69" s="120" t="s">
        <v>36</v>
      </c>
      <c r="G69" s="121"/>
      <c r="H69" s="121"/>
      <c r="I69" s="120"/>
      <c r="J69" s="157"/>
      <c r="K69" s="170"/>
      <c r="L69" s="170"/>
      <c r="M69" s="170"/>
      <c r="N69" s="170"/>
      <c r="O69" s="141"/>
      <c r="P69" s="141"/>
      <c r="Q69" s="141"/>
      <c r="R69" s="141"/>
      <c r="S69" s="141"/>
      <c r="T69" s="141"/>
      <c r="U69" s="141"/>
      <c r="V69" s="17"/>
      <c r="W69" s="17"/>
    </row>
    <row r="70" spans="1:24" outlineLevel="1">
      <c r="A70" s="17"/>
      <c r="B70" s="17"/>
      <c r="C70" s="127"/>
      <c r="D70" s="120" t="s">
        <v>96</v>
      </c>
      <c r="E70" s="120" t="s">
        <v>18</v>
      </c>
      <c r="F70" s="120" t="s">
        <v>36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96</v>
      </c>
      <c r="E71" s="120" t="s">
        <v>18</v>
      </c>
      <c r="F71" s="120" t="s">
        <v>36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20" t="s">
        <v>93</v>
      </c>
      <c r="E73" s="120" t="s">
        <v>28</v>
      </c>
      <c r="F73" s="120" t="s">
        <v>36</v>
      </c>
      <c r="G73" s="120"/>
      <c r="H73" s="120"/>
      <c r="I73" s="120"/>
      <c r="J73" s="165" t="str">
        <f t="shared" ref="J73:S73" si="38">IF(J64=J$4,IF(COUNTA($C66:$C71)=COUNT(J66:J71),"Ok","Check"),"")</f>
        <v/>
      </c>
      <c r="K73" s="165" t="str">
        <f t="shared" si="38"/>
        <v/>
      </c>
      <c r="L73" s="165" t="str">
        <f t="shared" si="38"/>
        <v/>
      </c>
      <c r="M73" s="165" t="str">
        <f t="shared" si="38"/>
        <v/>
      </c>
      <c r="N73" s="165" t="str">
        <f t="shared" si="38"/>
        <v/>
      </c>
      <c r="O73" s="165" t="str">
        <f t="shared" si="38"/>
        <v>Ok</v>
      </c>
      <c r="P73" s="165" t="str">
        <f t="shared" si="38"/>
        <v>Ok</v>
      </c>
      <c r="Q73" s="165" t="str">
        <f t="shared" si="38"/>
        <v>Ok</v>
      </c>
      <c r="R73" s="165" t="str">
        <f t="shared" si="38"/>
        <v>Ok</v>
      </c>
      <c r="S73" s="165" t="str">
        <f t="shared" si="38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39">IF(YEAR(J$4)&gt;=FPFirstYear,IF(YEAR(J$4)&lt;=FPLastYear,J$4,""),"")</f>
        <v/>
      </c>
      <c r="K75" s="138" t="str">
        <f t="shared" si="39"/>
        <v/>
      </c>
      <c r="L75" s="138" t="str">
        <f t="shared" si="39"/>
        <v/>
      </c>
      <c r="M75" s="138" t="str">
        <f t="shared" si="39"/>
        <v/>
      </c>
      <c r="N75" s="138" t="str">
        <f t="shared" si="39"/>
        <v/>
      </c>
      <c r="O75" s="138" t="str">
        <f t="shared" si="39"/>
        <v/>
      </c>
      <c r="P75" s="138">
        <f t="shared" si="39"/>
        <v>46539</v>
      </c>
      <c r="Q75" s="138">
        <f t="shared" si="39"/>
        <v>46905</v>
      </c>
      <c r="R75" s="138">
        <f t="shared" si="39"/>
        <v>47270</v>
      </c>
      <c r="S75" s="138">
        <f t="shared" si="39"/>
        <v>47635</v>
      </c>
      <c r="T75" s="138">
        <f t="shared" si="39"/>
        <v>48000</v>
      </c>
      <c r="U75" s="138" t="str">
        <f t="shared" si="3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Customer numbers (#)</v>
      </c>
      <c r="D77" s="120" t="s">
        <v>93</v>
      </c>
      <c r="E77" s="120" t="s">
        <v>18</v>
      </c>
      <c r="F77" s="120" t="s">
        <v>36</v>
      </c>
      <c r="G77" s="121"/>
      <c r="H77" s="121"/>
      <c r="I77" s="120"/>
      <c r="J77" s="171" t="str">
        <f t="shared" ref="J77:M77" si="40">IF(ISBLANK(I66),"",IF(ISBLANK(J66),"",LN(J66)-LN(I66)))</f>
        <v/>
      </c>
      <c r="K77" s="171" t="str">
        <f t="shared" si="40"/>
        <v/>
      </c>
      <c r="L77" s="171" t="str">
        <f t="shared" si="40"/>
        <v/>
      </c>
      <c r="M77" s="171" t="str">
        <f t="shared" si="40"/>
        <v/>
      </c>
      <c r="N77" s="171" t="str">
        <f>IF(ISBLANK(M66),"",IF(ISBLANK(N66),"",LN(N66)-LN(M66)))</f>
        <v/>
      </c>
      <c r="O77" s="171" t="str">
        <f t="shared" ref="O77:U77" si="41">IF(ISBLANK(N66),"",IF(ISBLANK(O66),"",LN(O66)-LN(N66)))</f>
        <v/>
      </c>
      <c r="P77" s="171">
        <f t="shared" si="41"/>
        <v>-1.6357180411432637E-3</v>
      </c>
      <c r="Q77" s="171">
        <f t="shared" si="41"/>
        <v>-7.6172602751238827E-3</v>
      </c>
      <c r="R77" s="171">
        <f t="shared" si="41"/>
        <v>-2.2183442813812349E-3</v>
      </c>
      <c r="S77" s="171">
        <f t="shared" si="41"/>
        <v>-7.4395407775291744E-3</v>
      </c>
      <c r="T77" s="171">
        <f t="shared" si="41"/>
        <v>-4.047352793729786E-2</v>
      </c>
      <c r="U77" s="171" t="str">
        <f t="shared" si="41"/>
        <v/>
      </c>
      <c r="V77" s="17"/>
      <c r="W77" s="17"/>
    </row>
    <row r="78" spans="1:24" outlineLevel="1">
      <c r="A78" s="17"/>
      <c r="B78" s="17"/>
      <c r="C78" s="167" t="str">
        <f t="shared" ref="C78:C82" si="42">C67</f>
        <v>Mains Length (km)</v>
      </c>
      <c r="D78" s="120" t="s">
        <v>93</v>
      </c>
      <c r="E78" s="120" t="s">
        <v>18</v>
      </c>
      <c r="F78" s="120" t="s">
        <v>36</v>
      </c>
      <c r="G78" s="121"/>
      <c r="H78" s="121"/>
      <c r="I78" s="120"/>
      <c r="J78" s="171" t="str">
        <f t="shared" ref="J78:U78" si="43">IF(ISBLANK(I67),"",IF(ISBLANK(J67),"",LN(J67)-LN(I67)))</f>
        <v/>
      </c>
      <c r="K78" s="171" t="str">
        <f t="shared" si="43"/>
        <v/>
      </c>
      <c r="L78" s="171" t="str">
        <f t="shared" si="43"/>
        <v/>
      </c>
      <c r="M78" s="171" t="str">
        <f t="shared" si="43"/>
        <v/>
      </c>
      <c r="N78" s="171" t="str">
        <f t="shared" si="43"/>
        <v/>
      </c>
      <c r="O78" s="171" t="str">
        <f t="shared" si="43"/>
        <v/>
      </c>
      <c r="P78" s="171">
        <f t="shared" si="43"/>
        <v>4.623852194947986E-3</v>
      </c>
      <c r="Q78" s="171">
        <f t="shared" si="43"/>
        <v>4.4758742336696855E-3</v>
      </c>
      <c r="R78" s="171">
        <f t="shared" si="43"/>
        <v>3.6171121327974731E-3</v>
      </c>
      <c r="S78" s="171">
        <f t="shared" si="43"/>
        <v>3.6549250368178576E-3</v>
      </c>
      <c r="T78" s="171">
        <f t="shared" si="43"/>
        <v>3.2099465074431066E-3</v>
      </c>
      <c r="U78" s="171" t="str">
        <f t="shared" si="43"/>
        <v/>
      </c>
      <c r="V78" s="17"/>
      <c r="W78" s="17"/>
    </row>
    <row r="79" spans="1:24" outlineLevel="1">
      <c r="A79" s="17"/>
      <c r="B79" s="17"/>
      <c r="C79" s="167">
        <f t="shared" si="42"/>
        <v>0</v>
      </c>
      <c r="D79" s="120" t="s">
        <v>93</v>
      </c>
      <c r="E79" s="120" t="s">
        <v>18</v>
      </c>
      <c r="F79" s="120" t="s">
        <v>36</v>
      </c>
      <c r="G79" s="121"/>
      <c r="H79" s="121"/>
      <c r="I79" s="120"/>
      <c r="J79" s="171" t="str">
        <f t="shared" ref="J79:U79" si="44">IF(ISBLANK(I68),"",IF(ISBLANK(J68),"",LN(J68)-LN(I68)))</f>
        <v/>
      </c>
      <c r="K79" s="171" t="str">
        <f t="shared" si="44"/>
        <v/>
      </c>
      <c r="L79" s="171" t="str">
        <f t="shared" si="44"/>
        <v/>
      </c>
      <c r="M79" s="171" t="str">
        <f t="shared" si="44"/>
        <v/>
      </c>
      <c r="N79" s="171" t="str">
        <f t="shared" si="44"/>
        <v/>
      </c>
      <c r="O79" s="171" t="str">
        <f t="shared" si="44"/>
        <v/>
      </c>
      <c r="P79" s="171" t="str">
        <f t="shared" si="44"/>
        <v/>
      </c>
      <c r="Q79" s="171" t="str">
        <f t="shared" si="44"/>
        <v/>
      </c>
      <c r="R79" s="171" t="str">
        <f t="shared" si="44"/>
        <v/>
      </c>
      <c r="S79" s="171" t="str">
        <f t="shared" si="44"/>
        <v/>
      </c>
      <c r="T79" s="171" t="str">
        <f t="shared" si="44"/>
        <v/>
      </c>
      <c r="U79" s="171" t="str">
        <f t="shared" si="44"/>
        <v/>
      </c>
      <c r="V79" s="17"/>
      <c r="W79" s="17"/>
    </row>
    <row r="80" spans="1:24" outlineLevel="1">
      <c r="A80" s="17"/>
      <c r="B80" s="17"/>
      <c r="C80" s="167">
        <f t="shared" si="42"/>
        <v>0</v>
      </c>
      <c r="D80" s="120" t="s">
        <v>93</v>
      </c>
      <c r="E80" s="120" t="s">
        <v>18</v>
      </c>
      <c r="F80" s="120" t="s">
        <v>36</v>
      </c>
      <c r="G80" s="121"/>
      <c r="H80" s="121"/>
      <c r="I80" s="120"/>
      <c r="J80" s="171" t="str">
        <f t="shared" ref="J80:U80" si="45">IF(ISBLANK(I69),"",IF(ISBLANK(J69),"",LN(J69)-LN(I69)))</f>
        <v/>
      </c>
      <c r="K80" s="171" t="str">
        <f t="shared" si="45"/>
        <v/>
      </c>
      <c r="L80" s="171" t="str">
        <f t="shared" si="45"/>
        <v/>
      </c>
      <c r="M80" s="171" t="str">
        <f t="shared" si="45"/>
        <v/>
      </c>
      <c r="N80" s="171" t="str">
        <f t="shared" si="45"/>
        <v/>
      </c>
      <c r="O80" s="171" t="str">
        <f t="shared" si="45"/>
        <v/>
      </c>
      <c r="P80" s="171" t="str">
        <f t="shared" si="45"/>
        <v/>
      </c>
      <c r="Q80" s="171" t="str">
        <f t="shared" si="45"/>
        <v/>
      </c>
      <c r="R80" s="171" t="str">
        <f t="shared" si="45"/>
        <v/>
      </c>
      <c r="S80" s="171" t="str">
        <f t="shared" si="45"/>
        <v/>
      </c>
      <c r="T80" s="171" t="str">
        <f t="shared" si="45"/>
        <v/>
      </c>
      <c r="U80" s="171" t="str">
        <f t="shared" si="45"/>
        <v/>
      </c>
      <c r="V80" s="17"/>
      <c r="W80" s="17"/>
    </row>
    <row r="81" spans="1:24" outlineLevel="1">
      <c r="A81" s="17"/>
      <c r="B81" s="17"/>
      <c r="C81" s="167">
        <f t="shared" si="42"/>
        <v>0</v>
      </c>
      <c r="D81" s="120" t="s">
        <v>93</v>
      </c>
      <c r="E81" s="120" t="s">
        <v>18</v>
      </c>
      <c r="F81" s="120" t="s">
        <v>36</v>
      </c>
      <c r="G81" s="121"/>
      <c r="H81" s="121"/>
      <c r="I81" s="120"/>
      <c r="J81" s="171" t="str">
        <f t="shared" ref="J81:T81" si="46">IF(ISBLANK(I70),"",IF(ISBLANK(J70),"",LN(J70)-LN(I70)))</f>
        <v/>
      </c>
      <c r="K81" s="171" t="str">
        <f t="shared" si="46"/>
        <v/>
      </c>
      <c r="L81" s="171" t="str">
        <f t="shared" si="46"/>
        <v/>
      </c>
      <c r="M81" s="171" t="str">
        <f t="shared" si="46"/>
        <v/>
      </c>
      <c r="N81" s="171" t="str">
        <f t="shared" si="46"/>
        <v/>
      </c>
      <c r="O81" s="171" t="str">
        <f t="shared" si="46"/>
        <v/>
      </c>
      <c r="P81" s="171" t="str">
        <f t="shared" si="46"/>
        <v/>
      </c>
      <c r="Q81" s="171" t="str">
        <f t="shared" si="46"/>
        <v/>
      </c>
      <c r="R81" s="171" t="str">
        <f t="shared" si="46"/>
        <v/>
      </c>
      <c r="S81" s="171" t="str">
        <f t="shared" si="46"/>
        <v/>
      </c>
      <c r="T81" s="171" t="str">
        <f t="shared" si="46"/>
        <v/>
      </c>
      <c r="U81" s="171"/>
      <c r="V81" s="17"/>
      <c r="W81" s="17"/>
    </row>
    <row r="82" spans="1:24" outlineLevel="1">
      <c r="A82" s="17"/>
      <c r="B82" s="17"/>
      <c r="C82" s="167">
        <f t="shared" si="42"/>
        <v>0</v>
      </c>
      <c r="D82" s="120" t="s">
        <v>93</v>
      </c>
      <c r="E82" s="120" t="s">
        <v>18</v>
      </c>
      <c r="F82" s="120" t="s">
        <v>36</v>
      </c>
      <c r="G82" s="121"/>
      <c r="H82" s="121"/>
      <c r="I82" s="120"/>
      <c r="J82" s="171" t="str">
        <f t="shared" ref="J82:T82" si="47">IF(ISBLANK(I71),"",IF(ISBLANK(J71),"",LN(J71)-LN(I71)))</f>
        <v/>
      </c>
      <c r="K82" s="171" t="str">
        <f t="shared" si="47"/>
        <v/>
      </c>
      <c r="L82" s="171" t="str">
        <f t="shared" si="47"/>
        <v/>
      </c>
      <c r="M82" s="171" t="str">
        <f t="shared" si="47"/>
        <v/>
      </c>
      <c r="N82" s="171" t="str">
        <f t="shared" si="47"/>
        <v/>
      </c>
      <c r="O82" s="171" t="str">
        <f t="shared" si="47"/>
        <v/>
      </c>
      <c r="P82" s="171" t="str">
        <f t="shared" si="47"/>
        <v/>
      </c>
      <c r="Q82" s="171" t="str">
        <f t="shared" si="47"/>
        <v/>
      </c>
      <c r="R82" s="171" t="str">
        <f t="shared" si="47"/>
        <v/>
      </c>
      <c r="S82" s="171" t="str">
        <f t="shared" si="47"/>
        <v/>
      </c>
      <c r="T82" s="171" t="str">
        <f t="shared" si="47"/>
        <v/>
      </c>
      <c r="U82" s="171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184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2" t="s">
        <v>220</v>
      </c>
      <c r="K84" s="172"/>
      <c r="L84" s="172"/>
      <c r="M84" s="172"/>
      <c r="N84" s="126"/>
      <c r="O84" s="188" t="s">
        <v>205</v>
      </c>
      <c r="P84" s="17"/>
      <c r="Q84" s="17"/>
      <c r="R84" s="17"/>
      <c r="S84" s="17"/>
      <c r="T84" s="17"/>
      <c r="U84" s="17"/>
      <c r="V84" s="17"/>
      <c r="W84" s="17"/>
    </row>
    <row r="85" spans="1:24" outlineLevel="1">
      <c r="A85" s="17"/>
      <c r="B85" s="17"/>
      <c r="C85" s="167" t="str">
        <f>C66</f>
        <v>Customer numbers (#)</v>
      </c>
      <c r="D85" s="120" t="s">
        <v>93</v>
      </c>
      <c r="E85" s="120" t="str">
        <f t="shared" ref="E85:E90" si="48">percent</f>
        <v>Per cent</v>
      </c>
      <c r="F85" s="120" t="s">
        <v>36</v>
      </c>
      <c r="G85" s="121"/>
      <c r="H85" s="121"/>
      <c r="I85" s="120"/>
      <c r="J85" s="187">
        <v>0.49399999999999999</v>
      </c>
      <c r="K85" s="187"/>
      <c r="L85" s="187"/>
      <c r="M85" s="187"/>
      <c r="N85" s="173"/>
      <c r="O85" s="173"/>
      <c r="P85" s="173"/>
      <c r="Q85" s="173"/>
      <c r="R85" s="173"/>
      <c r="S85" s="173"/>
      <c r="T85" s="173"/>
      <c r="U85" s="173"/>
      <c r="V85" s="17"/>
      <c r="W85" s="17"/>
    </row>
    <row r="86" spans="1:24" outlineLevel="1">
      <c r="A86" s="17"/>
      <c r="B86" s="17"/>
      <c r="C86" s="167" t="str">
        <f>C67</f>
        <v>Mains Length (km)</v>
      </c>
      <c r="D86" s="120" t="s">
        <v>93</v>
      </c>
      <c r="E86" s="120" t="str">
        <f t="shared" si="48"/>
        <v>Per cent</v>
      </c>
      <c r="F86" s="120" t="s">
        <v>36</v>
      </c>
      <c r="G86" s="121"/>
      <c r="H86" s="121"/>
      <c r="I86" s="120"/>
      <c r="J86" s="187">
        <v>0.50600000000000001</v>
      </c>
      <c r="K86" s="187"/>
      <c r="L86" s="187"/>
      <c r="M86" s="187"/>
      <c r="N86" s="173"/>
      <c r="O86" s="173"/>
      <c r="P86" s="173"/>
      <c r="Q86" s="173"/>
      <c r="R86" s="173"/>
      <c r="S86" s="173"/>
      <c r="T86" s="173"/>
      <c r="U86" s="173"/>
      <c r="V86" s="17"/>
      <c r="W86" s="17"/>
    </row>
    <row r="87" spans="1:24" outlineLevel="1">
      <c r="A87" s="17"/>
      <c r="B87" s="17"/>
      <c r="C87" s="167"/>
      <c r="D87" s="120" t="s">
        <v>93</v>
      </c>
      <c r="E87" s="120" t="str">
        <f t="shared" si="48"/>
        <v>Per cent</v>
      </c>
      <c r="F87" s="120" t="s">
        <v>36</v>
      </c>
      <c r="G87" s="121"/>
      <c r="H87" s="121"/>
      <c r="I87" s="120"/>
      <c r="J87" s="187"/>
      <c r="K87" s="187"/>
      <c r="L87" s="187"/>
      <c r="M87" s="187"/>
      <c r="N87" s="173"/>
      <c r="O87" s="173"/>
      <c r="P87" s="173"/>
      <c r="Q87" s="173"/>
      <c r="R87" s="173"/>
      <c r="S87" s="173"/>
      <c r="T87" s="173"/>
      <c r="U87" s="173"/>
      <c r="V87" s="17"/>
      <c r="W87" s="17"/>
    </row>
    <row r="88" spans="1:24" outlineLevel="1">
      <c r="A88" s="17"/>
      <c r="B88" s="17"/>
      <c r="C88" s="167"/>
      <c r="D88" s="120" t="s">
        <v>93</v>
      </c>
      <c r="E88" s="120" t="str">
        <f t="shared" si="48"/>
        <v>Per cent</v>
      </c>
      <c r="F88" s="120" t="s">
        <v>36</v>
      </c>
      <c r="G88" s="121"/>
      <c r="H88" s="121"/>
      <c r="I88" s="120"/>
      <c r="J88" s="187"/>
      <c r="K88" s="187"/>
      <c r="L88" s="187"/>
      <c r="M88" s="187"/>
      <c r="N88" s="173"/>
      <c r="O88" s="173"/>
      <c r="P88" s="173"/>
      <c r="Q88" s="173"/>
      <c r="R88" s="173"/>
      <c r="S88" s="173"/>
      <c r="T88" s="173"/>
      <c r="U88" s="173"/>
      <c r="V88" s="17"/>
      <c r="W88" s="17"/>
    </row>
    <row r="89" spans="1:24" outlineLevel="1">
      <c r="A89" s="17"/>
      <c r="B89" s="17"/>
      <c r="C89" s="167"/>
      <c r="D89" s="120" t="s">
        <v>93</v>
      </c>
      <c r="E89" s="120" t="str">
        <f t="shared" si="48"/>
        <v>Per cent</v>
      </c>
      <c r="F89" s="120" t="s">
        <v>36</v>
      </c>
      <c r="G89" s="121"/>
      <c r="H89" s="121"/>
      <c r="I89" s="120"/>
      <c r="J89" s="187"/>
      <c r="K89" s="187"/>
      <c r="L89" s="187"/>
      <c r="M89" s="187"/>
      <c r="N89" s="173"/>
      <c r="O89" s="173"/>
      <c r="P89" s="173"/>
      <c r="Q89" s="173"/>
      <c r="R89" s="173"/>
      <c r="S89" s="173"/>
      <c r="T89" s="173"/>
      <c r="U89" s="173"/>
      <c r="V89" s="17"/>
      <c r="W89" s="17"/>
    </row>
    <row r="90" spans="1:24" outlineLevel="1">
      <c r="A90" s="17"/>
      <c r="B90" s="17"/>
      <c r="C90" s="167"/>
      <c r="D90" s="120" t="s">
        <v>93</v>
      </c>
      <c r="E90" s="120" t="str">
        <f t="shared" si="48"/>
        <v>Per cent</v>
      </c>
      <c r="F90" s="120" t="s">
        <v>36</v>
      </c>
      <c r="G90" s="121"/>
      <c r="H90" s="121"/>
      <c r="I90" s="120"/>
      <c r="J90" s="187"/>
      <c r="K90" s="187"/>
      <c r="L90" s="187"/>
      <c r="M90" s="187"/>
      <c r="N90" s="173"/>
      <c r="O90" s="173"/>
      <c r="P90" s="173"/>
      <c r="Q90" s="173"/>
      <c r="R90" s="173"/>
      <c r="S90" s="173"/>
      <c r="T90" s="173"/>
      <c r="U90" s="173"/>
      <c r="V90" s="17"/>
      <c r="W90" s="17"/>
    </row>
    <row r="91" spans="1:24" outlineLevel="1">
      <c r="A91" s="17"/>
      <c r="B91" s="17"/>
      <c r="C91" s="17"/>
      <c r="D91" s="120"/>
      <c r="E91" s="120"/>
      <c r="F91" s="120"/>
      <c r="G91" s="121"/>
      <c r="H91" s="121"/>
      <c r="I91" s="120"/>
      <c r="J91" s="174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</row>
    <row r="92" spans="1:24" outlineLevel="1">
      <c r="A92" s="17"/>
      <c r="B92" s="17"/>
      <c r="C92" s="122" t="s">
        <v>152</v>
      </c>
      <c r="D92" s="121" t="s">
        <v>7</v>
      </c>
      <c r="E92" s="121" t="s">
        <v>8</v>
      </c>
      <c r="F92" s="121" t="s">
        <v>22</v>
      </c>
      <c r="G92" s="120"/>
      <c r="H92" s="120"/>
      <c r="I92" s="120"/>
      <c r="J92" s="138" t="str">
        <f t="shared" ref="J92:U92" si="49">IF(YEAR(J$4)&gt;=FPFirstYear,IF(YEAR(J$4)&lt;=FPLastYear,J$4,""),"")</f>
        <v/>
      </c>
      <c r="K92" s="138" t="str">
        <f t="shared" si="49"/>
        <v/>
      </c>
      <c r="L92" s="138" t="str">
        <f t="shared" si="49"/>
        <v/>
      </c>
      <c r="M92" s="138" t="str">
        <f t="shared" si="49"/>
        <v/>
      </c>
      <c r="N92" s="138" t="str">
        <f t="shared" si="49"/>
        <v/>
      </c>
      <c r="O92" s="138" t="str">
        <f t="shared" si="49"/>
        <v/>
      </c>
      <c r="P92" s="138">
        <f t="shared" si="49"/>
        <v>46539</v>
      </c>
      <c r="Q92" s="138">
        <f t="shared" si="49"/>
        <v>46905</v>
      </c>
      <c r="R92" s="138">
        <f t="shared" si="49"/>
        <v>47270</v>
      </c>
      <c r="S92" s="138">
        <f t="shared" si="49"/>
        <v>47635</v>
      </c>
      <c r="T92" s="138">
        <f t="shared" si="49"/>
        <v>48000</v>
      </c>
      <c r="U92" s="138" t="str">
        <f t="shared" si="49"/>
        <v/>
      </c>
      <c r="V92" s="166"/>
      <c r="W92" s="17"/>
      <c r="X92" s="82"/>
    </row>
    <row r="93" spans="1:24" outlineLevel="1">
      <c r="A93" s="17"/>
      <c r="B93" s="17"/>
      <c r="C93" s="17"/>
      <c r="D93" s="120"/>
      <c r="E93" s="120"/>
      <c r="F93" s="120"/>
      <c r="G93" s="120"/>
      <c r="H93" s="120"/>
      <c r="I93" s="120"/>
      <c r="J93" s="165"/>
      <c r="K93" s="165"/>
      <c r="L93" s="165"/>
      <c r="M93" s="165"/>
      <c r="N93" s="165"/>
      <c r="O93" s="165"/>
      <c r="P93" s="165"/>
      <c r="Q93" s="165"/>
      <c r="R93" s="165"/>
      <c r="S93" s="165"/>
      <c r="T93" s="165"/>
      <c r="U93" s="165"/>
      <c r="V93" s="166"/>
      <c r="W93" s="17"/>
      <c r="X93" s="82"/>
    </row>
    <row r="94" spans="1:24" outlineLevel="1">
      <c r="A94" s="17"/>
      <c r="B94" s="17"/>
      <c r="C94" s="167" t="str">
        <f t="array" ref="C94:C97">TRANSPOSE(J84:M84)</f>
        <v>Output</v>
      </c>
      <c r="D94" s="120" t="s">
        <v>93</v>
      </c>
      <c r="E94" s="120" t="s">
        <v>18</v>
      </c>
      <c r="F94" s="120" t="s">
        <v>36</v>
      </c>
      <c r="G94" s="120"/>
      <c r="H94" s="120"/>
      <c r="I94" s="120"/>
      <c r="J94" s="171" t="str">
        <f t="shared" ref="J94:U94" si="50">IF(J$92=J$4,SUMPRODUCT(J$77:J$82,$J$85:$J$90),"")</f>
        <v/>
      </c>
      <c r="K94" s="171" t="str">
        <f t="shared" si="50"/>
        <v/>
      </c>
      <c r="L94" s="171" t="str">
        <f t="shared" si="50"/>
        <v/>
      </c>
      <c r="M94" s="171" t="str">
        <f t="shared" si="50"/>
        <v/>
      </c>
      <c r="N94" s="171" t="str">
        <f t="shared" si="50"/>
        <v/>
      </c>
      <c r="O94" s="171" t="str">
        <f t="shared" si="50"/>
        <v/>
      </c>
      <c r="P94" s="171">
        <f t="shared" si="50"/>
        <v>1.5316244983189086E-3</v>
      </c>
      <c r="Q94" s="171">
        <f t="shared" si="50"/>
        <v>-1.4981342136743368E-3</v>
      </c>
      <c r="R94" s="171">
        <f t="shared" si="50"/>
        <v>7.3439666419319134E-4</v>
      </c>
      <c r="S94" s="171">
        <f t="shared" si="50"/>
        <v>-1.8257410754695762E-3</v>
      </c>
      <c r="T94" s="171">
        <f t="shared" si="50"/>
        <v>-1.8369689868258932E-2</v>
      </c>
      <c r="U94" s="171" t="str">
        <f t="shared" si="50"/>
        <v/>
      </c>
      <c r="V94" s="166"/>
      <c r="W94" s="17"/>
      <c r="X94" s="82"/>
    </row>
    <row r="95" spans="1:24" outlineLevel="1">
      <c r="A95" s="17"/>
      <c r="B95" s="17"/>
      <c r="C95" s="167">
        <v>0</v>
      </c>
      <c r="D95" s="120" t="s">
        <v>93</v>
      </c>
      <c r="E95" s="120" t="s">
        <v>18</v>
      </c>
      <c r="F95" s="120" t="s">
        <v>36</v>
      </c>
      <c r="G95" s="120"/>
      <c r="H95" s="120"/>
      <c r="I95" s="120"/>
      <c r="J95" s="171" t="str">
        <f t="shared" ref="J95:U95" si="51">IF(J$92=J$4,SUMPRODUCT(J$77:J$82,$K$85:$K$90),"")</f>
        <v/>
      </c>
      <c r="K95" s="171" t="str">
        <f t="shared" si="51"/>
        <v/>
      </c>
      <c r="L95" s="171" t="str">
        <f t="shared" si="51"/>
        <v/>
      </c>
      <c r="M95" s="171" t="str">
        <f t="shared" si="51"/>
        <v/>
      </c>
      <c r="N95" s="171" t="str">
        <f t="shared" si="51"/>
        <v/>
      </c>
      <c r="O95" s="171" t="str">
        <f t="shared" si="51"/>
        <v/>
      </c>
      <c r="P95" s="171">
        <f t="shared" si="51"/>
        <v>0</v>
      </c>
      <c r="Q95" s="171">
        <f t="shared" si="51"/>
        <v>0</v>
      </c>
      <c r="R95" s="171">
        <f t="shared" si="51"/>
        <v>0</v>
      </c>
      <c r="S95" s="171">
        <f t="shared" si="51"/>
        <v>0</v>
      </c>
      <c r="T95" s="171">
        <f t="shared" si="51"/>
        <v>0</v>
      </c>
      <c r="U95" s="171" t="str">
        <f t="shared" si="51"/>
        <v/>
      </c>
      <c r="V95" s="166"/>
      <c r="W95" s="17"/>
      <c r="X95" s="82"/>
    </row>
    <row r="96" spans="1:24" outlineLevel="1">
      <c r="A96" s="17"/>
      <c r="B96" s="17"/>
      <c r="C96" s="167">
        <v>0</v>
      </c>
      <c r="D96" s="120" t="s">
        <v>93</v>
      </c>
      <c r="E96" s="120" t="s">
        <v>18</v>
      </c>
      <c r="F96" s="120" t="s">
        <v>36</v>
      </c>
      <c r="G96" s="120"/>
      <c r="H96" s="120"/>
      <c r="I96" s="120"/>
      <c r="J96" s="171" t="str">
        <f t="shared" ref="J96:U96" si="52">IF(J$92=J$4,SUMPRODUCT(J$77:J$82,$L$85:$L$90),"")</f>
        <v/>
      </c>
      <c r="K96" s="171" t="str">
        <f t="shared" si="52"/>
        <v/>
      </c>
      <c r="L96" s="171" t="str">
        <f t="shared" si="52"/>
        <v/>
      </c>
      <c r="M96" s="171" t="str">
        <f t="shared" si="52"/>
        <v/>
      </c>
      <c r="N96" s="171" t="str">
        <f t="shared" si="52"/>
        <v/>
      </c>
      <c r="O96" s="171" t="str">
        <f t="shared" si="52"/>
        <v/>
      </c>
      <c r="P96" s="171">
        <f t="shared" si="52"/>
        <v>0</v>
      </c>
      <c r="Q96" s="171">
        <f t="shared" si="52"/>
        <v>0</v>
      </c>
      <c r="R96" s="171">
        <f t="shared" si="52"/>
        <v>0</v>
      </c>
      <c r="S96" s="171">
        <f t="shared" si="52"/>
        <v>0</v>
      </c>
      <c r="T96" s="171">
        <f t="shared" si="52"/>
        <v>0</v>
      </c>
      <c r="U96" s="171" t="str">
        <f t="shared" si="52"/>
        <v/>
      </c>
      <c r="V96" s="166"/>
      <c r="W96" s="17"/>
      <c r="X96" s="82"/>
    </row>
    <row r="97" spans="1:34" outlineLevel="1">
      <c r="A97" s="17"/>
      <c r="B97" s="17"/>
      <c r="C97" s="167">
        <v>0</v>
      </c>
      <c r="D97" s="120" t="s">
        <v>93</v>
      </c>
      <c r="E97" s="120" t="s">
        <v>18</v>
      </c>
      <c r="F97" s="120" t="s">
        <v>36</v>
      </c>
      <c r="G97" s="120"/>
      <c r="H97" s="120"/>
      <c r="I97" s="120"/>
      <c r="J97" s="171" t="str">
        <f t="shared" ref="J97:U97" si="53">IF(J$92=J$4,SUMPRODUCT(J$77:J$82,$M$85:$M$90),"")</f>
        <v/>
      </c>
      <c r="K97" s="171" t="str">
        <f t="shared" si="53"/>
        <v/>
      </c>
      <c r="L97" s="171" t="str">
        <f t="shared" si="53"/>
        <v/>
      </c>
      <c r="M97" s="171" t="str">
        <f t="shared" si="53"/>
        <v/>
      </c>
      <c r="N97" s="171" t="str">
        <f t="shared" si="53"/>
        <v/>
      </c>
      <c r="O97" s="171" t="str">
        <f t="shared" si="53"/>
        <v/>
      </c>
      <c r="P97" s="171">
        <f t="shared" si="53"/>
        <v>0</v>
      </c>
      <c r="Q97" s="171">
        <f t="shared" si="53"/>
        <v>0</v>
      </c>
      <c r="R97" s="171">
        <f t="shared" si="53"/>
        <v>0</v>
      </c>
      <c r="S97" s="171">
        <f t="shared" si="53"/>
        <v>0</v>
      </c>
      <c r="T97" s="171">
        <f t="shared" si="53"/>
        <v>0</v>
      </c>
      <c r="U97" s="171" t="str">
        <f t="shared" si="53"/>
        <v/>
      </c>
      <c r="V97" s="166"/>
      <c r="W97" s="17"/>
      <c r="X97" s="82"/>
    </row>
    <row r="98" spans="1:34" outlineLevel="1">
      <c r="A98" s="17"/>
      <c r="B98" s="17"/>
      <c r="C98" s="125"/>
      <c r="D98" s="120"/>
      <c r="E98" s="120"/>
      <c r="F98" s="120"/>
      <c r="G98" s="121"/>
      <c r="H98" s="121"/>
      <c r="I98" s="120"/>
      <c r="J98" s="120"/>
      <c r="K98" s="126"/>
      <c r="L98" s="126"/>
      <c r="M98" s="126"/>
      <c r="N98" s="126"/>
      <c r="O98" s="126"/>
      <c r="P98" s="17"/>
      <c r="Q98" s="17"/>
      <c r="R98" s="17"/>
      <c r="S98" s="17"/>
      <c r="T98" s="17"/>
      <c r="U98" s="17"/>
      <c r="V98" s="17"/>
      <c r="W98" s="17"/>
    </row>
    <row r="99" spans="1:34" customFormat="1" ht="12.75">
      <c r="A99" s="32"/>
      <c r="B99" s="38" t="s">
        <v>73</v>
      </c>
      <c r="C99" s="32"/>
      <c r="D99" s="32"/>
      <c r="E99" s="32"/>
      <c r="F99" s="118"/>
      <c r="G99" s="118"/>
      <c r="H99" s="118"/>
      <c r="I99" s="118"/>
      <c r="J99" s="118"/>
      <c r="K99" s="34"/>
      <c r="L99" s="119"/>
      <c r="M99" s="34"/>
      <c r="N99" s="119"/>
      <c r="O99" s="34"/>
      <c r="P99" s="34"/>
      <c r="Q99" s="34"/>
      <c r="R99" s="34"/>
      <c r="S99" s="34"/>
      <c r="T99" s="34"/>
      <c r="U99" s="34"/>
      <c r="V99" s="34"/>
      <c r="W99" s="34"/>
      <c r="X99" s="35"/>
      <c r="Y99" s="36"/>
      <c r="Z99" s="36"/>
      <c r="AA99" s="36"/>
      <c r="AB99" s="36"/>
      <c r="AC99" s="36"/>
      <c r="AD99" s="36"/>
      <c r="AE99" s="36"/>
      <c r="AF99" s="36"/>
      <c r="AG99" s="37"/>
      <c r="AH99" s="37"/>
    </row>
    <row r="100" spans="1:34" outlineLevel="1">
      <c r="A100" s="17"/>
      <c r="B100" s="17"/>
      <c r="C100" s="17"/>
      <c r="D100" s="120"/>
      <c r="E100" s="120"/>
      <c r="F100" s="120"/>
      <c r="G100" s="121"/>
      <c r="H100" s="121"/>
      <c r="I100" s="120"/>
      <c r="J100" s="120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</row>
    <row r="101" spans="1:34" outlineLevel="1">
      <c r="A101" s="17"/>
      <c r="B101" s="17"/>
      <c r="C101" s="122" t="s">
        <v>47</v>
      </c>
      <c r="D101" s="121" t="s">
        <v>7</v>
      </c>
      <c r="E101" s="121" t="s">
        <v>8</v>
      </c>
      <c r="F101" s="121" t="s">
        <v>22</v>
      </c>
      <c r="G101" s="121"/>
      <c r="H101" s="121"/>
      <c r="I101" s="120"/>
      <c r="J101" s="138" t="str">
        <f t="shared" ref="J101:U101" si="54">IF(YEAR(J$4)&gt;=FPFirstYear,IF(YEAR(J$4)&lt;=FPLastYear,J$4,""),"")</f>
        <v/>
      </c>
      <c r="K101" s="138" t="str">
        <f t="shared" si="54"/>
        <v/>
      </c>
      <c r="L101" s="138" t="str">
        <f t="shared" si="54"/>
        <v/>
      </c>
      <c r="M101" s="138" t="str">
        <f t="shared" si="54"/>
        <v/>
      </c>
      <c r="N101" s="138" t="str">
        <f t="shared" si="54"/>
        <v/>
      </c>
      <c r="O101" s="138" t="str">
        <f t="shared" si="54"/>
        <v/>
      </c>
      <c r="P101" s="138">
        <f t="shared" si="54"/>
        <v>46539</v>
      </c>
      <c r="Q101" s="138">
        <f t="shared" si="54"/>
        <v>46905</v>
      </c>
      <c r="R101" s="138">
        <f t="shared" si="54"/>
        <v>47270</v>
      </c>
      <c r="S101" s="138">
        <f t="shared" si="54"/>
        <v>47635</v>
      </c>
      <c r="T101" s="138">
        <f t="shared" si="54"/>
        <v>48000</v>
      </c>
      <c r="U101" s="138" t="str">
        <f t="shared" si="54"/>
        <v/>
      </c>
      <c r="V101" s="17"/>
      <c r="W101" s="17"/>
    </row>
    <row r="102" spans="1:34" outlineLevel="1">
      <c r="A102" s="17"/>
      <c r="B102" s="17"/>
      <c r="C102" s="125"/>
      <c r="D102" s="120"/>
      <c r="E102" s="120"/>
      <c r="F102" s="120"/>
      <c r="G102" s="121"/>
      <c r="H102" s="121"/>
      <c r="I102" s="120"/>
      <c r="J102" s="120"/>
      <c r="K102" s="126"/>
      <c r="L102" s="126"/>
      <c r="M102" s="126"/>
      <c r="N102" s="126"/>
      <c r="O102" s="126"/>
      <c r="P102" s="17"/>
      <c r="Q102" s="17"/>
      <c r="R102" s="17"/>
      <c r="S102" s="17"/>
      <c r="T102" s="17"/>
      <c r="U102" s="17"/>
      <c r="V102" s="17"/>
      <c r="W102" s="17"/>
    </row>
    <row r="103" spans="1:34" outlineLevel="1">
      <c r="A103" s="17"/>
      <c r="B103" s="17"/>
      <c r="C103" s="125" t="s">
        <v>47</v>
      </c>
      <c r="D103" s="120" t="s">
        <v>96</v>
      </c>
      <c r="E103" s="120" t="str">
        <f>percent</f>
        <v>Per cent</v>
      </c>
      <c r="F103" s="120" t="s">
        <v>36</v>
      </c>
      <c r="G103" s="121"/>
      <c r="H103" s="121"/>
      <c r="I103" s="120"/>
      <c r="J103" s="157"/>
      <c r="K103" s="175"/>
      <c r="L103" s="175"/>
      <c r="M103" s="175"/>
      <c r="N103" s="175"/>
      <c r="O103" s="168"/>
      <c r="P103" s="168">
        <v>0</v>
      </c>
      <c r="Q103" s="168">
        <v>0</v>
      </c>
      <c r="R103" s="168">
        <v>0</v>
      </c>
      <c r="S103" s="168">
        <v>0</v>
      </c>
      <c r="T103" s="168">
        <v>0</v>
      </c>
      <c r="U103" s="168"/>
      <c r="V103" s="17"/>
      <c r="W103" s="17"/>
    </row>
    <row r="104" spans="1:34" outlineLevel="1">
      <c r="A104" s="17"/>
      <c r="B104" s="17"/>
      <c r="C104" s="125"/>
      <c r="D104" s="120"/>
      <c r="E104" s="120"/>
      <c r="F104" s="120"/>
      <c r="G104" s="121"/>
      <c r="H104" s="121"/>
      <c r="I104" s="120"/>
      <c r="J104" s="120"/>
      <c r="K104" s="126"/>
      <c r="L104" s="126"/>
      <c r="M104" s="126"/>
      <c r="N104" s="126"/>
      <c r="O104" s="126"/>
      <c r="P104" s="176"/>
      <c r="Q104" s="176"/>
      <c r="R104" s="176"/>
      <c r="S104" s="176"/>
      <c r="T104" s="176"/>
      <c r="U104" s="176"/>
      <c r="V104" s="17"/>
      <c r="W104" s="17"/>
    </row>
    <row r="105" spans="1:34" outlineLevel="1">
      <c r="A105" s="17"/>
      <c r="B105" s="17"/>
      <c r="C105" s="17" t="s">
        <v>40</v>
      </c>
      <c r="D105" s="120" t="s">
        <v>93</v>
      </c>
      <c r="E105" s="120" t="s">
        <v>28</v>
      </c>
      <c r="F105" s="120" t="s">
        <v>36</v>
      </c>
      <c r="G105" s="120"/>
      <c r="H105" s="120"/>
      <c r="I105" s="120"/>
      <c r="J105" s="165" t="str">
        <f t="shared" ref="J105:S105" si="55">IF(J101=J$4,IF(ISBLANK(J103),"Check","Ok"),"")</f>
        <v/>
      </c>
      <c r="K105" s="165" t="str">
        <f t="shared" si="55"/>
        <v/>
      </c>
      <c r="L105" s="165" t="str">
        <f t="shared" si="55"/>
        <v/>
      </c>
      <c r="M105" s="165" t="str">
        <f t="shared" si="55"/>
        <v/>
      </c>
      <c r="N105" s="165" t="str">
        <f t="shared" si="55"/>
        <v/>
      </c>
      <c r="O105" s="165" t="str">
        <f t="shared" si="55"/>
        <v/>
      </c>
      <c r="P105" s="165" t="str">
        <f t="shared" si="55"/>
        <v>Ok</v>
      </c>
      <c r="Q105" s="165" t="str">
        <f t="shared" si="55"/>
        <v>Ok</v>
      </c>
      <c r="R105" s="165" t="str">
        <f t="shared" si="55"/>
        <v>Ok</v>
      </c>
      <c r="S105" s="165" t="str">
        <f t="shared" si="55"/>
        <v>Ok</v>
      </c>
      <c r="T105" s="165" t="str">
        <f>IF(T101=T$4,IF(ISBLANK(T103),"Check","Ok"),"")</f>
        <v>Ok</v>
      </c>
      <c r="U105" s="165" t="str">
        <f>IF(U101=U$4,IF(ISBLANK(U103),"Check","Ok"),"")</f>
        <v/>
      </c>
      <c r="V105" s="166"/>
      <c r="W105" s="17"/>
      <c r="X105" s="81" t="str">
        <f>IF(COUNTIF(J105:T105,"Check")=0,"Ok","Check")</f>
        <v>Ok</v>
      </c>
    </row>
    <row r="106" spans="1:34" outlineLevel="1">
      <c r="A106" s="17"/>
      <c r="B106" s="17"/>
      <c r="C106" s="125"/>
      <c r="D106" s="120"/>
      <c r="E106" s="120"/>
      <c r="F106" s="120"/>
      <c r="G106" s="121"/>
      <c r="H106" s="121"/>
      <c r="I106" s="120"/>
      <c r="J106" s="120"/>
      <c r="K106" s="126"/>
      <c r="L106" s="126"/>
      <c r="M106" s="126"/>
      <c r="N106" s="126"/>
      <c r="O106" s="126"/>
      <c r="P106" s="17"/>
      <c r="Q106" s="17"/>
      <c r="R106" s="17"/>
      <c r="S106" s="17"/>
      <c r="T106" s="17"/>
      <c r="U106" s="17"/>
      <c r="V106" s="17"/>
      <c r="W106" s="17"/>
    </row>
    <row r="107" spans="1:34" customFormat="1" ht="12.75">
      <c r="A107" s="32"/>
      <c r="B107" s="38" t="s">
        <v>21</v>
      </c>
      <c r="C107" s="32"/>
      <c r="D107" s="32"/>
      <c r="E107" s="32"/>
      <c r="F107" s="118"/>
      <c r="G107" s="118"/>
      <c r="H107" s="118"/>
      <c r="I107" s="118"/>
      <c r="J107" s="118"/>
      <c r="K107" s="34"/>
      <c r="L107" s="119"/>
      <c r="M107" s="34"/>
      <c r="N107" s="119"/>
      <c r="O107" s="34"/>
      <c r="P107" s="34"/>
      <c r="Q107" s="34"/>
      <c r="R107" s="34"/>
      <c r="S107" s="34"/>
      <c r="T107" s="34"/>
      <c r="U107" s="34"/>
      <c r="V107" s="34"/>
      <c r="W107" s="34"/>
      <c r="X107" s="35"/>
      <c r="Y107" s="36"/>
      <c r="Z107" s="36"/>
      <c r="AA107" s="36"/>
      <c r="AB107" s="36"/>
      <c r="AC107" s="36"/>
      <c r="AD107" s="36"/>
      <c r="AE107" s="36"/>
      <c r="AF107" s="36"/>
      <c r="AG107" s="37"/>
      <c r="AH107" s="37"/>
    </row>
  </sheetData>
  <mergeCells count="1">
    <mergeCell ref="O3:T3"/>
  </mergeCells>
  <conditionalFormatting sqref="J38:O38 T38 J39:T40 J41:U45">
    <cfRule type="expression" dxfId="100" priority="56">
      <formula>J$36=J$4</formula>
    </cfRule>
  </conditionalFormatting>
  <conditionalFormatting sqref="J16:U22">
    <cfRule type="cellIs" dxfId="99" priority="23" operator="equal">
      <formula>0</formula>
    </cfRule>
  </conditionalFormatting>
  <conditionalFormatting sqref="J26:U32">
    <cfRule type="cellIs" dxfId="98" priority="24" operator="equal">
      <formula>0</formula>
    </cfRule>
  </conditionalFormatting>
  <conditionalFormatting sqref="J36:U36">
    <cfRule type="expression" dxfId="97" priority="58">
      <formula>J$36=J$4</formula>
    </cfRule>
  </conditionalFormatting>
  <conditionalFormatting sqref="J47:U47">
    <cfRule type="cellIs" dxfId="96" priority="43" operator="equal">
      <formula>"Check"</formula>
    </cfRule>
    <cfRule type="cellIs" dxfId="95" priority="44" operator="equal">
      <formula>"Ok"</formula>
    </cfRule>
  </conditionalFormatting>
  <conditionalFormatting sqref="J49:U49">
    <cfRule type="expression" dxfId="94" priority="28">
      <formula>J$36=J$4</formula>
    </cfRule>
  </conditionalFormatting>
  <conditionalFormatting sqref="J51:U58">
    <cfRule type="expression" dxfId="93" priority="9">
      <formula>J$49=J$4</formula>
    </cfRule>
  </conditionalFormatting>
  <conditionalFormatting sqref="J60:U60">
    <cfRule type="cellIs" dxfId="92" priority="68" operator="equal">
      <formula>"Ok"</formula>
    </cfRule>
    <cfRule type="cellIs" dxfId="91" priority="67" operator="equal">
      <formula>"Check"</formula>
    </cfRule>
  </conditionalFormatting>
  <conditionalFormatting sqref="J64:U64">
    <cfRule type="expression" dxfId="90" priority="33">
      <formula>J$64=J$4</formula>
    </cfRule>
  </conditionalFormatting>
  <conditionalFormatting sqref="J66:U71">
    <cfRule type="expression" dxfId="89" priority="31">
      <formula>J$64=J$4</formula>
    </cfRule>
  </conditionalFormatting>
  <conditionalFormatting sqref="J73:U73">
    <cfRule type="cellIs" dxfId="88" priority="39" operator="equal">
      <formula>"Check"</formula>
    </cfRule>
    <cfRule type="cellIs" dxfId="87" priority="40" operator="equal">
      <formula>"Ok"</formula>
    </cfRule>
  </conditionalFormatting>
  <conditionalFormatting sqref="J75:U75">
    <cfRule type="expression" dxfId="86" priority="27">
      <formula>J$36=J$4</formula>
    </cfRule>
  </conditionalFormatting>
  <conditionalFormatting sqref="J92:U92">
    <cfRule type="expression" dxfId="85" priority="180">
      <formula>J$92=J$4</formula>
    </cfRule>
  </conditionalFormatting>
  <conditionalFormatting sqref="J93:U93">
    <cfRule type="cellIs" dxfId="84" priority="16" operator="equal">
      <formula>"Check"</formula>
    </cfRule>
    <cfRule type="cellIs" dxfId="83" priority="17" operator="equal">
      <formula>"Ok"</formula>
    </cfRule>
  </conditionalFormatting>
  <conditionalFormatting sqref="J101:U101">
    <cfRule type="expression" dxfId="82" priority="26">
      <formula>J$36=J$4</formula>
    </cfRule>
  </conditionalFormatting>
  <conditionalFormatting sqref="J103:U103">
    <cfRule type="expression" dxfId="81" priority="181">
      <formula>J$101=J$4</formula>
    </cfRule>
  </conditionalFormatting>
  <conditionalFormatting sqref="J105:U105">
    <cfRule type="cellIs" dxfId="80" priority="47" operator="equal">
      <formula>"Check"</formula>
    </cfRule>
    <cfRule type="cellIs" dxfId="79" priority="48" operator="equal">
      <formula>"Ok"</formula>
    </cfRule>
  </conditionalFormatting>
  <conditionalFormatting sqref="P38:T45">
    <cfRule type="expression" dxfId="78" priority="11">
      <formula>P$36=P$4</formula>
    </cfRule>
  </conditionalFormatting>
  <conditionalFormatting sqref="T1:U1">
    <cfRule type="cellIs" dxfId="77" priority="87" operator="equal">
      <formula>"Check"</formula>
    </cfRule>
    <cfRule type="cellIs" dxfId="76" priority="88" operator="equal">
      <formula>"Ok"</formula>
    </cfRule>
  </conditionalFormatting>
  <conditionalFormatting sqref="X1 X92:X97">
    <cfRule type="cellIs" dxfId="75" priority="123" operator="equal">
      <formula>"Check"</formula>
    </cfRule>
    <cfRule type="cellIs" dxfId="74" priority="124" operator="equal">
      <formula>"Ok"</formula>
    </cfRule>
  </conditionalFormatting>
  <conditionalFormatting sqref="X47">
    <cfRule type="cellIs" dxfId="73" priority="46" operator="equal">
      <formula>"Ok"</formula>
    </cfRule>
    <cfRule type="cellIs" dxfId="72" priority="45" operator="equal">
      <formula>"Check"</formula>
    </cfRule>
  </conditionalFormatting>
  <conditionalFormatting sqref="X60">
    <cfRule type="cellIs" dxfId="71" priority="75" operator="equal">
      <formula>"Check"</formula>
    </cfRule>
    <cfRule type="cellIs" dxfId="70" priority="76" operator="equal">
      <formula>"Ok"</formula>
    </cfRule>
  </conditionalFormatting>
  <conditionalFormatting sqref="X73">
    <cfRule type="cellIs" dxfId="69" priority="42" operator="equal">
      <formula>"Ok"</formula>
    </cfRule>
    <cfRule type="cellIs" dxfId="68" priority="41" operator="equal">
      <formula>"Check"</formula>
    </cfRule>
  </conditionalFormatting>
  <conditionalFormatting sqref="X105">
    <cfRule type="cellIs" dxfId="67" priority="49" operator="equal">
      <formula>"Check"</formula>
    </cfRule>
    <cfRule type="cellIs" dxfId="66" priority="50" operator="equal">
      <formula>"Ok"</formula>
    </cfRule>
  </conditionalFormatting>
  <dataValidations count="2">
    <dataValidation type="list" allowBlank="1" showInputMessage="1" showErrorMessage="1" sqref="F106 F74 F98 F83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zoomScaleNormal="100" workbookViewId="0">
      <selection activeCell="J1" sqref="J1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3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IF(COUNTA($W$8:$W$237)=COUNTIF($W$8:$W$237,"OK"),"OK","Check")</f>
        <v>OK</v>
      </c>
      <c r="U1" s="184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190"/>
      <c r="O3" s="190"/>
      <c r="P3" s="190"/>
      <c r="Q3" s="190"/>
      <c r="R3" s="190"/>
      <c r="S3" s="190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77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89" t="s">
        <v>214</v>
      </c>
      <c r="D12" s="120" t="s">
        <v>64</v>
      </c>
      <c r="E12" s="120" t="str">
        <f t="shared" ref="E12:E20" si="1">units</f>
        <v>$millions</v>
      </c>
      <c r="F12" s="139">
        <f t="shared" ref="F12:F20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78">
        <v>6.35</v>
      </c>
      <c r="P12" s="178">
        <v>7.01</v>
      </c>
      <c r="Q12" s="178">
        <v>6.32</v>
      </c>
      <c r="R12" s="178">
        <v>6.6</v>
      </c>
      <c r="S12" s="178">
        <v>6.23</v>
      </c>
      <c r="T12" s="178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89" t="s">
        <v>215</v>
      </c>
      <c r="D13" s="120" t="s">
        <v>64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78">
        <v>10.136591360000001</v>
      </c>
      <c r="P13" s="178">
        <v>3.9795159040000008</v>
      </c>
      <c r="Q13" s="178">
        <v>3.6039127040000003</v>
      </c>
      <c r="R13" s="178">
        <v>0.30423859200000003</v>
      </c>
      <c r="S13" s="178">
        <v>-0.48077209599999998</v>
      </c>
      <c r="T13" s="178"/>
      <c r="U13" s="17"/>
      <c r="V13" s="17"/>
      <c r="W13" s="81" t="str">
        <f t="shared" ref="W13:W20" si="3">IF(ISBLANK(C13),IF(COUNT(J13:T13)=0,"Ok","Check"),IF(COUNT(J13:T13)=COUNT(J$10:T$10),"Ok","Check"))</f>
        <v>Ok</v>
      </c>
    </row>
    <row r="14" spans="1:30" outlineLevel="1">
      <c r="A14" s="17"/>
      <c r="B14" s="17"/>
      <c r="C14" s="189" t="s">
        <v>216</v>
      </c>
      <c r="D14" s="120" t="s">
        <v>64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78">
        <v>0</v>
      </c>
      <c r="P14" s="178">
        <v>0</v>
      </c>
      <c r="Q14" s="178">
        <v>0</v>
      </c>
      <c r="R14" s="178">
        <v>0</v>
      </c>
      <c r="S14" s="178">
        <v>0</v>
      </c>
      <c r="T14" s="178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89" t="s">
        <v>217</v>
      </c>
      <c r="D15" s="120" t="s">
        <v>64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78">
        <v>0.73634239401795709</v>
      </c>
      <c r="P15" s="178">
        <v>0.81434033525839977</v>
      </c>
      <c r="Q15" s="178">
        <v>0.90102335387077492</v>
      </c>
      <c r="R15" s="178">
        <v>0.85645687237988943</v>
      </c>
      <c r="S15" s="178">
        <v>0.78037353401136011</v>
      </c>
      <c r="T15" s="178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89" t="s">
        <v>218</v>
      </c>
      <c r="D16" s="120" t="s">
        <v>64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78">
        <v>0.91</v>
      </c>
      <c r="P16" s="178">
        <v>0.91</v>
      </c>
      <c r="Q16" s="178">
        <v>0.91</v>
      </c>
      <c r="R16" s="178">
        <v>0.91</v>
      </c>
      <c r="S16" s="178">
        <v>0.91</v>
      </c>
      <c r="T16" s="178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/>
      <c r="D17" s="120" t="s">
        <v>64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78"/>
      <c r="P17" s="178"/>
      <c r="Q17" s="178"/>
      <c r="R17" s="178"/>
      <c r="S17" s="178"/>
      <c r="T17" s="178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/>
      <c r="D18" s="120" t="s">
        <v>64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78"/>
      <c r="P18" s="178"/>
      <c r="Q18" s="178"/>
      <c r="R18" s="178"/>
      <c r="S18" s="178"/>
      <c r="T18" s="178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/>
      <c r="D19" s="120" t="s">
        <v>64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78"/>
      <c r="P19" s="178"/>
      <c r="Q19" s="178"/>
      <c r="R19" s="178"/>
      <c r="S19" s="178"/>
      <c r="T19" s="178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/>
      <c r="D20" s="120" t="s">
        <v>64</v>
      </c>
      <c r="E20" s="120" t="str">
        <f t="shared" si="1"/>
        <v>$millions</v>
      </c>
      <c r="F20" s="139">
        <f t="shared" si="2"/>
        <v>46174</v>
      </c>
      <c r="G20" s="121"/>
      <c r="H20" s="121"/>
      <c r="I20" s="120"/>
      <c r="J20" s="158"/>
      <c r="K20" s="158"/>
      <c r="L20" s="158"/>
      <c r="M20" s="158"/>
      <c r="N20" s="158"/>
      <c r="O20" s="178"/>
      <c r="P20" s="178"/>
      <c r="Q20" s="178"/>
      <c r="R20" s="178"/>
      <c r="S20" s="178"/>
      <c r="T20" s="178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7"/>
      <c r="D21" s="120"/>
      <c r="E21" s="120"/>
      <c r="F21" s="120"/>
      <c r="G21" s="121"/>
      <c r="H21" s="121"/>
      <c r="I21" s="1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30" outlineLevel="1">
      <c r="A22" s="17"/>
      <c r="B22" s="17"/>
      <c r="C22" s="17" t="s">
        <v>40</v>
      </c>
      <c r="D22" s="120" t="s">
        <v>93</v>
      </c>
      <c r="E22" s="120" t="s">
        <v>28</v>
      </c>
      <c r="F22" s="120" t="s">
        <v>36</v>
      </c>
      <c r="G22" s="120"/>
      <c r="H22" s="120"/>
      <c r="I22" s="120"/>
      <c r="J22" s="165" t="str">
        <f t="shared" ref="J22:S22" si="4">IF(J10=J4,IF(COUNTA($C12:$C20)=COUNT(J12:J20),"Ok","Check"),"")</f>
        <v/>
      </c>
      <c r="K22" s="165" t="str">
        <f t="shared" si="4"/>
        <v/>
      </c>
      <c r="L22" s="165" t="str">
        <f t="shared" si="4"/>
        <v/>
      </c>
      <c r="M22" s="165" t="str">
        <f t="shared" si="4"/>
        <v/>
      </c>
      <c r="N22" s="165" t="str">
        <f t="shared" si="4"/>
        <v/>
      </c>
      <c r="O22" s="165" t="str">
        <f t="shared" si="4"/>
        <v>Ok</v>
      </c>
      <c r="P22" s="165" t="str">
        <f t="shared" si="4"/>
        <v>Ok</v>
      </c>
      <c r="Q22" s="165" t="str">
        <f t="shared" si="4"/>
        <v>Ok</v>
      </c>
      <c r="R22" s="165" t="str">
        <f t="shared" si="4"/>
        <v>Ok</v>
      </c>
      <c r="S22" s="165" t="str">
        <f t="shared" si="4"/>
        <v>Ok</v>
      </c>
      <c r="T22" s="165" t="str">
        <f t="shared" ref="T22" si="5">IF(T10=T4,IF(COUNTA($C12:$C20)=COUNT(T12:T20),"Ok","Check"),"")</f>
        <v/>
      </c>
      <c r="U22" s="166"/>
      <c r="V22" s="17"/>
      <c r="W22" s="81" t="str">
        <f>IF(COUNTIF(J22:T22,"Check")=0,"Ok","Check")</f>
        <v>Ok</v>
      </c>
    </row>
    <row r="23" spans="1:30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customFormat="1" ht="12.75">
      <c r="A24" s="32"/>
      <c r="B24" s="38" t="s">
        <v>106</v>
      </c>
      <c r="C24" s="32"/>
      <c r="D24" s="32"/>
      <c r="E24" s="32"/>
      <c r="F24" s="118"/>
      <c r="G24" s="118"/>
      <c r="H24" s="118"/>
      <c r="I24" s="118"/>
      <c r="J24" s="34"/>
      <c r="K24" s="119"/>
      <c r="L24" s="34"/>
      <c r="M24" s="119"/>
      <c r="N24" s="34"/>
      <c r="O24" s="34"/>
      <c r="P24" s="34"/>
      <c r="Q24" s="34"/>
      <c r="R24" s="34"/>
      <c r="S24" s="34"/>
      <c r="T24" s="34"/>
      <c r="U24" s="34"/>
      <c r="V24" s="119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outlineLevel="1">
      <c r="A26" s="17"/>
      <c r="B26" s="17"/>
      <c r="C26" s="122" t="s">
        <v>102</v>
      </c>
      <c r="D26" s="121" t="s">
        <v>7</v>
      </c>
      <c r="E26" s="121" t="s">
        <v>8</v>
      </c>
      <c r="F26" s="121" t="s">
        <v>22</v>
      </c>
      <c r="G26" s="121"/>
      <c r="H26" s="121"/>
      <c r="I26" s="120"/>
      <c r="J26" s="138" t="str">
        <f t="shared" ref="J26:T26" si="6">IF(YEAR(J$4)&gt;=FPFirstYear,IF(YEAR(J$4)&lt;=FPLastYear,J$4,""),"")</f>
        <v/>
      </c>
      <c r="K26" s="138" t="str">
        <f t="shared" si="6"/>
        <v/>
      </c>
      <c r="L26" s="138" t="str">
        <f t="shared" si="6"/>
        <v/>
      </c>
      <c r="M26" s="138" t="str">
        <f t="shared" si="6"/>
        <v/>
      </c>
      <c r="N26" s="138" t="str">
        <f t="shared" si="6"/>
        <v/>
      </c>
      <c r="O26" s="138">
        <f t="shared" si="6"/>
        <v>46539</v>
      </c>
      <c r="P26" s="138">
        <f t="shared" si="6"/>
        <v>46905</v>
      </c>
      <c r="Q26" s="138">
        <f t="shared" si="6"/>
        <v>47270</v>
      </c>
      <c r="R26" s="138">
        <f t="shared" si="6"/>
        <v>47635</v>
      </c>
      <c r="S26" s="138">
        <f t="shared" si="6"/>
        <v>48000</v>
      </c>
      <c r="T26" s="138" t="str">
        <f t="shared" si="6"/>
        <v/>
      </c>
      <c r="U26" s="17"/>
      <c r="V26" s="1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79" t="s">
        <v>219</v>
      </c>
      <c r="D28" s="120" t="s">
        <v>64</v>
      </c>
      <c r="E28" s="120" t="str">
        <f>units</f>
        <v>$millions</v>
      </c>
      <c r="F28" s="139">
        <f>DATE(PPLastYear,MONTH(month),1)</f>
        <v>46174</v>
      </c>
      <c r="G28" s="121"/>
      <c r="H28" s="121"/>
      <c r="I28" s="120"/>
      <c r="J28" s="158"/>
      <c r="K28" s="158"/>
      <c r="L28" s="158"/>
      <c r="M28" s="158"/>
      <c r="N28" s="178"/>
      <c r="O28" s="178">
        <v>4.2825699999999998</v>
      </c>
      <c r="P28" s="178">
        <v>4.3259499999999997</v>
      </c>
      <c r="Q28" s="178">
        <v>4.3500500000000004</v>
      </c>
      <c r="R28" s="178">
        <v>4.4777800000000001</v>
      </c>
      <c r="S28" s="178">
        <v>4.6199700000000004</v>
      </c>
      <c r="T28" s="178"/>
      <c r="U28" s="17"/>
      <c r="V28" s="17"/>
      <c r="W28" s="81" t="str">
        <f>IF(ISBLANK(C28),IF(COUNT(J28:T28)=0,"Ok","Check"),IF(COUNT(J28:T28)=COUNT(J$10:T$10),"Ok","Check"))</f>
        <v>Ok</v>
      </c>
    </row>
    <row r="29" spans="1:30" outlineLevel="1">
      <c r="A29" s="17"/>
      <c r="B29" s="17"/>
      <c r="C29" s="179"/>
      <c r="D29" s="120" t="s">
        <v>64</v>
      </c>
      <c r="E29" s="120" t="str">
        <f>units</f>
        <v>$millions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158"/>
      <c r="N29" s="178"/>
      <c r="O29" s="178"/>
      <c r="P29" s="178"/>
      <c r="Q29" s="178"/>
      <c r="R29" s="178"/>
      <c r="S29" s="178"/>
      <c r="T29" s="178"/>
      <c r="U29" s="17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79"/>
      <c r="D30" s="120" t="s">
        <v>64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78"/>
      <c r="O30" s="178"/>
      <c r="P30" s="178"/>
      <c r="Q30" s="178"/>
      <c r="R30" s="178"/>
      <c r="S30" s="178"/>
      <c r="T30" s="178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0"/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78"/>
      <c r="O31" s="178"/>
      <c r="P31" s="178"/>
      <c r="Q31" s="178"/>
      <c r="R31" s="178"/>
      <c r="S31" s="178"/>
      <c r="T31" s="178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27"/>
      <c r="D32" s="120" t="s">
        <v>64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78"/>
      <c r="O32" s="178"/>
      <c r="P32" s="178"/>
      <c r="Q32" s="178"/>
      <c r="R32" s="178"/>
      <c r="S32" s="178"/>
      <c r="T32" s="178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7"/>
      <c r="D33" s="120"/>
      <c r="E33" s="120"/>
      <c r="F33" s="120"/>
      <c r="G33" s="121"/>
      <c r="H33" s="121"/>
      <c r="I33" s="120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30" outlineLevel="1">
      <c r="A34" s="17"/>
      <c r="B34" s="17"/>
      <c r="C34" s="17" t="s">
        <v>40</v>
      </c>
      <c r="D34" s="120" t="s">
        <v>93</v>
      </c>
      <c r="E34" s="120" t="s">
        <v>28</v>
      </c>
      <c r="F34" s="120" t="s">
        <v>36</v>
      </c>
      <c r="G34" s="120"/>
      <c r="H34" s="120"/>
      <c r="I34" s="120"/>
      <c r="J34" s="165" t="str">
        <f t="shared" ref="J34:T34" si="7">IF(J26=J4,IF(COUNTA($C28:$C32)=COUNT(J28:J32),"Ok","Check"),"")</f>
        <v/>
      </c>
      <c r="K34" s="165" t="str">
        <f t="shared" si="7"/>
        <v/>
      </c>
      <c r="L34" s="165" t="str">
        <f t="shared" si="7"/>
        <v/>
      </c>
      <c r="M34" s="165" t="str">
        <f t="shared" si="7"/>
        <v/>
      </c>
      <c r="N34" s="165" t="str">
        <f t="shared" si="7"/>
        <v/>
      </c>
      <c r="O34" s="165" t="str">
        <f t="shared" si="7"/>
        <v>Ok</v>
      </c>
      <c r="P34" s="165" t="str">
        <f t="shared" si="7"/>
        <v>Ok</v>
      </c>
      <c r="Q34" s="165" t="str">
        <f t="shared" si="7"/>
        <v>Ok</v>
      </c>
      <c r="R34" s="165" t="str">
        <f t="shared" si="7"/>
        <v>Ok</v>
      </c>
      <c r="S34" s="165" t="str">
        <f t="shared" si="7"/>
        <v>Ok</v>
      </c>
      <c r="T34" s="165" t="str">
        <f t="shared" si="7"/>
        <v/>
      </c>
      <c r="U34" s="166"/>
      <c r="V34" s="17"/>
      <c r="W34" s="81" t="str">
        <f>IF(COUNTIF(J34:T34,"Check")=0,"Ok","Check")</f>
        <v>Ok</v>
      </c>
    </row>
    <row r="35" spans="1:30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customFormat="1" ht="12.75">
      <c r="A36" s="32"/>
      <c r="B36" s="38" t="s">
        <v>44</v>
      </c>
      <c r="C36" s="32"/>
      <c r="D36" s="32"/>
      <c r="E36" s="32"/>
      <c r="F36" s="118"/>
      <c r="G36" s="118"/>
      <c r="H36" s="118"/>
      <c r="I36" s="118"/>
      <c r="J36" s="34"/>
      <c r="K36" s="119"/>
      <c r="L36" s="34"/>
      <c r="M36" s="119"/>
      <c r="N36" s="34"/>
      <c r="O36" s="34"/>
      <c r="P36" s="34"/>
      <c r="Q36" s="34"/>
      <c r="R36" s="34"/>
      <c r="S36" s="34"/>
      <c r="T36" s="34"/>
      <c r="U36" s="34"/>
      <c r="V36" s="119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outlineLevel="1">
      <c r="A38" s="17"/>
      <c r="B38" s="17"/>
      <c r="C38" s="122" t="s">
        <v>32</v>
      </c>
      <c r="D38" s="121" t="s">
        <v>7</v>
      </c>
      <c r="E38" s="121" t="s">
        <v>8</v>
      </c>
      <c r="F38" s="121" t="s">
        <v>22</v>
      </c>
      <c r="G38" s="121"/>
      <c r="H38" s="121"/>
      <c r="I38" s="120"/>
      <c r="J38" s="138" t="str">
        <f t="shared" ref="J38:T38" si="8">IF(YEAR(J$4)&gt;=FPFirstYear,IF(YEAR(J$4)&lt;=FPLastYear,J$4,""),"")</f>
        <v/>
      </c>
      <c r="K38" s="138" t="str">
        <f t="shared" si="8"/>
        <v/>
      </c>
      <c r="L38" s="138" t="str">
        <f t="shared" si="8"/>
        <v/>
      </c>
      <c r="M38" s="138" t="str">
        <f t="shared" si="8"/>
        <v/>
      </c>
      <c r="N38" s="138" t="str">
        <f t="shared" si="8"/>
        <v/>
      </c>
      <c r="O38" s="138">
        <f t="shared" si="8"/>
        <v>46539</v>
      </c>
      <c r="P38" s="138">
        <f t="shared" si="8"/>
        <v>46905</v>
      </c>
      <c r="Q38" s="138">
        <f t="shared" si="8"/>
        <v>47270</v>
      </c>
      <c r="R38" s="138">
        <f t="shared" si="8"/>
        <v>47635</v>
      </c>
      <c r="S38" s="138">
        <f t="shared" si="8"/>
        <v>48000</v>
      </c>
      <c r="T38" s="138" t="str">
        <f t="shared" si="8"/>
        <v/>
      </c>
      <c r="U38" s="17"/>
      <c r="V38" s="1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5" t="s">
        <v>39</v>
      </c>
      <c r="D40" s="120" t="s">
        <v>67</v>
      </c>
      <c r="E40" s="120" t="s">
        <v>15</v>
      </c>
      <c r="F40" s="139">
        <f>DATE(PPLastYear,MONTH(month),1)</f>
        <v>46174</v>
      </c>
      <c r="G40" s="121"/>
      <c r="H40" s="121"/>
      <c r="I40" s="121"/>
      <c r="J40" s="178"/>
      <c r="K40" s="178"/>
      <c r="L40" s="178"/>
      <c r="M40" s="178"/>
      <c r="N40" s="178"/>
      <c r="O40" s="178">
        <v>1.0992567823896329</v>
      </c>
      <c r="P40" s="178">
        <v>1.1015505957592928</v>
      </c>
      <c r="Q40" s="178">
        <v>1.0966687077752399</v>
      </c>
      <c r="R40" s="178">
        <v>1.0887666641853659</v>
      </c>
      <c r="S40" s="178">
        <v>1.0776812332128705</v>
      </c>
      <c r="T40" s="178"/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7" t="s">
        <v>40</v>
      </c>
      <c r="D42" s="120" t="s">
        <v>93</v>
      </c>
      <c r="E42" s="120" t="s">
        <v>28</v>
      </c>
      <c r="F42" s="120" t="s">
        <v>36</v>
      </c>
      <c r="G42" s="120"/>
      <c r="H42" s="120"/>
      <c r="I42" s="120"/>
      <c r="J42" s="165" t="str">
        <f t="shared" ref="J42:T42" si="9">IF(J38=J4,IF(ISBLANK(J40),"Check","Ok"),"")</f>
        <v/>
      </c>
      <c r="K42" s="165" t="str">
        <f t="shared" si="9"/>
        <v/>
      </c>
      <c r="L42" s="165" t="str">
        <f t="shared" si="9"/>
        <v/>
      </c>
      <c r="M42" s="165" t="str">
        <f t="shared" si="9"/>
        <v/>
      </c>
      <c r="N42" s="165" t="str">
        <f t="shared" si="9"/>
        <v/>
      </c>
      <c r="O42" s="165" t="str">
        <f t="shared" si="9"/>
        <v>Ok</v>
      </c>
      <c r="P42" s="165" t="str">
        <f t="shared" si="9"/>
        <v>Ok</v>
      </c>
      <c r="Q42" s="165" t="str">
        <f t="shared" si="9"/>
        <v>Ok</v>
      </c>
      <c r="R42" s="165" t="str">
        <f t="shared" si="9"/>
        <v>Ok</v>
      </c>
      <c r="S42" s="165" t="str">
        <f t="shared" si="9"/>
        <v>Ok</v>
      </c>
      <c r="T42" s="165" t="str">
        <f t="shared" si="9"/>
        <v/>
      </c>
      <c r="U42" s="166"/>
      <c r="V42" s="17"/>
      <c r="W42" s="81" t="str">
        <f>IF(COUNTIF(J42:T42,"Check")=0,"Ok","Check")</f>
        <v>Ok</v>
      </c>
    </row>
    <row r="43" spans="1:30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customFormat="1" ht="12.75">
      <c r="A44" s="32"/>
      <c r="B44" s="38" t="s">
        <v>21</v>
      </c>
      <c r="C44" s="32"/>
      <c r="D44" s="32"/>
      <c r="E44" s="32"/>
      <c r="F44" s="118"/>
      <c r="G44" s="118"/>
      <c r="H44" s="118"/>
      <c r="I44" s="118"/>
      <c r="J44" s="34"/>
      <c r="K44" s="119"/>
      <c r="L44" s="34"/>
      <c r="M44" s="119"/>
      <c r="N44" s="34"/>
      <c r="O44" s="34"/>
      <c r="P44" s="34"/>
      <c r="Q44" s="34"/>
      <c r="R44" s="34"/>
      <c r="S44" s="34"/>
      <c r="T44" s="34"/>
      <c r="U44" s="34"/>
      <c r="V44" s="119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J28:M32 O31:O32">
    <cfRule type="expression" dxfId="65" priority="25">
      <formula>J$26=J$4</formula>
    </cfRule>
  </conditionalFormatting>
  <conditionalFormatting sqref="J10:T10">
    <cfRule type="expression" dxfId="64" priority="37">
      <formula>J$10=J$4</formula>
    </cfRule>
  </conditionalFormatting>
  <conditionalFormatting sqref="J12:T20">
    <cfRule type="expression" dxfId="63" priority="13">
      <formula>J$10=J$4</formula>
    </cfRule>
  </conditionalFormatting>
  <conditionalFormatting sqref="J22:T22">
    <cfRule type="cellIs" dxfId="62" priority="31" operator="equal">
      <formula>"Ok"</formula>
    </cfRule>
    <cfRule type="cellIs" dxfId="61" priority="30" operator="equal">
      <formula>"Check"</formula>
    </cfRule>
  </conditionalFormatting>
  <conditionalFormatting sqref="J26:T26">
    <cfRule type="expression" dxfId="60" priority="15">
      <formula>J$10=J$4</formula>
    </cfRule>
  </conditionalFormatting>
  <conditionalFormatting sqref="J34:T34">
    <cfRule type="cellIs" dxfId="59" priority="27" operator="equal">
      <formula>"Ok"</formula>
    </cfRule>
    <cfRule type="cellIs" dxfId="58" priority="26" operator="equal">
      <formula>"Check"</formula>
    </cfRule>
  </conditionalFormatting>
  <conditionalFormatting sqref="J38:T38">
    <cfRule type="expression" dxfId="57" priority="14">
      <formula>J$10=J$4</formula>
    </cfRule>
  </conditionalFormatting>
  <conditionalFormatting sqref="J40:T40">
    <cfRule type="expression" dxfId="56" priority="16">
      <formula>J$38=J$4</formula>
    </cfRule>
  </conditionalFormatting>
  <conditionalFormatting sqref="J42:T42">
    <cfRule type="cellIs" dxfId="55" priority="21" operator="equal">
      <formula>"Check"</formula>
    </cfRule>
    <cfRule type="cellIs" dxfId="54" priority="22" operator="equal">
      <formula>"Ok"</formula>
    </cfRule>
  </conditionalFormatting>
  <conditionalFormatting sqref="N28:N32">
    <cfRule type="expression" dxfId="53" priority="19">
      <formula>N$10=N$4</formula>
    </cfRule>
  </conditionalFormatting>
  <conditionalFormatting sqref="O28:T30 P31:T32">
    <cfRule type="expression" dxfId="52" priority="20">
      <formula>O$10=O$4</formula>
    </cfRule>
  </conditionalFormatting>
  <conditionalFormatting sqref="S1">
    <cfRule type="cellIs" dxfId="51" priority="40" operator="equal">
      <formula>"Ok"</formula>
    </cfRule>
    <cfRule type="cellIs" dxfId="50" priority="39" operator="equal">
      <formula>"Check"</formula>
    </cfRule>
  </conditionalFormatting>
  <conditionalFormatting sqref="V1">
    <cfRule type="cellIs" dxfId="49" priority="42" operator="equal">
      <formula>"Ok"</formula>
    </cfRule>
    <cfRule type="cellIs" dxfId="48" priority="41" operator="equal">
      <formula>"Check"</formula>
    </cfRule>
  </conditionalFormatting>
  <conditionalFormatting sqref="W12:W20">
    <cfRule type="cellIs" dxfId="47" priority="11" operator="equal">
      <formula>"Check"</formula>
    </cfRule>
    <cfRule type="cellIs" dxfId="46" priority="12" operator="equal">
      <formula>"Ok"</formula>
    </cfRule>
  </conditionalFormatting>
  <conditionalFormatting sqref="W22">
    <cfRule type="cellIs" dxfId="45" priority="32" operator="equal">
      <formula>"Check"</formula>
    </cfRule>
    <cfRule type="cellIs" dxfId="44" priority="33" operator="equal">
      <formula>"Ok"</formula>
    </cfRule>
  </conditionalFormatting>
  <conditionalFormatting sqref="W28:W32">
    <cfRule type="cellIs" dxfId="43" priority="2" operator="equal">
      <formula>"Ok"</formula>
    </cfRule>
    <cfRule type="cellIs" dxfId="42" priority="1" operator="equal">
      <formula>"Check"</formula>
    </cfRule>
  </conditionalFormatting>
  <conditionalFormatting sqref="W34">
    <cfRule type="cellIs" dxfId="41" priority="28" operator="equal">
      <formula>"Check"</formula>
    </cfRule>
    <cfRule type="cellIs" dxfId="40" priority="29" operator="equal">
      <formula>"Ok"</formula>
    </cfRule>
  </conditionalFormatting>
  <conditionalFormatting sqref="W42">
    <cfRule type="cellIs" dxfId="39" priority="23" operator="equal">
      <formula>"Check"</formula>
    </cfRule>
    <cfRule type="cellIs" dxfId="38" priority="24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zoomScaleNormal="100" workbookViewId="0">
      <selection activeCell="J1" sqref="J1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3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4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0"/>
      <c r="O3" s="190"/>
      <c r="P3" s="190"/>
      <c r="Q3" s="190"/>
      <c r="R3" s="190"/>
      <c r="S3" s="190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66.87551684404221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70.813918396931825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199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74.125052159160077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199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92.657313516150893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200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74.835674838838244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200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93.54560143642442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1.8984390397514002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2.0102410207313688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201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11.449546633401013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201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14.312087494399528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202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11.484180177090686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202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14.355379890456652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70.813918396931825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0.88828792027352677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71.702206317205352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-2.0535334167884933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>
        <f>'Input|Reported opex'!$C$63</f>
        <v>0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0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>
        <f>C37</f>
        <v>0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69.648672900416855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162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change'!K94,0,0,COUNTA('Input|Rate of change'!$J$84:$M$84),1)),0)</f>
        <v>0</v>
      </c>
      <c r="K61" s="72">
        <f ca="1">IF(K58=K4,AVERAGE(OFFSET('Input|Rate of change'!L94,0,0,COUNTA('Input|Rate of change'!$J$84:$M$84),1)),0)</f>
        <v>0</v>
      </c>
      <c r="L61" s="72">
        <f ca="1">IF(L58=L4,AVERAGE(OFFSET('Input|Rate of change'!M94,0,0,COUNTA('Input|Rate of change'!$J$84:$M$84),1)),0)</f>
        <v>0</v>
      </c>
      <c r="M61" s="72">
        <f ca="1">IF(M58=M4,AVERAGE(OFFSET('Input|Rate of change'!N94,0,0,COUNTA('Input|Rate of change'!$J$84:$M$84),1)),0)</f>
        <v>0</v>
      </c>
      <c r="N61" s="72">
        <f ca="1">IF(N58=N4,AVERAGE(OFFSET('Input|Rate of change'!O94,0,0,COUNTA('Input|Rate of change'!$J$84:$M$84),1)),0)</f>
        <v>0</v>
      </c>
      <c r="O61" s="72">
        <f ca="1">IF(O58=O4,AVERAGE(OFFSET('Input|Rate of change'!P94,0,0,COUNTA('Input|Rate of change'!$J$84:$M$84),1)),0)</f>
        <v>1.5316244983189086E-3</v>
      </c>
      <c r="P61" s="72">
        <f ca="1">IF(P58=P4,AVERAGE(OFFSET('Input|Rate of change'!Q94,0,0,COUNTA('Input|Rate of change'!$J$84:$M$84),1)),0)</f>
        <v>-1.4981342136743368E-3</v>
      </c>
      <c r="Q61" s="72">
        <f ca="1">IF(Q58=Q4,AVERAGE(OFFSET('Input|Rate of change'!R94,0,0,COUNTA('Input|Rate of change'!$J$84:$M$84),1)),0)</f>
        <v>7.3439666419319134E-4</v>
      </c>
      <c r="R61" s="72">
        <f ca="1">IF(R58=R4,AVERAGE(OFFSET('Input|Rate of change'!S94,0,0,COUNTA('Input|Rate of change'!$J$84:$M$84),1)),0)</f>
        <v>-1.8257410754695762E-3</v>
      </c>
      <c r="S61" s="72">
        <f ca="1">IF(S58=S4,AVERAGE(OFFSET('Input|Rate of change'!T94,0,0,COUNTA('Input|Rate of change'!$J$84:$M$84),1)),0)</f>
        <v>-1.8369689868258932E-2</v>
      </c>
      <c r="T61" s="72">
        <f ca="1">IF(T58=T4,AVERAGE(OFFSET('Input|Rate of change'!U94,0,0,COUNTA('Input|Rate of change'!#REF!),1)),0)</f>
        <v>0</v>
      </c>
    </row>
    <row r="62" spans="1:31" outlineLevel="1">
      <c r="C62" s="15" t="s">
        <v>165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1.5316244983190064E-3</v>
      </c>
      <c r="P62" s="72">
        <f t="array" aca="1" ref="P62" ca="1">IF(P$58=P$4,PRODUCT(1+$J61:P61)-1,0)</f>
        <v>3.1195705581188449E-5</v>
      </c>
      <c r="Q62" s="72">
        <f t="array" aca="1" ref="Q62" ca="1">IF(Q$58=Q$4,PRODUCT(1+$J61:Q61)-1,0)</f>
        <v>7.6561527979657207E-4</v>
      </c>
      <c r="R62" s="72">
        <f t="array" aca="1" ref="R62" ca="1">IF(R$58=R$4,PRODUCT(1+$J61:R61)-1,0)</f>
        <v>-1.0615236109373649E-3</v>
      </c>
      <c r="S62" s="72">
        <f t="array" aca="1" ref="S62" ca="1">IF(S$58=S$4,PRODUCT(1+$J61:S61)-1,0)</f>
        <v>-1.941171361967553E-2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163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3.800943118590608E-3</v>
      </c>
      <c r="P64" s="72">
        <f>SUMPRODUCT('Input|Rate of change'!Q38:Q45,'Input|Rate of change'!Q51:Q58)</f>
        <v>5.0330346904635549E-3</v>
      </c>
      <c r="Q64" s="72">
        <f>SUMPRODUCT('Input|Rate of change'!R38:R45,'Input|Rate of change'!R51:R58)</f>
        <v>6.0446166085210071E-3</v>
      </c>
      <c r="R64" s="72">
        <f>SUMPRODUCT('Input|Rate of change'!S38:S45,'Input|Rate of change'!S51:S58)</f>
        <v>6.7335429762297302E-3</v>
      </c>
      <c r="S64" s="72">
        <f>SUMPRODUCT('Input|Rate of change'!T38:T45,'Input|Rate of change'!T51:T58)</f>
        <v>6.863721648484743E-3</v>
      </c>
      <c r="T64" s="72">
        <f>SUMPRODUCT('Input|Rate of change'!U38:U45,'Input|Rate of change'!U51:U58)</f>
        <v>0</v>
      </c>
    </row>
    <row r="65" spans="1:31" outlineLevel="1">
      <c r="C65" s="15" t="s">
        <v>166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3.8009431185905829E-3</v>
      </c>
      <c r="P65" s="72">
        <f t="array" ref="P65">IF(P$58=P$4,PRODUCT(1+$J64:P64)-1,0)</f>
        <v>8.8531080876264046E-3</v>
      </c>
      <c r="Q65" s="72">
        <f t="array" ref="Q65">IF(Q$58=Q$4,PRODUCT(1+$J64:Q64)-1,0)</f>
        <v>1.4951238340330963E-2</v>
      </c>
      <c r="R65" s="72">
        <f t="array" ref="R65">IF(R$58=R$4,PRODUCT(1+$J64:R64)-1,0)</f>
        <v>2.1785456122473068E-2</v>
      </c>
      <c r="S65" s="72">
        <f t="array" ref="S65">IF(S$58=S$4,PRODUCT(1+$J64:S64)-1,0)</f>
        <v>2.8798707077767771E-2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164</v>
      </c>
      <c r="D67" s="16" t="s">
        <v>30</v>
      </c>
      <c r="E67" s="16" t="s">
        <v>31</v>
      </c>
      <c r="F67" s="16" t="s">
        <v>36</v>
      </c>
      <c r="J67" s="72">
        <f>'Input|Rate of change'!K103</f>
        <v>0</v>
      </c>
      <c r="K67" s="72">
        <f>'Input|Rate of change'!L103</f>
        <v>0</v>
      </c>
      <c r="L67" s="72">
        <f>'Input|Rate of change'!M103</f>
        <v>0</v>
      </c>
      <c r="M67" s="72">
        <f>'Input|Rate of change'!N103</f>
        <v>0</v>
      </c>
      <c r="N67" s="72">
        <f>'Input|Rate of change'!O103</f>
        <v>0</v>
      </c>
      <c r="O67" s="72">
        <f>'Input|Rate of change'!P103</f>
        <v>0</v>
      </c>
      <c r="P67" s="72">
        <f>'Input|Rate of change'!Q103</f>
        <v>0</v>
      </c>
      <c r="Q67" s="72">
        <f>'Input|Rate of change'!R103</f>
        <v>0</v>
      </c>
      <c r="R67" s="72">
        <f>'Input|Rate of change'!S103</f>
        <v>0</v>
      </c>
      <c r="S67" s="72">
        <f>'Input|Rate of change'!T103</f>
        <v>0</v>
      </c>
      <c r="T67" s="72">
        <f>'Input|Rate of change'!U103</f>
        <v>0</v>
      </c>
    </row>
    <row r="68" spans="1:31" outlineLevel="1">
      <c r="C68" s="15" t="s">
        <v>167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0</v>
      </c>
      <c r="P68" s="72">
        <f t="array" ref="P68">IF(P$58=P$4,PRODUCT(1+$J67:P67)-1,0)</f>
        <v>0</v>
      </c>
      <c r="Q68" s="72">
        <f t="array" ref="Q68">IF(Q$58=Q$4,PRODUCT(1+$J67:Q67)-1,0)</f>
        <v>0</v>
      </c>
      <c r="R68" s="72">
        <f t="array" ref="R68">IF(R$58=R$4,PRODUCT(1+$J67:R67)-1,0)</f>
        <v>0</v>
      </c>
      <c r="S68" s="72">
        <f t="array" ref="S68">IF(S$58=S$4,PRODUCT(1+$J67:S67)-1,0)</f>
        <v>0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5.3383892345066908E-3</v>
      </c>
      <c r="P70" s="88">
        <f t="shared" ca="1" si="6"/>
        <v>3.5273603153207489E-3</v>
      </c>
      <c r="Q70" s="88">
        <f t="shared" ca="1" si="6"/>
        <v>6.7834524189880341E-3</v>
      </c>
      <c r="R70" s="88">
        <f t="shared" ca="1" si="6"/>
        <v>4.8955081947648083E-3</v>
      </c>
      <c r="S70" s="88">
        <f t="shared" ca="1" si="6"/>
        <v>-1.1632052657798875E-2</v>
      </c>
      <c r="T70" s="88">
        <f t="shared" ref="T70" ca="1" si="7">(1+T61)*(1+T64)*(1-T67)-1</f>
        <v>0</v>
      </c>
    </row>
    <row r="71" spans="1:31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5.3383892345066908E-3</v>
      </c>
      <c r="P71" s="72">
        <f t="array" aca="1" ref="P71" ca="1">IF(P$58=P$4,PRODUCT(1+$J70:P70)-1,"")</f>
        <v>8.8845799721610774E-3</v>
      </c>
      <c r="Q71" s="72">
        <f t="array" aca="1" ref="Q71" ca="1">IF(Q$58=Q$4,PRODUCT(1+$J70:Q70)-1,"")</f>
        <v>1.572830051665286E-2</v>
      </c>
      <c r="R71" s="72">
        <f t="array" aca="1" ref="R71" ca="1">IF(R$58=R$4,PRODUCT(1+$J70:R70)-1,"")</f>
        <v>2.0700806735486577E-2</v>
      </c>
      <c r="S71" s="72">
        <f t="array" aca="1" ref="S71" ca="1">IF(S$58=S$4,PRODUCT(1+$J70:S70)-1,"")</f>
        <v>8.8279612036816779E-3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Overheads to be expensed (capex to opex)</v>
      </c>
      <c r="D77" s="16" t="s">
        <v>30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6.35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7.01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6.32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6.6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6.23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Transition from APA - AGN IT costs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10.136591360000001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3.9795159040000008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3.6039127040000003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0.30423859200000003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-0.48077209599999998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 t="str">
        <f>'Input|Step changes'!C14</f>
        <v>Cybersecurity (Data privacy/security &amp; Access control)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 t="str">
        <f>'Input|Step changes'!C15</f>
        <v>Application upgrades &amp; enhancements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0.73634239401795698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0.81434033525839977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0.90102335387077492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0.85645687237988943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0.78037353401136011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Abolishments for safety at redundant sites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0.91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>
        <f>'Input|Step changes'!C17</f>
        <v>0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>
        <f>'Input|Step changes'!C18</f>
        <v>0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>
        <f>'Input|Step changes'!C19</f>
        <v>0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outlineLevel="1">
      <c r="C87" s="68" t="s">
        <v>48</v>
      </c>
      <c r="D87" s="76" t="s">
        <v>30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18.132933754017955</v>
      </c>
      <c r="P87" s="80">
        <f t="shared" si="10"/>
        <v>12.713856239258401</v>
      </c>
      <c r="Q87" s="80">
        <f t="shared" si="10"/>
        <v>11.734936057870776</v>
      </c>
      <c r="R87" s="80">
        <f t="shared" si="10"/>
        <v>8.6706954643798895</v>
      </c>
      <c r="S87" s="80">
        <f t="shared" si="10"/>
        <v>7.4396014380113611</v>
      </c>
      <c r="T87" s="80">
        <f t="shared" ref="T87" si="11">SUM(T76:T86)</f>
        <v>0</v>
      </c>
    </row>
    <row r="88" spans="1:31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2.75">
      <c r="A89" s="32"/>
      <c r="B89" s="38" t="s">
        <v>107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outlineLevel="1">
      <c r="C91" s="9" t="s">
        <v>102</v>
      </c>
      <c r="D91" s="20" t="s">
        <v>7</v>
      </c>
      <c r="E91" s="20" t="s">
        <v>8</v>
      </c>
      <c r="F91" s="20" t="s">
        <v>22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UAG</v>
      </c>
      <c r="D93" s="16" t="s">
        <v>30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4.2825699999999998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4.3259499999999997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4.3500500000000004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4.4777800000000001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4.6199700000000004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>
        <f>'Input|Step changes'!C29</f>
        <v>0</v>
      </c>
      <c r="D94" s="16" t="s">
        <v>30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>
        <f>'Input|Step changes'!C30</f>
        <v>0</v>
      </c>
      <c r="D95" s="16" t="s">
        <v>30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>
        <f>'Input|Step changes'!C31</f>
        <v>0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outlineLevel="1">
      <c r="C99" s="68" t="s">
        <v>108</v>
      </c>
      <c r="D99" s="76" t="s">
        <v>30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4.2825699999999998</v>
      </c>
      <c r="P99" s="80">
        <f t="shared" si="14"/>
        <v>4.3259499999999997</v>
      </c>
      <c r="Q99" s="80">
        <f t="shared" si="14"/>
        <v>4.3500500000000004</v>
      </c>
      <c r="R99" s="80">
        <f t="shared" si="14"/>
        <v>4.4777800000000001</v>
      </c>
      <c r="S99" s="80">
        <f t="shared" si="14"/>
        <v>4.6199700000000004</v>
      </c>
      <c r="T99" s="80">
        <f t="shared" si="14"/>
        <v>0</v>
      </c>
    </row>
    <row r="100" spans="1:39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2.75">
      <c r="A101" s="32"/>
      <c r="B101" s="38" t="s">
        <v>86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</row>
    <row r="105" spans="1:39" outlineLevel="1">
      <c r="C105" s="77" t="s">
        <v>124</v>
      </c>
      <c r="D105" s="20" t="s">
        <v>30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t="shared" ca="1" si="16"/>
        <v>88.153418380044073</v>
      </c>
      <c r="P105" s="90">
        <f t="shared" ca="1" si="16"/>
        <v>82.981328344013903</v>
      </c>
      <c r="Q105" s="90">
        <f t="shared" ca="1" si="16"/>
        <v>82.47906421625143</v>
      </c>
      <c r="R105" s="90">
        <f t="shared" ca="1" si="16"/>
        <v>79.761152081891396</v>
      </c>
      <c r="S105" s="90">
        <f t="shared" ca="1" si="16"/>
        <v>77.70313012068101</v>
      </c>
      <c r="T105" s="90" t="str">
        <f t="shared" si="16"/>
        <v/>
      </c>
    </row>
    <row r="106" spans="1:39" outlineLevel="1">
      <c r="C106" s="77" t="s">
        <v>100</v>
      </c>
      <c r="D106" s="20" t="s">
        <v>30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92.43598838004408</v>
      </c>
      <c r="P106" s="90">
        <f t="shared" ca="1" si="17"/>
        <v>87.307278344013909</v>
      </c>
      <c r="Q106" s="90">
        <f t="shared" ca="1" si="17"/>
        <v>86.829114216251426</v>
      </c>
      <c r="R106" s="90">
        <f t="shared" ca="1" si="17"/>
        <v>84.238932081891392</v>
      </c>
      <c r="S106" s="90">
        <f t="shared" ca="1" si="17"/>
        <v>82.323100120681005</v>
      </c>
      <c r="T106" s="90" t="str">
        <f t="shared" si="17"/>
        <v/>
      </c>
    </row>
    <row r="107" spans="1:39" outlineLevel="1">
      <c r="C107" s="77" t="s">
        <v>101</v>
      </c>
      <c r="D107" s="20" t="s">
        <v>30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90">
        <f ca="1">IF(YEAR(O$4)&gt;=FPFirstYear,IF(YEAR(O$4)&lt;=FPLastYear,O106+'Input|Step changes'!O40,""),"")</f>
        <v>93.535245162433711</v>
      </c>
      <c r="P107" s="90">
        <f ca="1">IF(YEAR(P$4)&gt;=FPFirstYear,IF(YEAR(P$4)&lt;=FPLastYear,P106+'Input|Step changes'!P40,""),"")</f>
        <v>88.408828939773201</v>
      </c>
      <c r="Q107" s="90">
        <f ca="1">IF(YEAR(Q$4)&gt;=FPFirstYear,IF(YEAR(Q$4)&lt;=FPLastYear,Q106+'Input|Step changes'!Q40,""),"")</f>
        <v>87.925782924026663</v>
      </c>
      <c r="R107" s="90">
        <f ca="1">IF(YEAR(R$4)&gt;=FPFirstYear,IF(YEAR(R$4)&lt;=FPLastYear,R106+'Input|Step changes'!R40,""),"")</f>
        <v>85.327698746076763</v>
      </c>
      <c r="S107" s="90">
        <f ca="1">IF(YEAR(S$4)&gt;=FPFirstYear,IF(YEAR(S$4)&lt;=FPLastYear,S106+'Input|Step changes'!S40,""),"")</f>
        <v>83.400781353893876</v>
      </c>
      <c r="T107" s="90" t="str">
        <f>IF(YEAR(T$4)&gt;=FPFirstYear,IF(YEAR(T$4)&lt;=FPLastYear,T106+'Input|Step changes'!T40,""),"")</f>
        <v/>
      </c>
    </row>
    <row r="108" spans="1:39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2.75">
      <c r="A109" s="32"/>
      <c r="B109" s="38" t="s">
        <v>21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37" priority="28">
      <formula>J$10=J$4</formula>
    </cfRule>
  </conditionalFormatting>
  <conditionalFormatting sqref="J12:T24">
    <cfRule type="cellIs" dxfId="36" priority="9" operator="equal">
      <formula>0</formula>
    </cfRule>
  </conditionalFormatting>
  <conditionalFormatting sqref="J25:T25">
    <cfRule type="expression" dxfId="35" priority="27">
      <formula>J$10=J$4</formula>
    </cfRule>
  </conditionalFormatting>
  <conditionalFormatting sqref="J26:T54">
    <cfRule type="cellIs" dxfId="34" priority="1" operator="equal">
      <formula>0</formula>
    </cfRule>
  </conditionalFormatting>
  <conditionalFormatting sqref="J54:T54">
    <cfRule type="expression" dxfId="33" priority="26">
      <formula>J$10=J$4</formula>
    </cfRule>
  </conditionalFormatting>
  <conditionalFormatting sqref="J58:T58 J75:T75 J91:T91">
    <cfRule type="expression" dxfId="32" priority="118">
      <formula>J$58=J$4</formula>
    </cfRule>
  </conditionalFormatting>
  <conditionalFormatting sqref="J61:T68">
    <cfRule type="cellIs" dxfId="31" priority="100" operator="equal">
      <formula>0</formula>
    </cfRule>
  </conditionalFormatting>
  <conditionalFormatting sqref="J70:T70">
    <cfRule type="expression" dxfId="30" priority="112">
      <formula>J$58=J$4</formula>
    </cfRule>
  </conditionalFormatting>
  <conditionalFormatting sqref="J70:T71">
    <cfRule type="cellIs" dxfId="29" priority="19" operator="equal">
      <formula>0</formula>
    </cfRule>
  </conditionalFormatting>
  <conditionalFormatting sqref="J77:T85 J93:T99">
    <cfRule type="cellIs" dxfId="28" priority="98" operator="equal">
      <formula>0</formula>
    </cfRule>
  </conditionalFormatting>
  <conditionalFormatting sqref="J87:T87">
    <cfRule type="cellIs" dxfId="27" priority="117" operator="equal">
      <formula>0</formula>
    </cfRule>
    <cfRule type="expression" dxfId="26" priority="116">
      <formula>J$75=J$4</formula>
    </cfRule>
  </conditionalFormatting>
  <conditionalFormatting sqref="J99:T99">
    <cfRule type="expression" dxfId="25" priority="114">
      <formula>J$91=J$4</formula>
    </cfRule>
  </conditionalFormatting>
  <conditionalFormatting sqref="J103:T103">
    <cfRule type="expression" dxfId="24" priority="121">
      <formula>J$103=J$4</formula>
    </cfRule>
  </conditionalFormatting>
  <conditionalFormatting sqref="J105:T107">
    <cfRule type="cellIs" dxfId="23" priority="29" operator="equal">
      <formula>0</formula>
    </cfRule>
  </conditionalFormatting>
  <conditionalFormatting sqref="S1:T1">
    <cfRule type="cellIs" dxfId="22" priority="108" operator="equal">
      <formula>"Ok"</formula>
    </cfRule>
    <cfRule type="cellIs" dxfId="21" priority="107" operator="equal">
      <formula>"Check"</formula>
    </cfRule>
  </conditionalFormatting>
  <conditionalFormatting sqref="W1">
    <cfRule type="cellIs" dxfId="20" priority="109" operator="equal">
      <formula>"Check"</formula>
    </cfRule>
    <cfRule type="cellIs" dxfId="19" priority="110" operator="equal">
      <formula>"Ok"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3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4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0"/>
      <c r="O3" s="190"/>
      <c r="P3" s="190"/>
      <c r="Q3" s="190"/>
      <c r="R3" s="190"/>
      <c r="S3" s="190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98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88.153418380044073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82.981328344013903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82.47906421625143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79.761152081891396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77.703130120680996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UAG</v>
      </c>
      <c r="D14" s="24" t="s">
        <v>98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4.2825699999999998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4.3259499999999997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4.3500500000000004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4.4777800000000001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4.6199700000000004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>
        <f>'Input|Step changes'!C29</f>
        <v>0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>
        <f>'Input|Step changes'!C30</f>
        <v>0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8" priority="7">
      <formula>J$11=J$4</formula>
    </cfRule>
  </conditionalFormatting>
  <conditionalFormatting sqref="J13:T18">
    <cfRule type="expression" dxfId="17" priority="3">
      <formula>AND($C13=0,J$11=J$4)</formula>
    </cfRule>
    <cfRule type="expression" dxfId="16" priority="4">
      <formula>NOT(J$11=J$4)</formula>
    </cfRule>
    <cfRule type="expression" dxfId="15" priority="5">
      <formula>J$11=J$4</formula>
    </cfRule>
  </conditionalFormatting>
  <conditionalFormatting sqref="S1:T1">
    <cfRule type="cellIs" dxfId="14" priority="1" operator="equal">
      <formula>"Check"</formula>
    </cfRule>
    <cfRule type="cellIs" dxfId="13" priority="2" operator="equal">
      <formula>"Ok"</formula>
    </cfRule>
  </conditionalFormatting>
  <conditionalFormatting sqref="W1">
    <cfRule type="cellIs" dxfId="12" priority="13" operator="equal">
      <formula>"Check"</formula>
    </cfRule>
    <cfRule type="cellIs" dxfId="11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'Lookup|Tables'!$H$48:$H$68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7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3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4" t="s">
        <v>24</v>
      </c>
      <c r="V1" s="29" t="str">
        <f>'Check|List'!$S$1</f>
        <v>OK</v>
      </c>
    </row>
    <row r="2" spans="1:30" s="27" customFormat="1" ht="12.75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174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175</v>
      </c>
      <c r="D8" s="16" t="s">
        <v>178</v>
      </c>
      <c r="E8" s="16"/>
      <c r="F8" s="16"/>
      <c r="G8" s="39" t="s">
        <v>175</v>
      </c>
    </row>
    <row r="9" spans="1:30">
      <c r="C9" s="15" t="s">
        <v>176</v>
      </c>
      <c r="D9" s="16" t="s">
        <v>178</v>
      </c>
      <c r="E9" s="16"/>
      <c r="F9" s="16"/>
      <c r="G9" s="39" t="s">
        <v>176</v>
      </c>
    </row>
    <row r="10" spans="1:30">
      <c r="C10" s="15" t="s">
        <v>177</v>
      </c>
      <c r="D10" s="16" t="s">
        <v>64</v>
      </c>
      <c r="E10" s="16"/>
      <c r="F10" s="16"/>
      <c r="G10" s="39" t="s">
        <v>177</v>
      </c>
      <c r="T10" s="17"/>
    </row>
    <row r="11" spans="1:30">
      <c r="C11" s="15" t="s">
        <v>179</v>
      </c>
      <c r="D11" s="16" t="s">
        <v>178</v>
      </c>
      <c r="E11" s="16"/>
      <c r="F11" s="16"/>
      <c r="G11" s="39" t="s">
        <v>179</v>
      </c>
    </row>
    <row r="12" spans="1:30">
      <c r="C12" s="15" t="s">
        <v>180</v>
      </c>
      <c r="D12" s="16" t="s">
        <v>64</v>
      </c>
      <c r="E12" s="16"/>
      <c r="F12" s="16"/>
      <c r="G12" s="39" t="s">
        <v>180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2011</v>
      </c>
      <c r="H48" s="107">
        <f>DATE(G48,MONTH('Input|General'!$G$9),1)</f>
        <v>40695</v>
      </c>
      <c r="I48" s="106" t="str">
        <f>G48-1&amp;"–"&amp;RIGHT(G48,2)</f>
        <v>2010–11</v>
      </c>
    </row>
    <row r="49" spans="3:20">
      <c r="C49" s="97">
        <v>41061</v>
      </c>
      <c r="D49" s="16" t="s">
        <v>64</v>
      </c>
      <c r="E49" s="16"/>
      <c r="F49" s="16"/>
      <c r="G49" s="93">
        <v>2012</v>
      </c>
      <c r="H49" s="107">
        <f>DATE(G49,MONTH('Input|General'!$G$9),1)</f>
        <v>41061</v>
      </c>
      <c r="I49" s="106" t="str">
        <f t="shared" ref="I49:I66" si="0">G49-1&amp;"–"&amp;RIGHT(G49,2)</f>
        <v>2011–12</v>
      </c>
    </row>
    <row r="50" spans="3:20">
      <c r="C50" s="97">
        <v>41426</v>
      </c>
      <c r="D50" s="16" t="s">
        <v>64</v>
      </c>
      <c r="E50" s="16"/>
      <c r="F50" s="16"/>
      <c r="G50" s="93">
        <v>2013</v>
      </c>
      <c r="H50" s="107">
        <f>DATE(G50,MONTH('Input|General'!$G$9),1)</f>
        <v>41426</v>
      </c>
      <c r="I50" s="106" t="str">
        <f t="shared" si="0"/>
        <v>2012–13</v>
      </c>
    </row>
    <row r="51" spans="3:20">
      <c r="C51" s="97">
        <v>41791</v>
      </c>
      <c r="D51" s="16" t="s">
        <v>64</v>
      </c>
      <c r="E51" s="16"/>
      <c r="F51" s="16"/>
      <c r="G51" s="93">
        <v>2014</v>
      </c>
      <c r="H51" s="107">
        <f>DATE(G51,MONTH('Input|General'!$G$9),1)</f>
        <v>41791</v>
      </c>
      <c r="I51" s="106" t="str">
        <f t="shared" si="0"/>
        <v>2013–14</v>
      </c>
    </row>
    <row r="52" spans="3:20">
      <c r="C52" s="97">
        <v>42156</v>
      </c>
      <c r="D52" s="16" t="s">
        <v>64</v>
      </c>
      <c r="E52" s="16"/>
      <c r="F52" s="16"/>
      <c r="G52" s="93">
        <v>2015</v>
      </c>
      <c r="H52" s="107">
        <f>DATE(G52,MONTH('Input|General'!$G$9),1)</f>
        <v>42156</v>
      </c>
      <c r="I52" s="106" t="str">
        <f t="shared" si="0"/>
        <v>2014–15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2016</v>
      </c>
      <c r="H53" s="107">
        <f>DATE(G53,MONTH('Input|General'!$G$9),1)</f>
        <v>42522</v>
      </c>
      <c r="I53" s="106" t="str">
        <f t="shared" si="0"/>
        <v>2015–16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2017</v>
      </c>
      <c r="H54" s="107">
        <f>DATE(G54,MONTH('Input|General'!$G$9),1)</f>
        <v>42887</v>
      </c>
      <c r="I54" s="106" t="str">
        <f t="shared" si="0"/>
        <v>2016–17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2018</v>
      </c>
      <c r="H55" s="107">
        <f>DATE(G55,MONTH('Input|General'!$G$9),1)</f>
        <v>43252</v>
      </c>
      <c r="I55" s="106" t="str">
        <f t="shared" si="0"/>
        <v>2017–18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2019</v>
      </c>
      <c r="H56" s="107">
        <f>DATE(G56,MONTH('Input|General'!$G$9),1)</f>
        <v>43617</v>
      </c>
      <c r="I56" s="106" t="str">
        <f t="shared" si="0"/>
        <v>2018–19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2020</v>
      </c>
      <c r="H57" s="107">
        <f>DATE(G57,MONTH('Input|General'!$G$9),1)</f>
        <v>43983</v>
      </c>
      <c r="I57" s="106" t="str">
        <f t="shared" si="0"/>
        <v>2019–20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2021</v>
      </c>
      <c r="H58" s="107">
        <f>DATE(G58,MONTH('Input|General'!$G$9),1)</f>
        <v>44348</v>
      </c>
      <c r="I58" s="106" t="str">
        <f t="shared" si="0"/>
        <v>2020–21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2022</v>
      </c>
      <c r="H59" s="107">
        <f>DATE(G59,MONTH('Input|General'!$G$9),1)</f>
        <v>44713</v>
      </c>
      <c r="I59" s="106" t="str">
        <f t="shared" si="0"/>
        <v>2021–22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2023</v>
      </c>
      <c r="H60" s="107">
        <f>DATE(G60,MONTH('Input|General'!$G$9),1)</f>
        <v>45078</v>
      </c>
      <c r="I60" s="106" t="str">
        <f t="shared" si="0"/>
        <v>2022–23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2024</v>
      </c>
      <c r="H61" s="107">
        <f>DATE(G61,MONTH('Input|General'!$G$9),1)</f>
        <v>45444</v>
      </c>
      <c r="I61" s="106" t="str">
        <f t="shared" si="0"/>
        <v>2023–24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2025</v>
      </c>
      <c r="H62" s="107">
        <f>DATE(G62,MONTH('Input|General'!$G$9),1)</f>
        <v>45809</v>
      </c>
      <c r="I62" s="106" t="str">
        <f t="shared" si="0"/>
        <v>2024–25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2026</v>
      </c>
      <c r="H63" s="107">
        <f>DATE(G63,MONTH('Input|General'!$G$9),1)</f>
        <v>46174</v>
      </c>
      <c r="I63" s="106" t="str">
        <f t="shared" si="0"/>
        <v>2025–26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2027</v>
      </c>
      <c r="H64" s="107">
        <f>DATE(G64,MONTH('Input|General'!$G$9),1)</f>
        <v>46539</v>
      </c>
      <c r="I64" s="106" t="str">
        <f t="shared" si="0"/>
        <v>2026–27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2028</v>
      </c>
      <c r="H65" s="107">
        <f>DATE(G65,MONTH('Input|General'!$G$9),1)</f>
        <v>46905</v>
      </c>
      <c r="I65" s="106" t="str">
        <f t="shared" si="0"/>
        <v>2027–28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2029</v>
      </c>
      <c r="H66" s="107">
        <f>DATE(G66,MONTH('Input|General'!$G$9),1)</f>
        <v>47270</v>
      </c>
      <c r="I66" s="106" t="str">
        <f t="shared" si="0"/>
        <v>2028–29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2030</v>
      </c>
      <c r="H67" s="107">
        <f>DATE(G67,MONTH('Input|General'!$G$9),1)</f>
        <v>47635</v>
      </c>
      <c r="I67" s="106" t="str">
        <f t="shared" ref="I67:I68" si="1">G67-1&amp;"–"&amp;RIGHT(G67,2)</f>
        <v>2029–30</v>
      </c>
      <c r="T67" s="17"/>
    </row>
    <row r="68" spans="1:30">
      <c r="C68" s="97">
        <v>48000</v>
      </c>
      <c r="D68" s="16" t="s">
        <v>64</v>
      </c>
      <c r="E68" s="16"/>
      <c r="F68" s="16"/>
      <c r="G68" s="93">
        <v>2031</v>
      </c>
      <c r="H68" s="107">
        <f>DATE(G68,MONTH('Input|General'!$G$9),1)</f>
        <v>48000</v>
      </c>
      <c r="I68" s="106" t="str">
        <f t="shared" si="1"/>
        <v>2030–31</v>
      </c>
      <c r="T68" s="17"/>
    </row>
    <row r="69" spans="1:30" customFormat="1" ht="12.75">
      <c r="A69" s="32"/>
      <c r="B69" s="38" t="s">
        <v>139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>
      <c r="C71" s="13" t="str">
        <f>B69</f>
        <v>Regulatory years</v>
      </c>
      <c r="D71" s="20" t="s">
        <v>7</v>
      </c>
      <c r="E71" s="20"/>
      <c r="F71" s="14"/>
      <c r="G71" s="14" t="s">
        <v>140</v>
      </c>
      <c r="H71" s="14" t="s">
        <v>109</v>
      </c>
    </row>
    <row r="72" spans="1:30">
      <c r="C72" s="15" t="s">
        <v>159</v>
      </c>
      <c r="D72" s="16" t="s">
        <v>93</v>
      </c>
      <c r="E72" s="20"/>
      <c r="F72" s="14"/>
      <c r="G72" s="106" t="str">
        <f>IF(H72="","",IF(MONTH(H72)=12,YEAR(H72),YEAR(H72)-1&amp;"–"&amp;RIGHT(YEAR(H72),2)))</f>
        <v>2020–21</v>
      </c>
      <c r="H72" s="107">
        <f>DATE(PPFirstYear-1,MONTH('Input|General'!$G$9),1)</f>
        <v>44348</v>
      </c>
    </row>
    <row r="73" spans="1:30">
      <c r="C73" s="15" t="s">
        <v>129</v>
      </c>
      <c r="D73" s="16" t="s">
        <v>93</v>
      </c>
      <c r="E73" s="16"/>
      <c r="F73" s="16"/>
      <c r="G73" s="106" t="str">
        <f t="shared" ref="G73:G82" si="2">IF(H73="","",IF(MONTH(H73)=12,YEAR(H73),YEAR(H73)-1&amp;"–"&amp;RIGHT(YEAR(H73),2)))</f>
        <v>2021–22</v>
      </c>
      <c r="H73" s="107">
        <f>DATE(PPFirstYear,MONTH('Input|General'!$G$9),1)</f>
        <v>44713</v>
      </c>
    </row>
    <row r="74" spans="1:30">
      <c r="C74" s="15" t="s">
        <v>130</v>
      </c>
      <c r="D74" s="16" t="s">
        <v>93</v>
      </c>
      <c r="E74" s="16"/>
      <c r="F74" s="16"/>
      <c r="G74" s="106" t="str">
        <f t="shared" si="2"/>
        <v>2022–23</v>
      </c>
      <c r="H74" s="107">
        <f>IF(PPLastYear-PPFirstYear&lt;1,"",DATE(PPFirstYear+1,MONTH('Input|General'!$G$9),1))</f>
        <v>45078</v>
      </c>
    </row>
    <row r="75" spans="1:30">
      <c r="C75" s="15" t="s">
        <v>131</v>
      </c>
      <c r="D75" s="16" t="s">
        <v>93</v>
      </c>
      <c r="E75" s="16"/>
      <c r="F75" s="16"/>
      <c r="G75" s="106" t="str">
        <f t="shared" si="2"/>
        <v>2023–24</v>
      </c>
      <c r="H75" s="107">
        <f>IF(PPLastYear-PPFirstYear&lt;2,"",DATE(PPFirstYear+2,MONTH('Input|General'!$G$9),1))</f>
        <v>45444</v>
      </c>
    </row>
    <row r="76" spans="1:30">
      <c r="C76" s="15" t="s">
        <v>132</v>
      </c>
      <c r="D76" s="16" t="s">
        <v>93</v>
      </c>
      <c r="E76" s="16"/>
      <c r="F76" s="16"/>
      <c r="G76" s="106" t="str">
        <f t="shared" si="2"/>
        <v>2024–25</v>
      </c>
      <c r="H76" s="107">
        <f>IF(PPLastYear-PPFirstYear&lt;3,"",DATE(PPFirstYear+3,MONTH('Input|General'!$G$9),1))</f>
        <v>45809</v>
      </c>
    </row>
    <row r="77" spans="1:30">
      <c r="C77" s="15" t="s">
        <v>133</v>
      </c>
      <c r="D77" s="16" t="s">
        <v>93</v>
      </c>
      <c r="E77" s="16"/>
      <c r="F77" s="16"/>
      <c r="G77" s="106" t="str">
        <f t="shared" si="2"/>
        <v>2025–26</v>
      </c>
      <c r="H77" s="107">
        <f>IF(PPLastYear-PPFirstYear&lt;4,"",DATE(PPFirstYear+4,MONTH('Input|General'!$G$9),1))</f>
        <v>46174</v>
      </c>
    </row>
    <row r="78" spans="1:30">
      <c r="C78" s="15" t="s">
        <v>161</v>
      </c>
      <c r="D78" s="16" t="s">
        <v>93</v>
      </c>
      <c r="E78" s="16"/>
      <c r="F78" s="16"/>
      <c r="G78" s="106" t="str">
        <f t="shared" si="2"/>
        <v/>
      </c>
      <c r="H78" s="107" t="str">
        <f>IF(PPLastYear-PPFirstYear&lt;5,"",DATE(PPFirstYear+5,MONTH('Input|General'!$G$9),1))</f>
        <v/>
      </c>
    </row>
    <row r="79" spans="1:30">
      <c r="C79" s="15" t="s">
        <v>134</v>
      </c>
      <c r="D79" s="16" t="s">
        <v>93</v>
      </c>
      <c r="E79" s="16"/>
      <c r="F79" s="16"/>
      <c r="G79" s="106" t="str">
        <f t="shared" si="2"/>
        <v>2026–27</v>
      </c>
      <c r="H79" s="107">
        <f>DATE(FPFirstYear,MONTH('Input|General'!$G$9),1)</f>
        <v>46539</v>
      </c>
      <c r="T79" s="17"/>
    </row>
    <row r="80" spans="1:30">
      <c r="C80" s="15" t="s">
        <v>135</v>
      </c>
      <c r="D80" s="16" t="s">
        <v>93</v>
      </c>
      <c r="E80" s="16"/>
      <c r="F80" s="16"/>
      <c r="G80" s="106" t="str">
        <f t="shared" si="2"/>
        <v>2027–28</v>
      </c>
      <c r="H80" s="107">
        <f>IF(FPLastYear-FPFirstYear&lt;1,"",DATE(FPFirstYear+1,MONTH('Input|General'!$G$9),1))</f>
        <v>46905</v>
      </c>
      <c r="T80" s="17"/>
    </row>
    <row r="81" spans="1:30">
      <c r="C81" s="15" t="s">
        <v>136</v>
      </c>
      <c r="D81" s="16" t="s">
        <v>93</v>
      </c>
      <c r="E81" s="16"/>
      <c r="F81" s="16"/>
      <c r="G81" s="106" t="str">
        <f t="shared" si="2"/>
        <v>2028–29</v>
      </c>
      <c r="H81" s="107">
        <f>IF(FPLastYear-FPFirstYear&lt;2,"",DATE(FPFirstYear+2,MONTH('Input|General'!$G$9),1))</f>
        <v>47270</v>
      </c>
      <c r="T81" s="17"/>
    </row>
    <row r="82" spans="1:30">
      <c r="C82" s="15" t="s">
        <v>137</v>
      </c>
      <c r="D82" s="16" t="s">
        <v>93</v>
      </c>
      <c r="E82" s="16"/>
      <c r="F82" s="16"/>
      <c r="G82" s="106" t="str">
        <f t="shared" si="2"/>
        <v>2029–30</v>
      </c>
      <c r="H82" s="107">
        <f>IF(FPLastYear-FPFirstYear&lt;3,"",DATE(FPFirstYear+3,MONTH('Input|General'!$G$9),1))</f>
        <v>47635</v>
      </c>
      <c r="T82" s="17"/>
    </row>
    <row r="83" spans="1:30">
      <c r="C83" s="15" t="s">
        <v>138</v>
      </c>
      <c r="D83" s="16" t="s">
        <v>93</v>
      </c>
      <c r="E83" s="16"/>
      <c r="F83" s="16"/>
      <c r="G83" s="106" t="str">
        <f>IF(H83="","",IF(MONTH(H83)=12,YEAR(H83),YEAR(H83)-1&amp;"–"&amp;RIGHT(YEAR(H83),2)))</f>
        <v>2030–31</v>
      </c>
      <c r="H83" s="107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3"/>
      <c r="H84" s="114"/>
      <c r="T84" s="17"/>
    </row>
    <row r="85" spans="1:30" customFormat="1" ht="12.75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  <row r="86" spans="1:30"/>
    <row r="87" spans="1:30"/>
  </sheetData>
  <sheetProtection selectLockedCells="1"/>
  <conditionalFormatting sqref="P21:Q28">
    <cfRule type="expression" dxfId="10" priority="55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2026-05-12T05:44:48Z</dcterms:created>
  <dcterms:modified xsi:type="dcterms:W3CDTF">2026-05-12T05:49:38Z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2026-05-12T05:45:00Z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a18133ae-6d80-4033-8afd-4663d9b990ea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