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defaultThemeVersion="124226"/>
  <xr:revisionPtr revIDLastSave="0" documentId="8_{56D67BE2-99C1-4395-B671-8BB560E1BD4A}" xr6:coauthVersionLast="47" xr6:coauthVersionMax="47" xr10:uidLastSave="{00000000-0000-0000-0000-000000000000}"/>
  <bookViews>
    <workbookView xWindow="-28920" yWindow="1455" windowWidth="29040" windowHeight="15720" tabRatio="741" firstSheet="4" activeTab="5" xr2:uid="{00000000-000D-0000-FFFF-FFFF00000000}"/>
  </bookViews>
  <sheets>
    <sheet name="Cover" sheetId="43" r:id="rId1"/>
    <sheet name="Index" sheetId="44" r:id="rId2"/>
    <sheet name="OVERVIEW -&gt;" sheetId="88" r:id="rId3"/>
    <sheet name="Structure" sheetId="89" r:id="rId4"/>
    <sheet name="Summary" sheetId="57" r:id="rId5"/>
    <sheet name="Summary Detailed" sheetId="121" r:id="rId6"/>
    <sheet name="Summary Chart" sheetId="122" r:id="rId7"/>
    <sheet name="Tariff price summary" sheetId="124" r:id="rId8"/>
    <sheet name="Controlled load" sheetId="135" r:id="rId9"/>
    <sheet name="SSO" sheetId="133" r:id="rId10"/>
    <sheet name="CHARTS -&gt;" sheetId="93" r:id="rId11"/>
    <sheet name="Res Flat rate" sheetId="83" r:id="rId12"/>
    <sheet name="SB Flat rate" sheetId="120" r:id="rId13"/>
    <sheet name="DMO Zone prices -&gt;" sheetId="90" r:id="rId14"/>
    <sheet name="Ausgrid" sheetId="108" r:id="rId15"/>
    <sheet name="Endeavour" sheetId="113" r:id="rId16"/>
    <sheet name="Essential" sheetId="114" r:id="rId17"/>
    <sheet name="Energex" sheetId="115" r:id="rId18"/>
    <sheet name="SAPN" sheetId="116" r:id="rId19"/>
    <sheet name="COST CALCS -&gt;" sheetId="91" r:id="rId20"/>
    <sheet name="Wholesale cost" sheetId="66" r:id="rId21"/>
    <sheet name="Network cost" sheetId="52" r:id="rId22"/>
    <sheet name="Environmental cost" sheetId="68" r:id="rId23"/>
    <sheet name="Retail cost" sheetId="98" r:id="rId24"/>
    <sheet name="INPUTS -&gt;" sheetId="92" r:id="rId25"/>
    <sheet name="Detail inputs" sheetId="58" r:id="rId26"/>
    <sheet name="More information-&gt;" sheetId="132" r:id="rId27"/>
    <sheet name="Network Tariff codes" sheetId="78" r:id="rId28"/>
    <sheet name="Usage" sheetId="61" r:id="rId29"/>
    <sheet name="Lists" sheetId="60" state="hidden" r:id="rId30"/>
  </sheets>
  <definedNames>
    <definedName name="_xlnm._FilterDatabase" localSheetId="25" hidden="1">'Detail inputs'!$B$3:$T$515</definedName>
    <definedName name="_xlnm._FilterDatabase" localSheetId="3" hidden="1">Structure!$B$26:$C$26</definedName>
    <definedName name="_xlnm._FilterDatabase" localSheetId="4" hidden="1">Summary!$AR$32:$AR$32</definedName>
    <definedName name="_xlnm._FilterDatabase" localSheetId="28" hidden="1">Usage!$B$6:$M$6</definedName>
    <definedName name="Aus_RESI_flat_proportion">'Detail inputs'!$J$490</definedName>
    <definedName name="Aus_RESI_tou_proportion">'Detail inputs'!$J$491</definedName>
    <definedName name="Aus_SB_flat_proportion">'Detail inputs'!$J$500</definedName>
    <definedName name="Aus_SB_tou_proportion">'Detail inputs'!$J$501</definedName>
    <definedName name="Ausgrid_desc_tariff">Ausgrid!$I$46:$I$58</definedName>
    <definedName name="Ausgrid_Description">Ausgrid!$I$35:$I$39</definedName>
    <definedName name="Ausgrid_ResFR_ChangePer">Ausgrid!$O$32:$O$40</definedName>
    <definedName name="Ausgrid_REStou_FY_cost">Ausgrid!$Z$35:$Z$39</definedName>
    <definedName name="Ausgrid_REStou_PY_cost">Ausgrid!$U$35:$U$39</definedName>
    <definedName name="Ausgrid_RESwCL_FY_cost">Ausgrid!$Z$35:$Z$39</definedName>
    <definedName name="Ausgrid_RESwCL_PY_cost">Ausgrid!$U$35:$U$39</definedName>
    <definedName name="Ausgrid_RESwoCL_FY_cost">Ausgrid!$Q$35:$Q$39</definedName>
    <definedName name="Ausgrid_RESwoCL_PY_cost">Ausgrid!$L$35:$L$39</definedName>
    <definedName name="Ausgrid_SbFR_ChangePer">Ausgrid!$AG$32:$AG$40</definedName>
    <definedName name="Ausgrid_SBtou_FY_cost">Ausgrid!$AR$35:$AR$39</definedName>
    <definedName name="Ausgrid_SBtou_PY_cost">Ausgrid!$AM$35:$AM$39</definedName>
    <definedName name="Ausgrid_SBwoCL_FY_cost">Ausgrid!$AI$35:$AI$39</definedName>
    <definedName name="Ausgrid_SBwoCL_PY_cost">Ausgrid!$AD$35:$AD$39</definedName>
    <definedName name="Ausgrid_TarResFR_FY_chargesWGST">Ausgrid!$P$49:$Q$58</definedName>
    <definedName name="CL_Description">'Controlled load'!$D$1:$D$952</definedName>
    <definedName name="CL_DistributionZone">'Controlled load'!$B$1:$B$952</definedName>
    <definedName name="CL_FixedCosts">'Controlled load'!$K$1:$K$952</definedName>
    <definedName name="CL_Price">'Controlled load'!$H$1:$H$952</definedName>
    <definedName name="CL_TariffType">'Controlled load'!$C$1:$C$952</definedName>
    <definedName name="CL_Usage">'Controlled load'!$E$1:$E$952</definedName>
    <definedName name="CL_VarCosts">'Controlled load'!$L$1:$L$952</definedName>
    <definedName name="CPI">'Detail inputs'!$J$8</definedName>
    <definedName name="CPI_firstyear">'Network Tariff codes'!$J$9</definedName>
    <definedName name="CPIPY">'Detail inputs'!$J$7</definedName>
    <definedName name="CustomerSubType">'Detail inputs'!$C$1:$C$998</definedName>
    <definedName name="CustomerType">'Detail inputs'!$D$1:$D$998</definedName>
    <definedName name="Days">'Detail inputs'!$J$9</definedName>
    <definedName name="Desc_FixedOrVar">'Detail inputs'!$H$1:$H$998</definedName>
    <definedName name="Description">'Detail inputs'!$G$1:$G$998</definedName>
    <definedName name="DeterminationStage">'Detail inputs'!$J$6</definedName>
    <definedName name="DistributionZone">'Detail inputs'!$B$1:$B$998</definedName>
    <definedName name="End_RESI_flat_proportion">'Detail inputs'!$J$492</definedName>
    <definedName name="End_RESI_tou_proportion">'Detail inputs'!$J$493</definedName>
    <definedName name="End_SB_flat_proportion">'Detail inputs'!$J$502</definedName>
    <definedName name="End_SB_tou_proportion">'Detail inputs'!$J$503</definedName>
    <definedName name="Endeavour_description">Endeavour!$H$35:$H$39</definedName>
    <definedName name="Endeavour_ResFR_ChangePer">Endeavour!$N$32:$N$40</definedName>
    <definedName name="Endeavour_REStou_FY_cost">Endeavour!$Y$35:$Y$39</definedName>
    <definedName name="Endeavour_REStou_PY_cost">Endeavour!$T$35:$T$39</definedName>
    <definedName name="Endeavour_RESwoCL_FY_cost">Endeavour!$P$35:$P$39</definedName>
    <definedName name="Endeavour_RESwoCL_PY_cost">Endeavour!$K$35:$K$39</definedName>
    <definedName name="Endeavour_SbFR_ChangePer">Endeavour!$AF$32:$AF$40</definedName>
    <definedName name="Endeavour_SBtou_FY_cost">Endeavour!$AQ$35:$AQ$39</definedName>
    <definedName name="Endeavour_SBtou_PY_cost">Endeavour!$AL$35:$AL$39</definedName>
    <definedName name="Endeavour_SBwoCL_FY_cost">Endeavour!$AH$35:$AH$39</definedName>
    <definedName name="Endeavour_SBwoCL_PY_cost">Endeavour!$AC$35:$AC$39</definedName>
    <definedName name="Ene_RESI_flat_proportion">'Detail inputs'!$J$496</definedName>
    <definedName name="Ene_RESI_tou_proportion">'Detail inputs'!$J$497</definedName>
    <definedName name="Ene_SB_flat_proportion">'Detail inputs'!$J$506</definedName>
    <definedName name="Ene_SB_tou_proportion">'Detail inputs'!$J$507</definedName>
    <definedName name="Energex_description">Energex!$H$35:$H$39</definedName>
    <definedName name="Energex_ResFR_ChangePer">Energex!$N$35:$N$40</definedName>
    <definedName name="Energex_REStou_FY_cost">Energex!$Y$35:$Y$39</definedName>
    <definedName name="Energex_REStou_PY_cost">Energex!$T$35:$T$39</definedName>
    <definedName name="Energex_RESwoCL_FY_cost">Energex!$P$35:$P$39</definedName>
    <definedName name="Energex_RESwoCL_PY_cost">Energex!$K$35:$K$39</definedName>
    <definedName name="Energex_SBFR_ChangePer">Energex!$AF$32:$AF$40</definedName>
    <definedName name="Energex_SBtou_FY_cost">Energex!$AQ$35:$AQ$39</definedName>
    <definedName name="Energex_SBtou_PY_cost">Energex!$AL$35:$AL$39</definedName>
    <definedName name="Energex_SBwoCL_FY_cost">Energex!$AH$35:$AH$39</definedName>
    <definedName name="Energex_SBwoCL_PY_cost">Energex!$AC$35:$AC$39</definedName>
    <definedName name="Enviro_ChangePer">'Environmental cost'!$M$1:$M$1126</definedName>
    <definedName name="Enviro_CustomerType">'Environmental cost'!$C$1:$C$1126</definedName>
    <definedName name="Enviro_Description">'Environmental cost'!$G$1:$G$1126</definedName>
    <definedName name="Enviro_DistributionZone">'Environmental cost'!$B$1:$B$1126</definedName>
    <definedName name="Enviro_FY_CostTotal">'Environmental cost'!$Q$1:$Q$1126</definedName>
    <definedName name="Enviro_FY_FixedFees">'Environmental cost'!$O$1:$O$1126</definedName>
    <definedName name="Enviro_FY_VarFees">'Environmental cost'!$P$1:$P$1126</definedName>
    <definedName name="Enviro_PY_CostTotal">'Environmental cost'!$J$1:$J$1126</definedName>
    <definedName name="Enviro_PY_FixedFees">'Environmental cost'!$H$1:$H$1126</definedName>
    <definedName name="Enviro_PY_VarFees">'Environmental cost'!$I$1:$I$1126</definedName>
    <definedName name="Enviro_TariffL2">'Environmental cost'!$D$1:$D$1126</definedName>
    <definedName name="Enviro_TariffType">'Environmental cost'!$E$1:$E$1126</definedName>
    <definedName name="Ess_RESI_flat_proportion">'Detail inputs'!$J$494</definedName>
    <definedName name="Ess_RESI_tou_proportion">'Detail inputs'!$J$495</definedName>
    <definedName name="Ess_SB_flat_proportion">'Detail inputs'!$J$504</definedName>
    <definedName name="Ess_SB_tou_proportion">'Detail inputs'!$J$505</definedName>
    <definedName name="Essential_description">Essential!$H$35:$H$39</definedName>
    <definedName name="Essential_ResFR_ChangePer">Essential!$N$32:$N$40</definedName>
    <definedName name="Essential_REStou_FY_cost">Essential!$Y$35:$Y$39</definedName>
    <definedName name="Essential_REStou_PY_cost">Essential!$T$35:$T$39</definedName>
    <definedName name="Essential_RESwoCL_FY_cost">Essential!$P$35:$P$39</definedName>
    <definedName name="Essential_RESwoCL_PY_cost">Essential!$K$35:$K$39</definedName>
    <definedName name="Essential_SBFR_ChangePer">Essential!$AF$32:$AF$40</definedName>
    <definedName name="Essential_SBtou_FY_cost">Essential!$AQ$35:$AQ$39</definedName>
    <definedName name="Essential_SBtou_PY_cost">Essential!$AL$35:$AL$39</definedName>
    <definedName name="Essential_SBwoCL_FY_cost">Essential!$AH$35:$AH$39</definedName>
    <definedName name="Essential_SBwoCL_PY_cost">Essential!$AC$35:$AC$39</definedName>
    <definedName name="FY">'Detail inputs'!$J$4</definedName>
    <definedName name="GST">'Detail inputs'!$J$11</definedName>
    <definedName name="Network_ChangePer">'Network cost'!$M$1:$M$1080</definedName>
    <definedName name="Network_CustomerType">'Network cost'!$C$1:$C$1080</definedName>
    <definedName name="Network_Description">'Network cost'!$G$1:$G$1080</definedName>
    <definedName name="Network_DistributionZone">'Network cost'!$B$1:$B$1080</definedName>
    <definedName name="Network_FY_CostTotal">'Network cost'!$Q$1:$Q$1080</definedName>
    <definedName name="Network_FY_FixedFees">'Network cost'!$O$1:$O$1080</definedName>
    <definedName name="Network_FY_VarFees">'Network cost'!$P$1:$P$1080</definedName>
    <definedName name="Network_PY_CostTotal">'Network cost'!$J$1:$J$1080</definedName>
    <definedName name="Network_PY_FixedFees">'Network cost'!$H$1:$H$1080</definedName>
    <definedName name="Network_PY_VarFees">'Network cost'!$I$1:$I$1080</definedName>
    <definedName name="Network_TariffL2">'Network cost'!$D$1:$D$1080</definedName>
    <definedName name="Network_TariffType">'Network cost'!$E$1:$E$1080</definedName>
    <definedName name="Network_Usage">'Network cost'!$F$1:$F$1080</definedName>
    <definedName name="PY">'Detail inputs'!$J$5</definedName>
    <definedName name="Retail_ChangePer">'Retail cost'!$M$1:$M$1000</definedName>
    <definedName name="Retail_CustomerType">'Retail cost'!$C$1:$C$1000</definedName>
    <definedName name="Retail_Description">'Retail cost'!$G$1:$G$1000</definedName>
    <definedName name="Retail_DistributionZone">'Retail cost'!$B$1:$B$1000</definedName>
    <definedName name="Retail_FY_CostTotal">'Retail cost'!$Q$1:$Q$1000</definedName>
    <definedName name="Retail_FY_FixedFees">'Retail cost'!$O$1:$O$1000</definedName>
    <definedName name="Retail_FY_VarFees">'Retail cost'!$P$1:$P$1000</definedName>
    <definedName name="Retail_PY_CostTotal">'Retail cost'!$J$1:$J$1000</definedName>
    <definedName name="Retail_PY_FixedFees">'Retail cost'!$H$1:$H$1000</definedName>
    <definedName name="Retail_PY_VarFees">'Retail cost'!$I$1:$I$1000</definedName>
    <definedName name="Retail_TariffL2">'Retail cost'!$D$1:$D$1000</definedName>
    <definedName name="Retail_TariffType">'Retail cost'!$E$1:$E$1000</definedName>
    <definedName name="RetailMargin_FY_SB">'Detail inputs'!$J$216</definedName>
    <definedName name="RetailMargin_PY_SB">'Detail inputs'!$I$216</definedName>
    <definedName name="RetailMargin_RES">'Detail inputs'!$J$214</definedName>
    <definedName name="SAP_RESI_flat_proportion">'Detail inputs'!$J$498</definedName>
    <definedName name="Sap_RESI_tou_proportion">'Detail inputs'!$J$499</definedName>
    <definedName name="Sap_SB_flat_proportion">'Detail inputs'!$J$508</definedName>
    <definedName name="Sap_SB_tou_proportion">'Detail inputs'!$J$509</definedName>
    <definedName name="SAPN_description">SAPN!$H$35:$H$39</definedName>
    <definedName name="SAPN_ResFR_ChangePer">SAPN!$N$32:$N$40</definedName>
    <definedName name="SAPN_REStou_FY_cost">SAPN!$Y$35:$Y$39</definedName>
    <definedName name="SAPN_REStou_PY_cost">SAPN!$T$35:$T$39</definedName>
    <definedName name="SAPN_RESwoCL_FY_cost">SAPN!$P$35:$P$39</definedName>
    <definedName name="SAPN_RESwoCL_PY_cost">SAPN!$K$35:$K$39</definedName>
    <definedName name="SAPN_SBFR_ChangePer">SAPN!$AF$32:$AF$40</definedName>
    <definedName name="SAPN_SBtou_FY_cost">SAPN!$AQ$35:$AQ$39</definedName>
    <definedName name="SAPN_SBtou_PY_cost">SAPN!$AL$35:$AL$39</definedName>
    <definedName name="SAPN_SBwoCL_FY_cost">SAPN!$AH$35:$AH$39</definedName>
    <definedName name="SAPN_SBwoCL_PY_cost">SAPN!$AC$35:$AC$39</definedName>
    <definedName name="tariffL2">'Detail inputs'!$E$1:$E$998</definedName>
    <definedName name="tariffType">'Detail inputs'!$F$1:$F$998</definedName>
    <definedName name="valuesFY">'Detail inputs'!$J$1:$J$998</definedName>
    <definedName name="valuesPY">'Detail inputs'!$I$1:$I$998</definedName>
    <definedName name="Wholesale_ChangePer">'Wholesale cost'!$M$1:$M$1067</definedName>
    <definedName name="Wholesale_CustomerType">'Wholesale cost'!$C$1:$C$1067</definedName>
    <definedName name="Wholesale_Description">'Wholesale cost'!$G$1:$G$1067</definedName>
    <definedName name="Wholesale_DistributionZone">'Wholesale cost'!$B$1:$B$1067</definedName>
    <definedName name="Wholesale_FY_CostTotal">'Wholesale cost'!$Q$1:$Q$1067</definedName>
    <definedName name="Wholesale_FY_FixedFees">'Wholesale cost'!$O$1:$O$1067</definedName>
    <definedName name="Wholesale_FY_VarFees">'Wholesale cost'!$P$1:$P$1067</definedName>
    <definedName name="Wholesale_PY_CostTotal">'Wholesale cost'!$J$1:$J$1067</definedName>
    <definedName name="Wholesale_PY_FixedFees">'Wholesale cost'!$H$1:$H$1067</definedName>
    <definedName name="Wholesale_PY_VarFees">'Wholesale cost'!$I$1:$I$1067</definedName>
    <definedName name="Wholesale_TariffL2">'Wholesale cost'!$D$1:$D$1067</definedName>
    <definedName name="Wholesale_TariffType">'Wholesale cost'!$E$1:$E$1067</definedName>
    <definedName name="Wholesale_Usage">'Wholesale cost'!$F$1:$F$1067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 i="57" l="1"/>
  <c r="O36" i="121"/>
  <c r="AK34" i="116"/>
  <c r="AB34" i="116"/>
  <c r="S34" i="116"/>
  <c r="AK34" i="115"/>
  <c r="AB34" i="115"/>
  <c r="S34" i="115"/>
  <c r="J34" i="115"/>
  <c r="AB34" i="114"/>
  <c r="J34" i="114"/>
  <c r="AB34" i="113"/>
  <c r="J34" i="116"/>
  <c r="N40" i="116"/>
  <c r="J7" i="58"/>
  <c r="J6" i="58"/>
  <c r="A2" i="124"/>
  <c r="N515" i="58" l="1"/>
  <c r="N514" i="58"/>
  <c r="N513" i="58"/>
  <c r="N512" i="58"/>
  <c r="N511" i="58"/>
  <c r="N510" i="58"/>
  <c r="N509" i="58"/>
  <c r="N508" i="58"/>
  <c r="N507" i="58"/>
  <c r="N506" i="58"/>
  <c r="N505" i="58"/>
  <c r="N504" i="58"/>
  <c r="N503" i="58"/>
  <c r="N502" i="58"/>
  <c r="N501" i="58"/>
  <c r="N500" i="58"/>
  <c r="N499" i="58"/>
  <c r="N498" i="58"/>
  <c r="N497" i="58"/>
  <c r="N496" i="58"/>
  <c r="N495" i="58"/>
  <c r="N494" i="58"/>
  <c r="N493" i="58"/>
  <c r="N492" i="58"/>
  <c r="N491" i="58"/>
  <c r="N490" i="58"/>
  <c r="N489" i="58"/>
  <c r="N488" i="58"/>
  <c r="N487" i="58"/>
  <c r="N486" i="58"/>
  <c r="N485" i="58"/>
  <c r="N484" i="58"/>
  <c r="N483" i="58"/>
  <c r="N482" i="58"/>
  <c r="N481" i="58"/>
  <c r="N480" i="58"/>
  <c r="N479" i="58"/>
  <c r="N478" i="58"/>
  <c r="N477" i="58"/>
  <c r="N476" i="58"/>
  <c r="N475" i="58"/>
  <c r="N474" i="58"/>
  <c r="N473" i="58"/>
  <c r="N472" i="58"/>
  <c r="N471" i="58"/>
  <c r="N470" i="58"/>
  <c r="N469" i="58"/>
  <c r="N468" i="58"/>
  <c r="N467" i="58"/>
  <c r="N466" i="58"/>
  <c r="N465" i="58"/>
  <c r="N464" i="58"/>
  <c r="N463" i="58"/>
  <c r="N462" i="58"/>
  <c r="N461" i="58"/>
  <c r="N460" i="58"/>
  <c r="N459" i="58"/>
  <c r="N458" i="58"/>
  <c r="N457" i="58"/>
  <c r="N456" i="58"/>
  <c r="N455" i="58"/>
  <c r="N454" i="58"/>
  <c r="N453" i="58"/>
  <c r="N452" i="58"/>
  <c r="N451" i="58"/>
  <c r="N450" i="58"/>
  <c r="N449" i="58"/>
  <c r="N448" i="58"/>
  <c r="N447" i="58"/>
  <c r="N446" i="58"/>
  <c r="N445" i="58"/>
  <c r="N444" i="58"/>
  <c r="N443" i="58"/>
  <c r="N442" i="58"/>
  <c r="N441" i="58"/>
  <c r="N440" i="58"/>
  <c r="N439" i="58"/>
  <c r="N438" i="58"/>
  <c r="N437" i="58"/>
  <c r="N436" i="58"/>
  <c r="N435" i="58"/>
  <c r="N434" i="58"/>
  <c r="N433" i="58"/>
  <c r="N432" i="58"/>
  <c r="N431" i="58"/>
  <c r="N430" i="58"/>
  <c r="N429" i="58"/>
  <c r="N428" i="58"/>
  <c r="N427" i="58"/>
  <c r="N426" i="58"/>
  <c r="N425" i="58"/>
  <c r="N424" i="58"/>
  <c r="N423" i="58"/>
  <c r="N422" i="58"/>
  <c r="N421" i="58"/>
  <c r="N420" i="58"/>
  <c r="N419" i="58"/>
  <c r="N418" i="58"/>
  <c r="N417" i="58"/>
  <c r="N416" i="58"/>
  <c r="N415" i="58"/>
  <c r="N414" i="58"/>
  <c r="N413" i="58"/>
  <c r="N412" i="58"/>
  <c r="N411" i="58"/>
  <c r="N410" i="58"/>
  <c r="N409" i="58"/>
  <c r="N408" i="58"/>
  <c r="N407" i="58"/>
  <c r="N406" i="58"/>
  <c r="N405" i="58"/>
  <c r="N404" i="58"/>
  <c r="N403" i="58"/>
  <c r="N402" i="58"/>
  <c r="N401" i="58"/>
  <c r="N400" i="58"/>
  <c r="N399" i="58"/>
  <c r="N398" i="58"/>
  <c r="N397" i="58"/>
  <c r="N396" i="58"/>
  <c r="N395" i="58"/>
  <c r="N394" i="58"/>
  <c r="N393" i="58"/>
  <c r="N392" i="58"/>
  <c r="N391" i="58"/>
  <c r="N390" i="58"/>
  <c r="N389" i="58"/>
  <c r="N388" i="58"/>
  <c r="N387" i="58"/>
  <c r="N386" i="58"/>
  <c r="N385" i="58"/>
  <c r="N384" i="58"/>
  <c r="N383" i="58"/>
  <c r="N382" i="58"/>
  <c r="N381" i="58"/>
  <c r="N380" i="58"/>
  <c r="N379" i="58"/>
  <c r="N378" i="58"/>
  <c r="N377" i="58"/>
  <c r="N376" i="58"/>
  <c r="N375" i="58"/>
  <c r="N374" i="58"/>
  <c r="N373" i="58"/>
  <c r="N372" i="58"/>
  <c r="N371" i="58"/>
  <c r="N370" i="58"/>
  <c r="N369" i="58"/>
  <c r="N368" i="58"/>
  <c r="N367" i="58"/>
  <c r="N366" i="58"/>
  <c r="N365" i="58"/>
  <c r="N364" i="58"/>
  <c r="N363" i="58"/>
  <c r="N362" i="58"/>
  <c r="N361" i="58"/>
  <c r="N360" i="58"/>
  <c r="N359" i="58"/>
  <c r="N358" i="58"/>
  <c r="N357" i="58"/>
  <c r="N356" i="58"/>
  <c r="N355" i="58"/>
  <c r="N354" i="58"/>
  <c r="N353" i="58"/>
  <c r="N352" i="58"/>
  <c r="N351" i="58"/>
  <c r="N350" i="58"/>
  <c r="N349" i="58"/>
  <c r="N348" i="58"/>
  <c r="N347" i="58"/>
  <c r="N346" i="58"/>
  <c r="N345" i="58"/>
  <c r="N344" i="58"/>
  <c r="N343" i="58"/>
  <c r="N342" i="58"/>
  <c r="N337" i="58"/>
  <c r="N332" i="58"/>
  <c r="N331" i="58"/>
  <c r="N330" i="58"/>
  <c r="N329" i="58"/>
  <c r="N328" i="58"/>
  <c r="N327" i="58"/>
  <c r="N326" i="58"/>
  <c r="N325" i="58"/>
  <c r="N324" i="58"/>
  <c r="N323" i="58"/>
  <c r="N322" i="58"/>
  <c r="N321" i="58"/>
  <c r="N320" i="58"/>
  <c r="N319" i="58"/>
  <c r="N318" i="58"/>
  <c r="N317" i="58"/>
  <c r="N312" i="58"/>
  <c r="N311" i="58"/>
  <c r="N310" i="58"/>
  <c r="N309" i="58"/>
  <c r="N308" i="58"/>
  <c r="N306" i="58"/>
  <c r="N305" i="58"/>
  <c r="N304" i="58"/>
  <c r="N303" i="58"/>
  <c r="N302" i="58"/>
  <c r="N301" i="58"/>
  <c r="N300" i="58"/>
  <c r="N299" i="58"/>
  <c r="N298" i="58"/>
  <c r="N297" i="58"/>
  <c r="N296" i="58"/>
  <c r="N295" i="58"/>
  <c r="N294" i="58"/>
  <c r="N293" i="58"/>
  <c r="N292" i="58"/>
  <c r="N291" i="58"/>
  <c r="N290" i="58"/>
  <c r="N289" i="58"/>
  <c r="N288" i="58"/>
  <c r="N287" i="58"/>
  <c r="N286" i="58"/>
  <c r="N285" i="58"/>
  <c r="N284" i="58"/>
  <c r="N283" i="58"/>
  <c r="N282" i="58"/>
  <c r="N281" i="58"/>
  <c r="N280" i="58"/>
  <c r="N279" i="58"/>
  <c r="N278" i="58"/>
  <c r="N277" i="58"/>
  <c r="N276" i="58"/>
  <c r="N275" i="58"/>
  <c r="N274" i="58"/>
  <c r="N273" i="58"/>
  <c r="N272" i="58"/>
  <c r="N271" i="58"/>
  <c r="N270" i="58"/>
  <c r="N269" i="58"/>
  <c r="N268" i="58"/>
  <c r="N267" i="58"/>
  <c r="N266" i="58"/>
  <c r="N265" i="58"/>
  <c r="N264" i="58"/>
  <c r="N263" i="58"/>
  <c r="N262" i="58"/>
  <c r="N261" i="58"/>
  <c r="N260" i="58"/>
  <c r="N259" i="58"/>
  <c r="N258" i="58"/>
  <c r="N257" i="58"/>
  <c r="N256" i="58"/>
  <c r="N255" i="58"/>
  <c r="N254" i="58"/>
  <c r="N253" i="58"/>
  <c r="N252" i="58"/>
  <c r="N251" i="58"/>
  <c r="N250" i="58"/>
  <c r="N249" i="58"/>
  <c r="N248" i="58"/>
  <c r="N247" i="58"/>
  <c r="N246" i="58"/>
  <c r="N245" i="58"/>
  <c r="N244" i="58"/>
  <c r="N243" i="58"/>
  <c r="N242" i="58"/>
  <c r="N241" i="58"/>
  <c r="N240" i="58"/>
  <c r="N239" i="58"/>
  <c r="N238" i="58"/>
  <c r="N237" i="58"/>
  <c r="N234" i="58"/>
  <c r="N233" i="58"/>
  <c r="N232" i="58"/>
  <c r="N228" i="58"/>
  <c r="N227" i="58"/>
  <c r="N226" i="58"/>
  <c r="N225" i="58"/>
  <c r="N224" i="58"/>
  <c r="N223" i="58"/>
  <c r="N222" i="58"/>
  <c r="N221" i="58"/>
  <c r="N220" i="58"/>
  <c r="N219" i="58"/>
  <c r="N218" i="58"/>
  <c r="N217" i="58"/>
  <c r="N216" i="58"/>
  <c r="N215" i="58"/>
  <c r="N214" i="58"/>
  <c r="N213" i="58"/>
  <c r="N212" i="58"/>
  <c r="N211" i="58"/>
  <c r="N210" i="58"/>
  <c r="N209" i="58"/>
  <c r="N208" i="58"/>
  <c r="N207" i="58"/>
  <c r="N206" i="58"/>
  <c r="N205" i="58"/>
  <c r="N204" i="58"/>
  <c r="N203" i="58"/>
  <c r="N202" i="58"/>
  <c r="N201" i="58"/>
  <c r="N200" i="58"/>
  <c r="N199" i="58"/>
  <c r="N198" i="58"/>
  <c r="N197" i="58"/>
  <c r="N196" i="58"/>
  <c r="N195" i="58"/>
  <c r="N194" i="58"/>
  <c r="N193" i="58"/>
  <c r="N192" i="58"/>
  <c r="N191" i="58"/>
  <c r="N190" i="58"/>
  <c r="N189" i="58"/>
  <c r="N188" i="58"/>
  <c r="N187" i="58"/>
  <c r="N186" i="58"/>
  <c r="N185" i="58"/>
  <c r="N184" i="58"/>
  <c r="N183" i="58"/>
  <c r="N182" i="58"/>
  <c r="N181" i="58"/>
  <c r="N180" i="58"/>
  <c r="N179" i="58"/>
  <c r="N178" i="58"/>
  <c r="N177" i="58"/>
  <c r="N176" i="58"/>
  <c r="N175" i="58"/>
  <c r="N174" i="58"/>
  <c r="N173" i="58"/>
  <c r="N172" i="58"/>
  <c r="N171" i="58"/>
  <c r="N170" i="58"/>
  <c r="N169" i="58"/>
  <c r="N168" i="58"/>
  <c r="N167" i="58"/>
  <c r="N166" i="58"/>
  <c r="N165" i="58"/>
  <c r="N164" i="58"/>
  <c r="N163" i="58"/>
  <c r="N162" i="58"/>
  <c r="N161" i="58"/>
  <c r="N160" i="58"/>
  <c r="N159" i="58"/>
  <c r="J8" i="58" l="1"/>
  <c r="D9" i="78"/>
  <c r="D10" i="78"/>
  <c r="J326" i="58" l="1"/>
  <c r="P182" i="135" l="1" a="1"/>
  <c r="P182" i="135" s="1"/>
  <c r="O182" i="135" a="1"/>
  <c r="O182" i="135" s="1"/>
  <c r="N182" i="135" a="1"/>
  <c r="N182" i="135" s="1"/>
  <c r="M182" i="135" a="1"/>
  <c r="M182" i="135" s="1"/>
  <c r="M181" i="135" a="1"/>
  <c r="M181" i="135" s="1"/>
  <c r="M179" i="135" a="1"/>
  <c r="M179" i="135" s="1"/>
  <c r="I182" i="135" a="1"/>
  <c r="I182" i="135" s="1"/>
  <c r="H182" i="135" a="1"/>
  <c r="H182" i="135" s="1"/>
  <c r="G182" i="135" a="1"/>
  <c r="G182" i="135" s="1"/>
  <c r="F182" i="135" a="1"/>
  <c r="F182" i="135" s="1"/>
  <c r="F181" i="135" a="1"/>
  <c r="F181" i="135" s="1"/>
  <c r="F179" i="135" a="1"/>
  <c r="F179" i="135" s="1"/>
  <c r="O543" i="66"/>
  <c r="D268" i="66" l="1"/>
  <c r="D269" i="66" s="1"/>
  <c r="D270" i="66" s="1"/>
  <c r="C268" i="66"/>
  <c r="C269" i="66" s="1"/>
  <c r="C270" i="66" s="1"/>
  <c r="B268" i="66"/>
  <c r="B269" i="66" s="1"/>
  <c r="B270" i="66" s="1"/>
  <c r="AP55" i="113" l="1" a="1"/>
  <c r="AP55" i="113" s="1"/>
  <c r="D118" i="52"/>
  <c r="C118" i="52"/>
  <c r="B118" i="52"/>
  <c r="D117" i="52"/>
  <c r="C117" i="52"/>
  <c r="B117" i="52"/>
  <c r="D116" i="52"/>
  <c r="C116" i="52"/>
  <c r="B116" i="52"/>
  <c r="D115" i="52"/>
  <c r="C115" i="52"/>
  <c r="B115" i="52"/>
  <c r="D114" i="52"/>
  <c r="C114" i="52"/>
  <c r="B114" i="52"/>
  <c r="D142" i="52"/>
  <c r="C142" i="52"/>
  <c r="B142" i="52"/>
  <c r="C141" i="52"/>
  <c r="B141" i="52"/>
  <c r="C140" i="52"/>
  <c r="B140" i="52"/>
  <c r="C139" i="52"/>
  <c r="B139" i="52"/>
  <c r="C138" i="52"/>
  <c r="B138" i="52"/>
  <c r="M137" i="52"/>
  <c r="C515" i="58"/>
  <c r="J514" i="58"/>
  <c r="C514" i="58"/>
  <c r="C513" i="58"/>
  <c r="C512" i="58"/>
  <c r="C511" i="58"/>
  <c r="C510" i="58"/>
  <c r="AQ54" i="108" l="1" a="1"/>
  <c r="AQ54" i="108" s="1"/>
  <c r="AH54" i="108" a="1"/>
  <c r="AH54" i="108" s="1"/>
  <c r="AD54" i="108" a="1"/>
  <c r="AD54" i="108" s="1"/>
  <c r="Y54" i="108" a="1"/>
  <c r="Y54" i="108" s="1"/>
  <c r="P54" i="108" a="1"/>
  <c r="P54" i="108" s="1"/>
  <c r="L54" i="108" a="1"/>
  <c r="L54" i="108" s="1"/>
  <c r="AZ54" i="108" a="1"/>
  <c r="AZ54" i="108" s="1"/>
  <c r="AL54" i="108" a="1"/>
  <c r="AL54" i="108" s="1"/>
  <c r="U54" i="108" a="1"/>
  <c r="U54" i="108" s="1"/>
  <c r="Q55" i="108" a="1"/>
  <c r="Q55" i="108" s="1"/>
  <c r="D318" i="52" l="1"/>
  <c r="D319" i="52" s="1"/>
  <c r="D320" i="52" s="1"/>
  <c r="D321" i="52" s="1"/>
  <c r="D322" i="52" s="1"/>
  <c r="C318" i="52"/>
  <c r="C319" i="52" s="1"/>
  <c r="C320" i="52" s="1"/>
  <c r="C321" i="52" s="1"/>
  <c r="C322" i="52" s="1"/>
  <c r="B318" i="52"/>
  <c r="B319" i="52" s="1"/>
  <c r="D283" i="52"/>
  <c r="C283" i="52"/>
  <c r="B283" i="52"/>
  <c r="D282" i="52"/>
  <c r="C282" i="52"/>
  <c r="B282" i="52"/>
  <c r="D281" i="52"/>
  <c r="C281" i="52"/>
  <c r="B281" i="52"/>
  <c r="D280" i="52"/>
  <c r="C280" i="52"/>
  <c r="B280" i="52"/>
  <c r="D279" i="52"/>
  <c r="C279" i="52"/>
  <c r="B279" i="52"/>
  <c r="D260" i="52"/>
  <c r="C260" i="52"/>
  <c r="B260" i="52"/>
  <c r="D259" i="52"/>
  <c r="C259" i="52"/>
  <c r="B259" i="52"/>
  <c r="D258" i="52"/>
  <c r="C258" i="52"/>
  <c r="B258" i="52"/>
  <c r="D257" i="52"/>
  <c r="C257" i="52"/>
  <c r="B257" i="52"/>
  <c r="D256" i="52"/>
  <c r="C256" i="52"/>
  <c r="B256" i="52"/>
  <c r="B263" i="52"/>
  <c r="C263" i="52"/>
  <c r="D263" i="52"/>
  <c r="B264" i="52"/>
  <c r="C264" i="52"/>
  <c r="D264" i="52"/>
  <c r="B265" i="52"/>
  <c r="C265" i="52"/>
  <c r="D265" i="52"/>
  <c r="B266" i="52"/>
  <c r="C266" i="52"/>
  <c r="D266" i="52"/>
  <c r="B267" i="52"/>
  <c r="C267" i="52"/>
  <c r="D267" i="52"/>
  <c r="D227" i="52"/>
  <c r="C227" i="52"/>
  <c r="B227" i="52"/>
  <c r="D226" i="52"/>
  <c r="C226" i="52"/>
  <c r="B226" i="52"/>
  <c r="D225" i="52"/>
  <c r="C225" i="52"/>
  <c r="B225" i="52"/>
  <c r="D224" i="52"/>
  <c r="C224" i="52"/>
  <c r="B224" i="52"/>
  <c r="D223" i="52"/>
  <c r="C223" i="52"/>
  <c r="B223" i="52"/>
  <c r="D200" i="52"/>
  <c r="C200" i="52"/>
  <c r="B200" i="52"/>
  <c r="D199" i="52"/>
  <c r="C199" i="52"/>
  <c r="B199" i="52"/>
  <c r="D198" i="52"/>
  <c r="C198" i="52"/>
  <c r="B198" i="52"/>
  <c r="D197" i="52"/>
  <c r="C197" i="52"/>
  <c r="B197" i="52"/>
  <c r="D196" i="52"/>
  <c r="C196" i="52"/>
  <c r="B196" i="52"/>
  <c r="D168" i="52"/>
  <c r="C168" i="52"/>
  <c r="B168" i="52"/>
  <c r="D167" i="52"/>
  <c r="C167" i="52"/>
  <c r="B167" i="52"/>
  <c r="D166" i="52"/>
  <c r="C166" i="52"/>
  <c r="B166" i="52"/>
  <c r="D165" i="52"/>
  <c r="C165" i="52"/>
  <c r="B165" i="52"/>
  <c r="D164" i="52"/>
  <c r="C164" i="52"/>
  <c r="B164" i="52"/>
  <c r="B320" i="52" l="1"/>
  <c r="B321" i="52" l="1"/>
  <c r="B322" i="52" s="1"/>
  <c r="C135" i="52" l="1"/>
  <c r="C134" i="52"/>
  <c r="C133" i="52"/>
  <c r="C132" i="52"/>
  <c r="C131" i="52"/>
  <c r="D135" i="52"/>
  <c r="B135" i="52"/>
  <c r="D134" i="52"/>
  <c r="B134" i="52"/>
  <c r="D133" i="52"/>
  <c r="B133" i="52"/>
  <c r="D132" i="52"/>
  <c r="B132" i="52"/>
  <c r="D131" i="52"/>
  <c r="B131" i="52"/>
  <c r="M130" i="52"/>
  <c r="D93" i="52" l="1"/>
  <c r="C93" i="52"/>
  <c r="B93" i="52"/>
  <c r="D92" i="52"/>
  <c r="C92" i="52"/>
  <c r="B92" i="52"/>
  <c r="D91" i="52"/>
  <c r="C91" i="52"/>
  <c r="B91" i="52"/>
  <c r="D90" i="52"/>
  <c r="C90" i="52"/>
  <c r="B90" i="52"/>
  <c r="D89" i="52"/>
  <c r="C89" i="52"/>
  <c r="B89" i="52"/>
  <c r="M88" i="52"/>
  <c r="D65" i="52"/>
  <c r="C65" i="52"/>
  <c r="B65" i="52"/>
  <c r="D64" i="52"/>
  <c r="C64" i="52"/>
  <c r="B64" i="52"/>
  <c r="D63" i="52"/>
  <c r="C63" i="52"/>
  <c r="B63" i="52"/>
  <c r="D62" i="52"/>
  <c r="C62" i="52"/>
  <c r="B62" i="52"/>
  <c r="D61" i="52"/>
  <c r="C61" i="52"/>
  <c r="B61" i="52"/>
  <c r="C509" i="58"/>
  <c r="C508" i="58"/>
  <c r="C507" i="58"/>
  <c r="C506" i="58"/>
  <c r="C505" i="58"/>
  <c r="C504" i="58"/>
  <c r="C503" i="58"/>
  <c r="C502" i="58"/>
  <c r="C501" i="58"/>
  <c r="C500" i="58"/>
  <c r="C499" i="58"/>
  <c r="C498" i="58"/>
  <c r="C497" i="58"/>
  <c r="C496" i="58"/>
  <c r="C495" i="58"/>
  <c r="C494" i="58"/>
  <c r="C493" i="58"/>
  <c r="C492" i="58"/>
  <c r="C491" i="58"/>
  <c r="C490" i="58"/>
  <c r="D32" i="52"/>
  <c r="C32" i="52"/>
  <c r="B32" i="52"/>
  <c r="D31" i="52"/>
  <c r="C31" i="52"/>
  <c r="B31" i="52"/>
  <c r="D30" i="52"/>
  <c r="C30" i="52"/>
  <c r="B30" i="52"/>
  <c r="D29" i="52"/>
  <c r="C29" i="52"/>
  <c r="B29" i="52"/>
  <c r="D28" i="52"/>
  <c r="C28" i="52"/>
  <c r="B28" i="52"/>
  <c r="J258" i="58" l="1"/>
  <c r="J256" i="58"/>
  <c r="J251" i="58"/>
  <c r="J327" i="58" l="1"/>
  <c r="J349" i="58"/>
  <c r="J350" i="58"/>
  <c r="J348" i="58"/>
  <c r="J347" i="58"/>
  <c r="J346" i="58"/>
  <c r="J457" i="58"/>
  <c r="J455" i="58"/>
  <c r="J456" i="58"/>
  <c r="J345" i="58"/>
  <c r="J344" i="58"/>
  <c r="J343" i="58"/>
  <c r="J342" i="58"/>
  <c r="J341" i="58"/>
  <c r="N341" i="58" s="1"/>
  <c r="J340" i="58"/>
  <c r="N340" i="58" s="1"/>
  <c r="J339" i="58"/>
  <c r="N339" i="58" s="1"/>
  <c r="J338" i="58"/>
  <c r="N338" i="58" s="1"/>
  <c r="J336" i="58"/>
  <c r="N336" i="58" s="1"/>
  <c r="J335" i="58"/>
  <c r="N335" i="58" s="1"/>
  <c r="J334" i="58"/>
  <c r="N334" i="58" s="1"/>
  <c r="J333" i="58"/>
  <c r="N333" i="58" s="1"/>
  <c r="J325" i="58"/>
  <c r="J324" i="58"/>
  <c r="J323" i="58"/>
  <c r="J322" i="58"/>
  <c r="J321" i="58"/>
  <c r="J320" i="58"/>
  <c r="J319" i="58"/>
  <c r="J318" i="58"/>
  <c r="J317" i="58"/>
  <c r="J299" i="58"/>
  <c r="J298" i="58"/>
  <c r="J297" i="58"/>
  <c r="J296" i="58"/>
  <c r="J295" i="58"/>
  <c r="J293" i="58"/>
  <c r="J292" i="58"/>
  <c r="J291" i="58"/>
  <c r="J274" i="58"/>
  <c r="J273" i="58"/>
  <c r="J272" i="58"/>
  <c r="J271" i="58"/>
  <c r="J270" i="58"/>
  <c r="J269" i="58"/>
  <c r="J268" i="58"/>
  <c r="J267" i="58"/>
  <c r="J264" i="58"/>
  <c r="J266" i="58"/>
  <c r="J265" i="58"/>
  <c r="J263" i="58"/>
  <c r="J244" i="58"/>
  <c r="J243" i="58"/>
  <c r="J242" i="58"/>
  <c r="J241" i="58"/>
  <c r="J240" i="58"/>
  <c r="J239" i="58"/>
  <c r="J238" i="58"/>
  <c r="J237" i="58"/>
  <c r="J236" i="58"/>
  <c r="N236" i="58" s="1"/>
  <c r="J235" i="58"/>
  <c r="N235" i="58" s="1"/>
  <c r="J234" i="58"/>
  <c r="J233" i="58"/>
  <c r="J232" i="58"/>
  <c r="J231" i="58"/>
  <c r="N231" i="58" s="1"/>
  <c r="J230" i="58"/>
  <c r="N230" i="58" s="1"/>
  <c r="J229" i="58"/>
  <c r="N229" i="58" s="1"/>
  <c r="J332" i="58"/>
  <c r="J331" i="58"/>
  <c r="J328" i="58"/>
  <c r="K54" i="61" l="1"/>
  <c r="K53" i="61"/>
  <c r="K52" i="61"/>
  <c r="K51" i="61"/>
  <c r="K50" i="61"/>
  <c r="BG5" i="121" l="1"/>
  <c r="BE5" i="121"/>
  <c r="AY5" i="121"/>
  <c r="AY36" i="121"/>
  <c r="AZ35" i="121" s="1"/>
  <c r="AY30" i="121"/>
  <c r="AZ29" i="121" s="1"/>
  <c r="AY24" i="121"/>
  <c r="AZ23" i="121" s="1"/>
  <c r="AY18" i="121"/>
  <c r="AZ17" i="121" s="1"/>
  <c r="AY12" i="121"/>
  <c r="AZ11" i="121" s="1"/>
  <c r="AP5" i="121"/>
  <c r="AR5" i="121"/>
  <c r="AJ5" i="121"/>
  <c r="AK11" i="121"/>
  <c r="AK23" i="121"/>
  <c r="AK17" i="121"/>
  <c r="AJ36" i="121"/>
  <c r="AJ30" i="121"/>
  <c r="AJ24" i="121"/>
  <c r="AJ18" i="121"/>
  <c r="AJ12" i="121"/>
  <c r="AC5" i="121"/>
  <c r="AA5" i="121"/>
  <c r="U12" i="121"/>
  <c r="V35" i="121"/>
  <c r="V29" i="121"/>
  <c r="V23" i="121"/>
  <c r="U36" i="121"/>
  <c r="U30" i="121"/>
  <c r="U24" i="121"/>
  <c r="U18" i="121"/>
  <c r="V17" i="121" s="1"/>
  <c r="V11" i="121"/>
  <c r="F36" i="121"/>
  <c r="G35" i="121" s="1"/>
  <c r="F30" i="121"/>
  <c r="F24" i="121"/>
  <c r="G23" i="121" s="1"/>
  <c r="F18" i="121"/>
  <c r="F12" i="121"/>
  <c r="G11" i="121" s="1"/>
  <c r="G29" i="121"/>
  <c r="G17" i="121"/>
  <c r="B7" i="135"/>
  <c r="AV17" i="121"/>
  <c r="AV23" i="121" s="1"/>
  <c r="AV29" i="121" s="1"/>
  <c r="AV35" i="121" s="1"/>
  <c r="AG17" i="121"/>
  <c r="AG23" i="121" s="1"/>
  <c r="AG29" i="121" s="1"/>
  <c r="AG35" i="121" s="1"/>
  <c r="R17" i="121"/>
  <c r="R23" i="121" s="1"/>
  <c r="R29" i="121" s="1"/>
  <c r="R35" i="121" s="1"/>
  <c r="AK29" i="121" l="1"/>
  <c r="AK35" i="121"/>
  <c r="B8" i="135"/>
  <c r="AD4" i="57" l="1"/>
  <c r="AM4" i="57"/>
  <c r="J177" i="135"/>
  <c r="V55" i="108" a="1"/>
  <c r="V55" i="108" s="1"/>
  <c r="D230" i="52"/>
  <c r="D231" i="52" s="1"/>
  <c r="D232" i="52" s="1"/>
  <c r="D233" i="52" s="1"/>
  <c r="D234" i="52" s="1"/>
  <c r="D235" i="52" s="1"/>
  <c r="D236" i="52" s="1"/>
  <c r="D237" i="52" s="1"/>
  <c r="B230" i="52"/>
  <c r="D171" i="52"/>
  <c r="D172" i="52" s="1"/>
  <c r="D173" i="52" s="1"/>
  <c r="D174" i="52" s="1"/>
  <c r="D175" i="52" s="1"/>
  <c r="D176" i="52" s="1"/>
  <c r="D177" i="52" s="1"/>
  <c r="D178" i="52" s="1"/>
  <c r="B171" i="52"/>
  <c r="B172" i="52" s="1"/>
  <c r="B173" i="52" s="1"/>
  <c r="B174" i="52" s="1"/>
  <c r="B175" i="52" s="1"/>
  <c r="B176" i="52" s="1"/>
  <c r="B177" i="52" s="1"/>
  <c r="B178" i="52" s="1"/>
  <c r="D35" i="52"/>
  <c r="D36" i="52" s="1"/>
  <c r="D37" i="52" s="1"/>
  <c r="D38" i="52" s="1"/>
  <c r="D39" i="52" s="1"/>
  <c r="D40" i="52" s="1"/>
  <c r="D41" i="52" s="1"/>
  <c r="D42" i="52" s="1"/>
  <c r="D43" i="52" s="1"/>
  <c r="B35" i="52"/>
  <c r="B36" i="52" s="1"/>
  <c r="B37" i="52" s="1"/>
  <c r="B38" i="52" s="1"/>
  <c r="B39" i="52" s="1"/>
  <c r="B40" i="52" s="1"/>
  <c r="B41" i="52" s="1"/>
  <c r="B42" i="52" s="1"/>
  <c r="B43" i="52" s="1"/>
  <c r="D383" i="68"/>
  <c r="D384" i="68" s="1"/>
  <c r="D385" i="68" s="1"/>
  <c r="D386" i="68" s="1"/>
  <c r="D387" i="68" s="1"/>
  <c r="D388" i="68" s="1"/>
  <c r="D389" i="68" s="1"/>
  <c r="D390" i="68" s="1"/>
  <c r="D391" i="68" s="1"/>
  <c r="D392" i="68" s="1"/>
  <c r="D393" i="68" s="1"/>
  <c r="D394" i="68" s="1"/>
  <c r="D395" i="68" s="1"/>
  <c r="D396" i="68" s="1"/>
  <c r="D397" i="68" s="1"/>
  <c r="D398" i="68" s="1"/>
  <c r="D399" i="68" s="1"/>
  <c r="C383" i="68"/>
  <c r="C384" i="68" s="1"/>
  <c r="C385" i="68" s="1"/>
  <c r="C386" i="68" s="1"/>
  <c r="C387" i="68" s="1"/>
  <c r="C388" i="68" s="1"/>
  <c r="C389" i="68" s="1"/>
  <c r="C390" i="68" s="1"/>
  <c r="C391" i="68" s="1"/>
  <c r="C392" i="68" s="1"/>
  <c r="C393" i="68" s="1"/>
  <c r="C394" i="68" s="1"/>
  <c r="C395" i="68" s="1"/>
  <c r="C396" i="68" s="1"/>
  <c r="C397" i="68" s="1"/>
  <c r="C398" i="68" s="1"/>
  <c r="C399" i="68" s="1"/>
  <c r="B383" i="68"/>
  <c r="B384" i="68" s="1"/>
  <c r="B385" i="68" s="1"/>
  <c r="B386" i="68" s="1"/>
  <c r="B387" i="68" s="1"/>
  <c r="B388" i="68" s="1"/>
  <c r="B389" i="68" s="1"/>
  <c r="B390" i="68" s="1"/>
  <c r="B391" i="68" s="1"/>
  <c r="B392" i="68" s="1"/>
  <c r="B393" i="68" s="1"/>
  <c r="B394" i="68" s="1"/>
  <c r="B395" i="68" s="1"/>
  <c r="B396" i="68" s="1"/>
  <c r="B397" i="68" s="1"/>
  <c r="B398" i="68" s="1"/>
  <c r="B399" i="68" s="1"/>
  <c r="D354" i="68"/>
  <c r="D355" i="68" s="1"/>
  <c r="D356" i="68" s="1"/>
  <c r="D357" i="68" s="1"/>
  <c r="D358" i="68" s="1"/>
  <c r="D359" i="68" s="1"/>
  <c r="D360" i="68" s="1"/>
  <c r="D361" i="68" s="1"/>
  <c r="D362" i="68" s="1"/>
  <c r="D363" i="68" s="1"/>
  <c r="D364" i="68" s="1"/>
  <c r="D365" i="68" s="1"/>
  <c r="D366" i="68" s="1"/>
  <c r="D367" i="68" s="1"/>
  <c r="D368" i="68" s="1"/>
  <c r="D369" i="68" s="1"/>
  <c r="D370" i="68" s="1"/>
  <c r="B354" i="68"/>
  <c r="B355" i="68" s="1"/>
  <c r="B356" i="68" s="1"/>
  <c r="B357" i="68" s="1"/>
  <c r="B358" i="68" s="1"/>
  <c r="B359" i="68" s="1"/>
  <c r="B360" i="68" s="1"/>
  <c r="B361" i="68" s="1"/>
  <c r="B362" i="68" s="1"/>
  <c r="B363" i="68" s="1"/>
  <c r="B364" i="68" s="1"/>
  <c r="B365" i="68" s="1"/>
  <c r="B366" i="68" s="1"/>
  <c r="B367" i="68" s="1"/>
  <c r="B368" i="68" s="1"/>
  <c r="B369" i="68" s="1"/>
  <c r="B370" i="68" s="1"/>
  <c r="D353" i="68"/>
  <c r="B353" i="68"/>
  <c r="D344" i="68"/>
  <c r="D345" i="68" s="1"/>
  <c r="D346" i="68" s="1"/>
  <c r="D347" i="68" s="1"/>
  <c r="D348" i="68" s="1"/>
  <c r="D349" i="68" s="1"/>
  <c r="D350" i="68" s="1"/>
  <c r="D343" i="68"/>
  <c r="B343" i="68"/>
  <c r="B344" i="68" s="1"/>
  <c r="B345" i="68" s="1"/>
  <c r="D309" i="52"/>
  <c r="D310" i="52" s="1"/>
  <c r="D311" i="52" s="1"/>
  <c r="D312" i="52" s="1"/>
  <c r="D313" i="52" s="1"/>
  <c r="D314" i="52" s="1"/>
  <c r="D315" i="52" s="1"/>
  <c r="C309" i="52"/>
  <c r="C310" i="52" s="1"/>
  <c r="C311" i="52" s="1"/>
  <c r="C312" i="52" s="1"/>
  <c r="C313" i="52" s="1"/>
  <c r="C314" i="52" s="1"/>
  <c r="C315" i="52" s="1"/>
  <c r="B309" i="52"/>
  <c r="B310" i="52" s="1"/>
  <c r="B311" i="52" s="1"/>
  <c r="B312" i="52" s="1"/>
  <c r="B313" i="52" s="1"/>
  <c r="B314" i="52" s="1"/>
  <c r="B315" i="52" s="1"/>
  <c r="D302" i="52"/>
  <c r="D303" i="52" s="1"/>
  <c r="D304" i="52" s="1"/>
  <c r="D305" i="52" s="1"/>
  <c r="D306" i="52" s="1"/>
  <c r="B302" i="52"/>
  <c r="B303" i="52" s="1"/>
  <c r="B304" i="52" s="1"/>
  <c r="B305" i="52" s="1"/>
  <c r="B306" i="52" s="1"/>
  <c r="C302" i="52"/>
  <c r="C303" i="52" s="1"/>
  <c r="C304" i="52" s="1"/>
  <c r="C305" i="52" s="1"/>
  <c r="C306" i="52" s="1"/>
  <c r="B231" i="52" l="1"/>
  <c r="B232" i="52" s="1"/>
  <c r="U54" i="114" a="1"/>
  <c r="U54" i="114" s="1"/>
  <c r="V54" i="108" a="1"/>
  <c r="V54" i="108" s="1"/>
  <c r="T54" i="115" a="1"/>
  <c r="T54" i="115" s="1"/>
  <c r="T54" i="116" a="1"/>
  <c r="T54" i="116" s="1"/>
  <c r="T54" i="113" a="1"/>
  <c r="T54" i="113" s="1"/>
  <c r="B346" i="68"/>
  <c r="B347" i="68" s="1"/>
  <c r="B348" i="68" s="1"/>
  <c r="B349" i="68" s="1"/>
  <c r="B350" i="68" s="1"/>
  <c r="B233" i="52" l="1"/>
  <c r="BO56" i="113"/>
  <c r="BP56" i="113"/>
  <c r="BQ56" i="113"/>
  <c r="BR56" i="113"/>
  <c r="BS56" i="113"/>
  <c r="O58" i="124"/>
  <c r="N58" i="124"/>
  <c r="P58" i="124"/>
  <c r="B234" i="52" l="1"/>
  <c r="B235" i="52" s="1"/>
  <c r="B236" i="52" s="1"/>
  <c r="B237" i="52" s="1"/>
  <c r="D96" i="52" l="1"/>
  <c r="D97" i="52" s="1"/>
  <c r="D98" i="52" s="1"/>
  <c r="D99" i="52" s="1"/>
  <c r="D100" i="52" s="1"/>
  <c r="D101" i="52" s="1"/>
  <c r="D102" i="52" s="1"/>
  <c r="D103" i="52" s="1"/>
  <c r="D104" i="52" s="1"/>
  <c r="D105" i="52" s="1"/>
  <c r="B96" i="52"/>
  <c r="O357" i="68"/>
  <c r="O362" i="68"/>
  <c r="O367" i="68"/>
  <c r="D298" i="52"/>
  <c r="D297" i="52"/>
  <c r="D296" i="52"/>
  <c r="D295" i="52"/>
  <c r="D294" i="52"/>
  <c r="D293" i="52"/>
  <c r="D292" i="52"/>
  <c r="D289" i="52"/>
  <c r="D288" i="52"/>
  <c r="D287" i="52"/>
  <c r="B97" i="52" l="1"/>
  <c r="BK48" i="113"/>
  <c r="AX48" i="116"/>
  <c r="AY48" i="115"/>
  <c r="AY48" i="114"/>
  <c r="AZ48" i="108"/>
  <c r="B98" i="52" l="1"/>
  <c r="B99" i="52" s="1"/>
  <c r="B100" i="52" s="1"/>
  <c r="B101" i="52" s="1"/>
  <c r="B102" i="52" s="1"/>
  <c r="B103" i="52" s="1"/>
  <c r="B104" i="52" s="1"/>
  <c r="B105" i="52" s="1"/>
  <c r="O38" i="124"/>
  <c r="P38" i="124"/>
  <c r="N38" i="124"/>
  <c r="O35" i="124"/>
  <c r="P35" i="124"/>
  <c r="N35" i="124"/>
  <c r="O32" i="124"/>
  <c r="N32" i="124"/>
  <c r="O26" i="124"/>
  <c r="N26" i="124"/>
  <c r="J59" i="108"/>
  <c r="K59" i="108" s="1"/>
  <c r="L59" i="108" s="1"/>
  <c r="M59" i="108" s="1"/>
  <c r="N59" i="108" s="1"/>
  <c r="O59" i="108" s="1"/>
  <c r="P59" i="108" s="1"/>
  <c r="Q59" i="108" s="1"/>
  <c r="R59" i="108" s="1"/>
  <c r="S59" i="108" s="1"/>
  <c r="T59" i="108" s="1"/>
  <c r="U59" i="108" s="1"/>
  <c r="V59" i="108" s="1"/>
  <c r="W59" i="108" s="1"/>
  <c r="X59" i="108" s="1"/>
  <c r="Y59" i="108" s="1"/>
  <c r="Z59" i="108" s="1"/>
  <c r="AA59" i="108" s="1"/>
  <c r="AB59" i="108" s="1"/>
  <c r="AC59" i="108" s="1"/>
  <c r="AD59" i="108" s="1"/>
  <c r="AE59" i="108" s="1"/>
  <c r="AF59" i="108" s="1"/>
  <c r="AG59" i="108" s="1"/>
  <c r="AH59" i="108" s="1"/>
  <c r="AI59" i="108" s="1"/>
  <c r="AJ59" i="108" s="1"/>
  <c r="AK59" i="108" s="1"/>
  <c r="AL59" i="108" s="1"/>
  <c r="AM59" i="108" s="1"/>
  <c r="AN59" i="108" s="1"/>
  <c r="AO59" i="108" s="1"/>
  <c r="AP59" i="108" s="1"/>
  <c r="AQ59" i="108" s="1"/>
  <c r="AR59" i="108" s="1"/>
  <c r="AS59" i="108" s="1"/>
  <c r="O18" i="124"/>
  <c r="P18" i="124"/>
  <c r="N18" i="124"/>
  <c r="O15" i="124"/>
  <c r="P15" i="124"/>
  <c r="N15" i="124"/>
  <c r="O12" i="124"/>
  <c r="N12" i="124"/>
  <c r="O6" i="124"/>
  <c r="N6" i="124"/>
  <c r="H165" i="135"/>
  <c r="H125" i="135"/>
  <c r="H85" i="135"/>
  <c r="H45" i="135"/>
  <c r="BX61" i="114"/>
  <c r="BW61" i="114"/>
  <c r="BV61" i="114"/>
  <c r="BU61" i="114"/>
  <c r="BT61" i="114"/>
  <c r="BQ61" i="114"/>
  <c r="BP61" i="114"/>
  <c r="AE61" i="114"/>
  <c r="AB61" i="114"/>
  <c r="W61" i="114"/>
  <c r="S61" i="114"/>
  <c r="M59" i="114"/>
  <c r="N59" i="114" s="1"/>
  <c r="O59" i="114" s="1"/>
  <c r="P59" i="114" s="1"/>
  <c r="Q59" i="114" s="1"/>
  <c r="R59" i="114" s="1"/>
  <c r="S59" i="114" s="1"/>
  <c r="T59" i="114" s="1"/>
  <c r="U59" i="114" s="1"/>
  <c r="V59" i="114" s="1"/>
  <c r="W59" i="114" s="1"/>
  <c r="X59" i="114" s="1"/>
  <c r="Y59" i="114" s="1"/>
  <c r="Z59" i="114" s="1"/>
  <c r="AA59" i="114" s="1"/>
  <c r="AB59" i="114" s="1"/>
  <c r="AC59" i="114" s="1"/>
  <c r="AD59" i="114" s="1"/>
  <c r="AE59" i="114" s="1"/>
  <c r="AF59" i="114" s="1"/>
  <c r="AG59" i="114" s="1"/>
  <c r="AH59" i="114" s="1"/>
  <c r="AI59" i="114" s="1"/>
  <c r="AJ59" i="114" s="1"/>
  <c r="AK59" i="114" s="1"/>
  <c r="AL59" i="114" s="1"/>
  <c r="AM59" i="114" s="1"/>
  <c r="AN59" i="114" s="1"/>
  <c r="AO59" i="114" s="1"/>
  <c r="AP59" i="114" s="1"/>
  <c r="AQ59" i="114" s="1"/>
  <c r="AR59" i="114" s="1"/>
  <c r="AS59" i="114" s="1"/>
  <c r="AT61" i="116"/>
  <c r="AE61" i="116"/>
  <c r="AB61" i="116"/>
  <c r="W61" i="116"/>
  <c r="M59" i="116"/>
  <c r="N59" i="116" s="1"/>
  <c r="O59" i="116" s="1"/>
  <c r="P59" i="116" s="1"/>
  <c r="Q59" i="116" s="1"/>
  <c r="R59" i="116" s="1"/>
  <c r="S59" i="116" s="1"/>
  <c r="T59" i="116" s="1"/>
  <c r="U59" i="116" s="1"/>
  <c r="V59" i="116" s="1"/>
  <c r="W59" i="116" s="1"/>
  <c r="X59" i="116" s="1"/>
  <c r="Y59" i="116" s="1"/>
  <c r="Z59" i="116" s="1"/>
  <c r="AA59" i="116" s="1"/>
  <c r="AB59" i="116" s="1"/>
  <c r="AC59" i="116" s="1"/>
  <c r="AD59" i="116" s="1"/>
  <c r="AE59" i="116" s="1"/>
  <c r="AF59" i="116" s="1"/>
  <c r="AG59" i="116" s="1"/>
  <c r="AH59" i="116" s="1"/>
  <c r="AI59" i="116" s="1"/>
  <c r="AJ59" i="116" s="1"/>
  <c r="AK59" i="116" s="1"/>
  <c r="AL59" i="116" s="1"/>
  <c r="AM59" i="116" s="1"/>
  <c r="AN59" i="116" s="1"/>
  <c r="AO59" i="116" s="1"/>
  <c r="AP59" i="116" s="1"/>
  <c r="AQ59" i="116" s="1"/>
  <c r="AR59" i="116" s="1"/>
  <c r="AS59" i="116" s="1"/>
  <c r="AP48" i="116"/>
  <c r="AK48" i="116"/>
  <c r="AG48" i="116"/>
  <c r="AC48" i="116"/>
  <c r="X48" i="116"/>
  <c r="T48" i="116"/>
  <c r="O48" i="116"/>
  <c r="K48" i="116"/>
  <c r="AX61" i="115"/>
  <c r="AW61" i="115"/>
  <c r="AV61" i="115"/>
  <c r="AU61" i="115"/>
  <c r="AT61" i="115"/>
  <c r="AE61" i="115"/>
  <c r="AB61" i="115"/>
  <c r="W61" i="115"/>
  <c r="AU59" i="115"/>
  <c r="M59" i="115"/>
  <c r="N59" i="115" s="1"/>
  <c r="O59" i="115" s="1"/>
  <c r="P59" i="115" s="1"/>
  <c r="Q59" i="115" s="1"/>
  <c r="R59" i="115" s="1"/>
  <c r="S59" i="115" s="1"/>
  <c r="T59" i="115" s="1"/>
  <c r="U59" i="115" s="1"/>
  <c r="V59" i="115" s="1"/>
  <c r="W59" i="115" s="1"/>
  <c r="X59" i="115" s="1"/>
  <c r="Y59" i="115" s="1"/>
  <c r="Z59" i="115" s="1"/>
  <c r="AA59" i="115" s="1"/>
  <c r="AB59" i="115" s="1"/>
  <c r="AC59" i="115" s="1"/>
  <c r="AD59" i="115" s="1"/>
  <c r="AE59" i="115" s="1"/>
  <c r="AF59" i="115" s="1"/>
  <c r="AG59" i="115" s="1"/>
  <c r="AH59" i="115" s="1"/>
  <c r="AI59" i="115" s="1"/>
  <c r="AJ59" i="115" s="1"/>
  <c r="AK59" i="115" s="1"/>
  <c r="AL59" i="115" s="1"/>
  <c r="AM59" i="115" s="1"/>
  <c r="AN59" i="115" s="1"/>
  <c r="AO59" i="115" s="1"/>
  <c r="AP59" i="115" s="1"/>
  <c r="AQ59" i="115" s="1"/>
  <c r="AR59" i="115" s="1"/>
  <c r="AS59" i="115" s="1"/>
  <c r="AP48" i="115"/>
  <c r="AK48" i="115"/>
  <c r="AG48" i="115"/>
  <c r="AC48" i="115"/>
  <c r="X48" i="115"/>
  <c r="T48" i="115"/>
  <c r="O48" i="115"/>
  <c r="K48" i="115"/>
  <c r="AP48" i="114"/>
  <c r="AK48" i="114"/>
  <c r="AG48" i="114"/>
  <c r="AC48" i="114"/>
  <c r="X48" i="114"/>
  <c r="T48" i="114"/>
  <c r="O48" i="114"/>
  <c r="K48" i="114"/>
  <c r="BT62" i="114" l="1"/>
  <c r="G3" i="108" l="1"/>
  <c r="F3" i="108"/>
  <c r="AQ48" i="108"/>
  <c r="AL48" i="108"/>
  <c r="AH48" i="108"/>
  <c r="AD48" i="108"/>
  <c r="Y48" i="108"/>
  <c r="U48" i="108"/>
  <c r="X31" i="108"/>
  <c r="U31" i="108"/>
  <c r="W5" i="121"/>
  <c r="D512" i="66"/>
  <c r="D513" i="66" s="1"/>
  <c r="D514" i="66" s="1"/>
  <c r="D515" i="66" s="1"/>
  <c r="D516" i="66" s="1"/>
  <c r="D517" i="66" s="1"/>
  <c r="D518" i="66" s="1"/>
  <c r="D519" i="66" s="1"/>
  <c r="D520" i="66" s="1"/>
  <c r="D521" i="66" s="1"/>
  <c r="D522" i="66" s="1"/>
  <c r="D523" i="66" s="1"/>
  <c r="D524" i="66" s="1"/>
  <c r="D525" i="66" s="1"/>
  <c r="D526" i="66" s="1"/>
  <c r="D527" i="66" s="1"/>
  <c r="D528" i="66" s="1"/>
  <c r="D529" i="66" s="1"/>
  <c r="D530" i="66" s="1"/>
  <c r="D531" i="66" s="1"/>
  <c r="D532" i="66" s="1"/>
  <c r="D533" i="66" s="1"/>
  <c r="D534" i="66" s="1"/>
  <c r="D535" i="66" s="1"/>
  <c r="D536" i="66" s="1"/>
  <c r="D537" i="66" s="1"/>
  <c r="D538" i="66" s="1"/>
  <c r="D539" i="66" s="1"/>
  <c r="D540" i="66" s="1"/>
  <c r="D541" i="66" s="1"/>
  <c r="D542" i="66" s="1"/>
  <c r="D543" i="66" s="1"/>
  <c r="D544" i="66" s="1"/>
  <c r="D545" i="66" s="1"/>
  <c r="B512" i="66"/>
  <c r="B513" i="66" s="1"/>
  <c r="B514" i="66" s="1"/>
  <c r="B515" i="66" s="1"/>
  <c r="B516" i="66" s="1"/>
  <c r="B517" i="66" s="1"/>
  <c r="B518" i="66" s="1"/>
  <c r="B519" i="66" s="1"/>
  <c r="B520" i="66" s="1"/>
  <c r="B521" i="66" s="1"/>
  <c r="B522" i="66" s="1"/>
  <c r="B523" i="66" s="1"/>
  <c r="B524" i="66" s="1"/>
  <c r="B525" i="66" s="1"/>
  <c r="B526" i="66" s="1"/>
  <c r="B527" i="66" s="1"/>
  <c r="B528" i="66" s="1"/>
  <c r="B529" i="66" s="1"/>
  <c r="B530" i="66" s="1"/>
  <c r="B531" i="66" s="1"/>
  <c r="B532" i="66" s="1"/>
  <c r="B533" i="66" s="1"/>
  <c r="B534" i="66" s="1"/>
  <c r="B535" i="66" s="1"/>
  <c r="B536" i="66" s="1"/>
  <c r="B537" i="66" s="1"/>
  <c r="B538" i="66" s="1"/>
  <c r="B539" i="66" s="1"/>
  <c r="B540" i="66" s="1"/>
  <c r="B541" i="66" s="1"/>
  <c r="B542" i="66" s="1"/>
  <c r="B543" i="66" s="1"/>
  <c r="B544" i="66" s="1"/>
  <c r="B545" i="66" s="1"/>
  <c r="AL5" i="121" l="1"/>
  <c r="BA5" i="121"/>
  <c r="B180" i="135" l="1"/>
  <c r="B181" i="135" l="1"/>
  <c r="B182" i="135" l="1"/>
  <c r="B183" i="135" l="1"/>
  <c r="B184" i="135" s="1"/>
  <c r="B185" i="135" s="1"/>
  <c r="AB9" i="57" l="1"/>
  <c r="B33" i="57"/>
  <c r="B34" i="57" s="1"/>
  <c r="B35" i="57" s="1"/>
  <c r="B36" i="57" s="1"/>
  <c r="B37" i="57" s="1"/>
  <c r="B27" i="57"/>
  <c r="B28" i="57" s="1"/>
  <c r="B29" i="57" s="1"/>
  <c r="B30" i="57" s="1"/>
  <c r="B31" i="57" s="1"/>
  <c r="B21" i="57"/>
  <c r="B22" i="57" s="1"/>
  <c r="B15" i="57"/>
  <c r="B16" i="57" s="1"/>
  <c r="B17" i="57" s="1"/>
  <c r="B18" i="57" s="1"/>
  <c r="B19" i="57" s="1"/>
  <c r="B9" i="57"/>
  <c r="B10" i="57" s="1"/>
  <c r="B168" i="135"/>
  <c r="B169" i="135" s="1"/>
  <c r="B146" i="135"/>
  <c r="B147" i="135" s="1"/>
  <c r="B128" i="135"/>
  <c r="B129" i="135" s="1"/>
  <c r="B106" i="135"/>
  <c r="B88" i="135"/>
  <c r="B66" i="135"/>
  <c r="B48" i="135"/>
  <c r="C484" i="58"/>
  <c r="C483" i="58"/>
  <c r="C482" i="58"/>
  <c r="C481" i="58"/>
  <c r="C480" i="58"/>
  <c r="C479" i="58"/>
  <c r="C478" i="58"/>
  <c r="C477" i="58"/>
  <c r="C476" i="58"/>
  <c r="C475" i="58"/>
  <c r="C474" i="58"/>
  <c r="C473" i="58"/>
  <c r="C472" i="58"/>
  <c r="C471" i="58"/>
  <c r="C470" i="58"/>
  <c r="C469" i="58"/>
  <c r="C468" i="58"/>
  <c r="C467" i="58"/>
  <c r="C466" i="58"/>
  <c r="C465" i="58"/>
  <c r="C464" i="58"/>
  <c r="C463" i="58"/>
  <c r="C462" i="58"/>
  <c r="C461" i="58"/>
  <c r="D39" i="133"/>
  <c r="C39" i="133"/>
  <c r="B39" i="133"/>
  <c r="I38" i="133"/>
  <c r="K38" i="133" s="1"/>
  <c r="L38" i="133" s="1"/>
  <c r="D38" i="133"/>
  <c r="C38" i="133"/>
  <c r="B38" i="133"/>
  <c r="D37" i="133"/>
  <c r="C37" i="133"/>
  <c r="B37" i="133"/>
  <c r="D36" i="133"/>
  <c r="C36" i="133"/>
  <c r="B36" i="133"/>
  <c r="D35" i="133"/>
  <c r="C35" i="133"/>
  <c r="B35" i="133"/>
  <c r="D32" i="133"/>
  <c r="C32" i="133"/>
  <c r="B32" i="133"/>
  <c r="I31" i="133"/>
  <c r="K31" i="133" s="1"/>
  <c r="L31" i="133" s="1"/>
  <c r="D31" i="133"/>
  <c r="C31" i="133"/>
  <c r="B31" i="133"/>
  <c r="D30" i="133"/>
  <c r="C30" i="133"/>
  <c r="B30" i="133"/>
  <c r="D29" i="133"/>
  <c r="C29" i="133"/>
  <c r="B29" i="133"/>
  <c r="D28" i="133"/>
  <c r="C28" i="133"/>
  <c r="B28" i="133"/>
  <c r="D25" i="133"/>
  <c r="C25" i="133"/>
  <c r="B25" i="133"/>
  <c r="K24" i="133"/>
  <c r="L24" i="133" s="1"/>
  <c r="I24" i="133"/>
  <c r="D24" i="133"/>
  <c r="C24" i="133"/>
  <c r="B24" i="133"/>
  <c r="I23" i="133"/>
  <c r="D23" i="133"/>
  <c r="C23" i="133"/>
  <c r="B23" i="133"/>
  <c r="D22" i="133"/>
  <c r="C22" i="133"/>
  <c r="B22" i="133"/>
  <c r="D21" i="133"/>
  <c r="C21" i="133"/>
  <c r="B21" i="133"/>
  <c r="D18" i="133"/>
  <c r="C18" i="133"/>
  <c r="B18" i="133"/>
  <c r="I17" i="133"/>
  <c r="D17" i="133"/>
  <c r="C17" i="133"/>
  <c r="B17" i="133"/>
  <c r="D16" i="133"/>
  <c r="C16" i="133"/>
  <c r="B16" i="133"/>
  <c r="D15" i="133"/>
  <c r="C15" i="133"/>
  <c r="B15" i="133"/>
  <c r="D14" i="133"/>
  <c r="C14" i="133"/>
  <c r="B14" i="133"/>
  <c r="D11" i="133"/>
  <c r="C11" i="133"/>
  <c r="B11" i="133"/>
  <c r="L10" i="133"/>
  <c r="D10" i="133"/>
  <c r="C10" i="133"/>
  <c r="B10" i="133"/>
  <c r="D9" i="133"/>
  <c r="C9" i="133"/>
  <c r="B9" i="133"/>
  <c r="D8" i="133"/>
  <c r="C8" i="133"/>
  <c r="B8" i="133"/>
  <c r="H3" i="133"/>
  <c r="L4" i="133" s="1"/>
  <c r="K4" i="133" l="1"/>
  <c r="B23" i="57"/>
  <c r="B11" i="57"/>
  <c r="B170" i="135"/>
  <c r="B89" i="135"/>
  <c r="B67" i="135"/>
  <c r="B49" i="135"/>
  <c r="B148" i="135"/>
  <c r="B130" i="135"/>
  <c r="B107" i="135"/>
  <c r="I4" i="133"/>
  <c r="B26" i="135"/>
  <c r="B29" i="44"/>
  <c r="B30" i="44" s="1"/>
  <c r="B90" i="135" l="1"/>
  <c r="B68" i="135"/>
  <c r="B24" i="57"/>
  <c r="B25" i="57" s="1"/>
  <c r="B12" i="57"/>
  <c r="B13" i="57" s="1"/>
  <c r="B171" i="135"/>
  <c r="B172" i="135" s="1"/>
  <c r="B173" i="135" s="1"/>
  <c r="B69" i="135"/>
  <c r="B108" i="135"/>
  <c r="B91" i="135"/>
  <c r="B50" i="135"/>
  <c r="B149" i="135"/>
  <c r="B131" i="135"/>
  <c r="B27" i="135"/>
  <c r="F10" i="132"/>
  <c r="AE5" i="57"/>
  <c r="AC15" i="57"/>
  <c r="AC16" i="57" s="1"/>
  <c r="AC17" i="57" s="1"/>
  <c r="AC18" i="57" s="1"/>
  <c r="AC19" i="57" s="1"/>
  <c r="AB15" i="57"/>
  <c r="AB16" i="57" s="1"/>
  <c r="AB17" i="57" s="1"/>
  <c r="AB18" i="57" s="1"/>
  <c r="AB19" i="57" s="1"/>
  <c r="AC9" i="57"/>
  <c r="AC10" i="57" s="1"/>
  <c r="AC11" i="57" s="1"/>
  <c r="AC12" i="57" s="1"/>
  <c r="AC13" i="57" s="1"/>
  <c r="AB10" i="57"/>
  <c r="AB11" i="57" s="1"/>
  <c r="AB12" i="57" s="1"/>
  <c r="AB13" i="57" s="1"/>
  <c r="AL15" i="57"/>
  <c r="AL16" i="57" s="1"/>
  <c r="AL17" i="57" s="1"/>
  <c r="AL18" i="57" s="1"/>
  <c r="AL19" i="57" s="1"/>
  <c r="AK15" i="57"/>
  <c r="AK16" i="57" s="1"/>
  <c r="AK17" i="57" s="1"/>
  <c r="AK18" i="57" s="1"/>
  <c r="AK19" i="57" s="1"/>
  <c r="AL9" i="57"/>
  <c r="AL10" i="57" s="1"/>
  <c r="AL11" i="57" s="1"/>
  <c r="AL12" i="57" s="1"/>
  <c r="AL13" i="57" s="1"/>
  <c r="AK9" i="57"/>
  <c r="AK10" i="57" s="1"/>
  <c r="AK11" i="57" s="1"/>
  <c r="AK12" i="57" s="1"/>
  <c r="AK13" i="57" s="1"/>
  <c r="B70" i="135" l="1"/>
  <c r="B71" i="135" s="1"/>
  <c r="B72" i="135" s="1"/>
  <c r="B73" i="135" s="1"/>
  <c r="B74" i="135" s="1"/>
  <c r="B92" i="135"/>
  <c r="B93" i="135" s="1"/>
  <c r="B94" i="135" s="1"/>
  <c r="B132" i="135"/>
  <c r="B133" i="135" s="1"/>
  <c r="B134" i="135" s="1"/>
  <c r="B150" i="135"/>
  <c r="B151" i="135" s="1"/>
  <c r="B152" i="135" s="1"/>
  <c r="B153" i="135" s="1"/>
  <c r="B154" i="135" s="1"/>
  <c r="B51" i="135"/>
  <c r="B137" i="135"/>
  <c r="B109" i="135"/>
  <c r="B97" i="135"/>
  <c r="B28" i="135"/>
  <c r="B110" i="135" l="1"/>
  <c r="B111" i="135" s="1"/>
  <c r="B112" i="135" s="1"/>
  <c r="B113" i="135" s="1"/>
  <c r="B114" i="135" s="1"/>
  <c r="B52" i="135"/>
  <c r="B53" i="135" s="1"/>
  <c r="B54" i="135" s="1"/>
  <c r="B57" i="135"/>
  <c r="B98" i="135"/>
  <c r="B138" i="135"/>
  <c r="B75" i="135"/>
  <c r="B155" i="135"/>
  <c r="B29" i="135"/>
  <c r="B30" i="135" l="1"/>
  <c r="B31" i="135" s="1"/>
  <c r="B32" i="135" s="1"/>
  <c r="B33" i="135" s="1"/>
  <c r="B34" i="135" s="1"/>
  <c r="B115" i="135"/>
  <c r="B156" i="135"/>
  <c r="B99" i="135"/>
  <c r="B58" i="135"/>
  <c r="B76" i="135"/>
  <c r="B139" i="135"/>
  <c r="B9" i="135"/>
  <c r="B140" i="135" l="1"/>
  <c r="B141" i="135" s="1"/>
  <c r="B142" i="135" s="1"/>
  <c r="B59" i="135"/>
  <c r="B157" i="135"/>
  <c r="B158" i="135" s="1"/>
  <c r="B159" i="135" s="1"/>
  <c r="B77" i="135"/>
  <c r="B78" i="135" s="1"/>
  <c r="B79" i="135" s="1"/>
  <c r="B100" i="135"/>
  <c r="B101" i="135" s="1"/>
  <c r="B102" i="135" s="1"/>
  <c r="B116" i="135"/>
  <c r="B35" i="135"/>
  <c r="B10" i="135"/>
  <c r="B60" i="135" l="1"/>
  <c r="B61" i="135" s="1"/>
  <c r="B62" i="135" s="1"/>
  <c r="B117" i="135"/>
  <c r="B118" i="135" s="1"/>
  <c r="B119" i="135" s="1"/>
  <c r="B36" i="135"/>
  <c r="B11" i="135"/>
  <c r="B12" i="135" s="1"/>
  <c r="B13" i="135" s="1"/>
  <c r="E393" i="68"/>
  <c r="E394" i="68" s="1"/>
  <c r="E395" i="68" s="1"/>
  <c r="E396" i="68" s="1"/>
  <c r="E388" i="68"/>
  <c r="E389" i="68" s="1"/>
  <c r="E390" i="68" s="1"/>
  <c r="E391" i="68" s="1"/>
  <c r="E383" i="68"/>
  <c r="E384" i="68" s="1"/>
  <c r="E385" i="68" s="1"/>
  <c r="E386" i="68" s="1"/>
  <c r="E333" i="68"/>
  <c r="E334" i="68" s="1"/>
  <c r="E335" i="68" s="1"/>
  <c r="E336" i="68" s="1"/>
  <c r="E328" i="68"/>
  <c r="E329" i="68" s="1"/>
  <c r="E330" i="68" s="1"/>
  <c r="E331" i="68" s="1"/>
  <c r="E323" i="68"/>
  <c r="E324" i="68" s="1"/>
  <c r="E325" i="68" s="1"/>
  <c r="E326" i="68" s="1"/>
  <c r="E305" i="68"/>
  <c r="E306" i="68" s="1"/>
  <c r="E307" i="68" s="1"/>
  <c r="E301" i="68"/>
  <c r="E302" i="68" s="1"/>
  <c r="E303" i="68" s="1"/>
  <c r="E297" i="68"/>
  <c r="E298" i="68" s="1"/>
  <c r="E299" i="68" s="1"/>
  <c r="E266" i="68"/>
  <c r="E267" i="68" s="1"/>
  <c r="E268" i="68" s="1"/>
  <c r="E262" i="68"/>
  <c r="E263" i="68" s="1"/>
  <c r="E264" i="68" s="1"/>
  <c r="E258" i="68"/>
  <c r="E259" i="68" s="1"/>
  <c r="E260" i="68" s="1"/>
  <c r="E239" i="68"/>
  <c r="E240" i="68" s="1"/>
  <c r="E241" i="68" s="1"/>
  <c r="E242" i="68" s="1"/>
  <c r="E243" i="68" s="1"/>
  <c r="E233" i="68"/>
  <c r="E234" i="68" s="1"/>
  <c r="E235" i="68" s="1"/>
  <c r="E236" i="68" s="1"/>
  <c r="E237" i="68" s="1"/>
  <c r="E194" i="68"/>
  <c r="E195" i="68" s="1"/>
  <c r="E196" i="68" s="1"/>
  <c r="E197" i="68" s="1"/>
  <c r="E198" i="68" s="1"/>
  <c r="E188" i="68"/>
  <c r="E189" i="68" s="1"/>
  <c r="E190" i="68" s="1"/>
  <c r="E191" i="68" s="1"/>
  <c r="E192" i="68" s="1"/>
  <c r="E167" i="68"/>
  <c r="E168" i="68" s="1"/>
  <c r="E169" i="68" s="1"/>
  <c r="E170" i="68" s="1"/>
  <c r="E171" i="68" s="1"/>
  <c r="E161" i="68"/>
  <c r="E162" i="68" s="1"/>
  <c r="E163" i="68" s="1"/>
  <c r="E164" i="68" s="1"/>
  <c r="E165" i="68" s="1"/>
  <c r="E155" i="68"/>
  <c r="E156" i="68" s="1"/>
  <c r="E157" i="68" s="1"/>
  <c r="E158" i="68" s="1"/>
  <c r="E159" i="68" s="1"/>
  <c r="E149" i="68"/>
  <c r="E150" i="68" s="1"/>
  <c r="E151" i="68" s="1"/>
  <c r="E152" i="68" s="1"/>
  <c r="E153" i="68" s="1"/>
  <c r="E110" i="68"/>
  <c r="E111" i="68" s="1"/>
  <c r="E112" i="68" s="1"/>
  <c r="E113" i="68" s="1"/>
  <c r="E114" i="68" s="1"/>
  <c r="E104" i="68"/>
  <c r="E105" i="68" s="1"/>
  <c r="E106" i="68" s="1"/>
  <c r="E107" i="68" s="1"/>
  <c r="E108" i="68" s="1"/>
  <c r="E98" i="68"/>
  <c r="E99" i="68" s="1"/>
  <c r="E100" i="68" s="1"/>
  <c r="E101" i="68" s="1"/>
  <c r="E102" i="68" s="1"/>
  <c r="E92" i="68"/>
  <c r="E93" i="68" s="1"/>
  <c r="E94" i="68" s="1"/>
  <c r="E95" i="68" s="1"/>
  <c r="E96" i="68" s="1"/>
  <c r="E71" i="68"/>
  <c r="E72" i="68" s="1"/>
  <c r="E73" i="68" s="1"/>
  <c r="E74" i="68" s="1"/>
  <c r="E75" i="68" s="1"/>
  <c r="E65" i="68"/>
  <c r="E66" i="68" s="1"/>
  <c r="E26" i="68"/>
  <c r="E27" i="68" s="1"/>
  <c r="E28" i="68" s="1"/>
  <c r="E29" i="68" s="1"/>
  <c r="E30" i="68" s="1"/>
  <c r="E20" i="68"/>
  <c r="E21" i="68" s="1"/>
  <c r="D382" i="68"/>
  <c r="C382" i="68"/>
  <c r="B382" i="68"/>
  <c r="O386" i="68"/>
  <c r="H386" i="68"/>
  <c r="O391" i="68"/>
  <c r="H391" i="68"/>
  <c r="D322" i="68"/>
  <c r="D323" i="68" s="1"/>
  <c r="D324" i="68" s="1"/>
  <c r="D325" i="68" s="1"/>
  <c r="D326" i="68" s="1"/>
  <c r="D327" i="68" s="1"/>
  <c r="D328" i="68" s="1"/>
  <c r="D329" i="68" s="1"/>
  <c r="D330" i="68" s="1"/>
  <c r="D331" i="68" s="1"/>
  <c r="D332" i="68" s="1"/>
  <c r="D333" i="68" s="1"/>
  <c r="D334" i="68" s="1"/>
  <c r="D335" i="68" s="1"/>
  <c r="D336" i="68" s="1"/>
  <c r="C322" i="68"/>
  <c r="C323" i="68" s="1"/>
  <c r="C324" i="68" s="1"/>
  <c r="C325" i="68" s="1"/>
  <c r="C326" i="68" s="1"/>
  <c r="C327" i="68" s="1"/>
  <c r="C328" i="68" s="1"/>
  <c r="C329" i="68" s="1"/>
  <c r="C330" i="68" s="1"/>
  <c r="C331" i="68" s="1"/>
  <c r="C332" i="68" s="1"/>
  <c r="C333" i="68" s="1"/>
  <c r="C334" i="68" s="1"/>
  <c r="C335" i="68" s="1"/>
  <c r="C336" i="68" s="1"/>
  <c r="B322" i="68"/>
  <c r="O326" i="68"/>
  <c r="H326" i="68"/>
  <c r="O331" i="68"/>
  <c r="H331" i="68"/>
  <c r="D296" i="68"/>
  <c r="D297" i="68" s="1"/>
  <c r="D298" i="68" s="1"/>
  <c r="D299" i="68" s="1"/>
  <c r="D300" i="68" s="1"/>
  <c r="D301" i="68" s="1"/>
  <c r="D302" i="68" s="1"/>
  <c r="D303" i="68" s="1"/>
  <c r="D304" i="68" s="1"/>
  <c r="D305" i="68" s="1"/>
  <c r="D306" i="68" s="1"/>
  <c r="C296" i="68"/>
  <c r="B296" i="68"/>
  <c r="O299" i="68"/>
  <c r="O303" i="68"/>
  <c r="D257" i="68"/>
  <c r="D258" i="68" s="1"/>
  <c r="D259" i="68" s="1"/>
  <c r="D260" i="68" s="1"/>
  <c r="D261" i="68" s="1"/>
  <c r="D262" i="68" s="1"/>
  <c r="D263" i="68" s="1"/>
  <c r="D264" i="68" s="1"/>
  <c r="D265" i="68" s="1"/>
  <c r="D266" i="68" s="1"/>
  <c r="D267" i="68" s="1"/>
  <c r="C257" i="68"/>
  <c r="C258" i="68" s="1"/>
  <c r="C259" i="68" s="1"/>
  <c r="C260" i="68" s="1"/>
  <c r="C261" i="68" s="1"/>
  <c r="C262" i="68" s="1"/>
  <c r="C263" i="68" s="1"/>
  <c r="C264" i="68" s="1"/>
  <c r="C265" i="68" s="1"/>
  <c r="C266" i="68" s="1"/>
  <c r="C267" i="68" s="1"/>
  <c r="B257" i="68"/>
  <c r="O260" i="68"/>
  <c r="O264" i="68"/>
  <c r="D232" i="68"/>
  <c r="D233" i="68" s="1"/>
  <c r="D234" i="68" s="1"/>
  <c r="D235" i="68" s="1"/>
  <c r="D236" i="68" s="1"/>
  <c r="D237" i="68" s="1"/>
  <c r="D238" i="68" s="1"/>
  <c r="D239" i="68" s="1"/>
  <c r="D240" i="68" s="1"/>
  <c r="D241" i="68" s="1"/>
  <c r="D242" i="68" s="1"/>
  <c r="D243" i="68" s="1"/>
  <c r="C232" i="68"/>
  <c r="C233" i="68" s="1"/>
  <c r="C234" i="68" s="1"/>
  <c r="C235" i="68" s="1"/>
  <c r="C236" i="68" s="1"/>
  <c r="C237" i="68" s="1"/>
  <c r="C238" i="68" s="1"/>
  <c r="C239" i="68" s="1"/>
  <c r="C240" i="68" s="1"/>
  <c r="C241" i="68" s="1"/>
  <c r="C242" i="68" s="1"/>
  <c r="C243" i="68" s="1"/>
  <c r="B232" i="68"/>
  <c r="B233" i="68" s="1"/>
  <c r="O237" i="68"/>
  <c r="D187" i="68"/>
  <c r="D188" i="68" s="1"/>
  <c r="D189" i="68" s="1"/>
  <c r="D190" i="68" s="1"/>
  <c r="D191" i="68" s="1"/>
  <c r="D192" i="68" s="1"/>
  <c r="D193" i="68" s="1"/>
  <c r="C187" i="68"/>
  <c r="C188" i="68" s="1"/>
  <c r="C189" i="68" s="1"/>
  <c r="C190" i="68" s="1"/>
  <c r="C191" i="68" s="1"/>
  <c r="C192" i="68" s="1"/>
  <c r="C193" i="68" s="1"/>
  <c r="B187" i="68"/>
  <c r="B188" i="68" s="1"/>
  <c r="B189" i="68" s="1"/>
  <c r="B190" i="68" s="1"/>
  <c r="B191" i="68" s="1"/>
  <c r="B192" i="68" s="1"/>
  <c r="B193" i="68" s="1"/>
  <c r="O192" i="68"/>
  <c r="D148" i="68"/>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C148" i="68"/>
  <c r="C149" i="68" s="1"/>
  <c r="C150" i="68" s="1"/>
  <c r="C151" i="68" s="1"/>
  <c r="C152" i="68" s="1"/>
  <c r="C153" i="68" s="1"/>
  <c r="C154" i="68" s="1"/>
  <c r="C155" i="68" s="1"/>
  <c r="C156" i="68" s="1"/>
  <c r="C157" i="68" s="1"/>
  <c r="C158" i="68" s="1"/>
  <c r="C159" i="68" s="1"/>
  <c r="C160" i="68" s="1"/>
  <c r="C161" i="68" s="1"/>
  <c r="C162" i="68" s="1"/>
  <c r="C163" i="68" s="1"/>
  <c r="C164" i="68" s="1"/>
  <c r="C165" i="68" s="1"/>
  <c r="C166" i="68" s="1"/>
  <c r="C167" i="68" s="1"/>
  <c r="C168" i="68" s="1"/>
  <c r="C169" i="68" s="1"/>
  <c r="C170" i="68" s="1"/>
  <c r="B148" i="68"/>
  <c r="O159" i="68"/>
  <c r="O153" i="68"/>
  <c r="O165" i="68"/>
  <c r="D91" i="68"/>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6" i="68" s="1"/>
  <c r="D117" i="68" s="1"/>
  <c r="C91" i="68"/>
  <c r="C92" i="68" s="1"/>
  <c r="C93" i="68" s="1"/>
  <c r="C94" i="68" s="1"/>
  <c r="C95" i="68" s="1"/>
  <c r="C96" i="68" s="1"/>
  <c r="C97" i="68" s="1"/>
  <c r="C98" i="68" s="1"/>
  <c r="C99" i="68" s="1"/>
  <c r="C100" i="68" s="1"/>
  <c r="C101" i="68" s="1"/>
  <c r="C102" i="68" s="1"/>
  <c r="C103" i="68" s="1"/>
  <c r="C104" i="68" s="1"/>
  <c r="C105" i="68" s="1"/>
  <c r="C106" i="68" s="1"/>
  <c r="C107" i="68" s="1"/>
  <c r="C108" i="68" s="1"/>
  <c r="C109" i="68" s="1"/>
  <c r="C110" i="68" s="1"/>
  <c r="C111" i="68" s="1"/>
  <c r="C112" i="68" s="1"/>
  <c r="C113" i="68" s="1"/>
  <c r="C114" i="68" s="1"/>
  <c r="C116" i="68" s="1"/>
  <c r="C117" i="68" s="1"/>
  <c r="B91" i="68"/>
  <c r="O102" i="68"/>
  <c r="H102" i="68"/>
  <c r="O96" i="68"/>
  <c r="H96" i="68"/>
  <c r="O108" i="68"/>
  <c r="H108" i="68"/>
  <c r="D64" i="68"/>
  <c r="D65" i="68" s="1"/>
  <c r="D66" i="68" s="1"/>
  <c r="D67" i="68" s="1"/>
  <c r="D68" i="68" s="1"/>
  <c r="D69" i="68" s="1"/>
  <c r="D70" i="68" s="1"/>
  <c r="D71" i="68" s="1"/>
  <c r="C64" i="68"/>
  <c r="C65" i="68" s="1"/>
  <c r="C66" i="68" s="1"/>
  <c r="C67" i="68" s="1"/>
  <c r="C68" i="68" s="1"/>
  <c r="C69" i="68" s="1"/>
  <c r="C70" i="68" s="1"/>
  <c r="B64" i="68"/>
  <c r="B65" i="68" s="1"/>
  <c r="B66" i="68" s="1"/>
  <c r="B67" i="68" s="1"/>
  <c r="B68" i="68" s="1"/>
  <c r="B69" i="68" s="1"/>
  <c r="B70" i="68" s="1"/>
  <c r="O69" i="68"/>
  <c r="H69" i="68"/>
  <c r="B14" i="135" l="1"/>
  <c r="B16" i="135" s="1"/>
  <c r="B17" i="135" s="1"/>
  <c r="B18" i="135" s="1"/>
  <c r="B37" i="135"/>
  <c r="B38" i="135" s="1"/>
  <c r="B39" i="135" s="1"/>
  <c r="E67" i="68"/>
  <c r="E68" i="68" s="1"/>
  <c r="E69" i="68" s="1"/>
  <c r="E22" i="68"/>
  <c r="E23" i="68" s="1"/>
  <c r="E24" i="68" s="1"/>
  <c r="B323" i="68"/>
  <c r="B297" i="68"/>
  <c r="B258" i="68"/>
  <c r="B259" i="68" s="1"/>
  <c r="B260" i="68" s="1"/>
  <c r="B261" i="68" s="1"/>
  <c r="B262" i="68" s="1"/>
  <c r="B263" i="68" s="1"/>
  <c r="B264" i="68" s="1"/>
  <c r="B265" i="68" s="1"/>
  <c r="B266" i="68" s="1"/>
  <c r="B267" i="68" s="1"/>
  <c r="C297" i="68"/>
  <c r="C298" i="68" s="1"/>
  <c r="C299" i="68" s="1"/>
  <c r="C300" i="68" s="1"/>
  <c r="C301" i="68" s="1"/>
  <c r="C302" i="68" s="1"/>
  <c r="C303" i="68" s="1"/>
  <c r="C304" i="68" s="1"/>
  <c r="C305" i="68" s="1"/>
  <c r="C306" i="68" s="1"/>
  <c r="B234" i="68"/>
  <c r="B149" i="68"/>
  <c r="B92" i="68"/>
  <c r="B19" i="135" l="1"/>
  <c r="B324" i="68"/>
  <c r="B325" i="68" s="1"/>
  <c r="B298" i="68"/>
  <c r="B235" i="68"/>
  <c r="B150" i="68"/>
  <c r="B93" i="68"/>
  <c r="B20" i="135" l="1"/>
  <c r="B21" i="135" s="1"/>
  <c r="B22" i="135" s="1"/>
  <c r="B326" i="68"/>
  <c r="B327" i="68" s="1"/>
  <c r="B299" i="68"/>
  <c r="B300" i="68" s="1"/>
  <c r="B236" i="68"/>
  <c r="B151" i="68"/>
  <c r="B94" i="68"/>
  <c r="B328" i="68" l="1"/>
  <c r="B301" i="68"/>
  <c r="B237" i="68"/>
  <c r="B238" i="68" s="1"/>
  <c r="B152" i="68"/>
  <c r="B95" i="68"/>
  <c r="B329" i="68" l="1"/>
  <c r="B302" i="68"/>
  <c r="B239" i="68"/>
  <c r="B240" i="68" s="1"/>
  <c r="B241" i="68" s="1"/>
  <c r="B242" i="68" s="1"/>
  <c r="B243" i="68" s="1"/>
  <c r="B153" i="68"/>
  <c r="B154" i="68" s="1"/>
  <c r="B96" i="68"/>
  <c r="B97" i="68" s="1"/>
  <c r="B330" i="68" l="1"/>
  <c r="B303" i="68"/>
  <c r="B304" i="68" s="1"/>
  <c r="B155" i="68"/>
  <c r="B98" i="68"/>
  <c r="B331" i="68" l="1"/>
  <c r="B332" i="68" s="1"/>
  <c r="B305" i="68"/>
  <c r="B306" i="68" s="1"/>
  <c r="B156" i="68"/>
  <c r="B99" i="68"/>
  <c r="B333" i="68" l="1"/>
  <c r="B334" i="68" s="1"/>
  <c r="B335" i="68" s="1"/>
  <c r="B336" i="68" s="1"/>
  <c r="B157" i="68"/>
  <c r="B100" i="68"/>
  <c r="B158" i="68" l="1"/>
  <c r="B101" i="68"/>
  <c r="B159" i="68" l="1"/>
  <c r="B160" i="68" s="1"/>
  <c r="B102" i="68"/>
  <c r="B103" i="68" s="1"/>
  <c r="B161" i="68" l="1"/>
  <c r="B104" i="68"/>
  <c r="B162" i="68" l="1"/>
  <c r="B105" i="68"/>
  <c r="B163" i="68" l="1"/>
  <c r="B106" i="68"/>
  <c r="B164" i="68" l="1"/>
  <c r="B107" i="68"/>
  <c r="B165" i="68" l="1"/>
  <c r="B166" i="68" s="1"/>
  <c r="B108" i="68"/>
  <c r="B109" i="68" s="1"/>
  <c r="B167" i="68" l="1"/>
  <c r="B168" i="68" s="1"/>
  <c r="B169" i="68" s="1"/>
  <c r="B170" i="68" s="1"/>
  <c r="B110" i="68"/>
  <c r="B111" i="68" s="1"/>
  <c r="B112" i="68" s="1"/>
  <c r="B113" i="68" s="1"/>
  <c r="B114" i="68" s="1"/>
  <c r="B116" i="68" s="1"/>
  <c r="B117" i="68" s="1"/>
  <c r="D19" i="68" l="1"/>
  <c r="D20" i="68" s="1"/>
  <c r="D21" i="68" s="1"/>
  <c r="D22" i="68" s="1"/>
  <c r="D23" i="68" s="1"/>
  <c r="D24" i="68" s="1"/>
  <c r="D25" i="68" s="1"/>
  <c r="D26" i="68" s="1"/>
  <c r="D27" i="68" s="1"/>
  <c r="D28" i="68" s="1"/>
  <c r="D29" i="68" s="1"/>
  <c r="D30" i="68" s="1"/>
  <c r="D32" i="68" s="1"/>
  <c r="D33" i="68" s="1"/>
  <c r="C19" i="68"/>
  <c r="C20" i="68" s="1"/>
  <c r="C21" i="68" s="1"/>
  <c r="C22" i="68" s="1"/>
  <c r="C23" i="68" s="1"/>
  <c r="C24" i="68" s="1"/>
  <c r="C25" i="68" s="1"/>
  <c r="C26" i="68" s="1"/>
  <c r="C27" i="68" s="1"/>
  <c r="C28" i="68" s="1"/>
  <c r="C29" i="68" s="1"/>
  <c r="C30" i="68" s="1"/>
  <c r="C32" i="68" s="1"/>
  <c r="C33" i="68" s="1"/>
  <c r="B19" i="68"/>
  <c r="B20" i="68" s="1"/>
  <c r="B21" i="68" s="1"/>
  <c r="B22" i="68" s="1"/>
  <c r="B23" i="68" s="1"/>
  <c r="B24" i="68" s="1"/>
  <c r="B25" i="68" s="1"/>
  <c r="B26" i="68" s="1"/>
  <c r="B27" i="68" s="1"/>
  <c r="B28" i="68" s="1"/>
  <c r="B29" i="68" s="1"/>
  <c r="B30" i="68" s="1"/>
  <c r="B32" i="68" s="1"/>
  <c r="B33" i="68" s="1"/>
  <c r="O24" i="68"/>
  <c r="H24" i="68"/>
  <c r="C11" i="61"/>
  <c r="C22" i="61"/>
  <c r="C33" i="61"/>
  <c r="C460" i="58" l="1"/>
  <c r="C459" i="58"/>
  <c r="C458" i="58"/>
  <c r="C457" i="58"/>
  <c r="C456" i="58"/>
  <c r="C455" i="58"/>
  <c r="O29" i="124"/>
  <c r="P29" i="124"/>
  <c r="Q29" i="124"/>
  <c r="N29" i="124"/>
  <c r="O9" i="124"/>
  <c r="P9" i="124"/>
  <c r="Q9" i="124"/>
  <c r="N9" i="124"/>
  <c r="D346" i="66"/>
  <c r="D347" i="66" s="1"/>
  <c r="D348" i="66" s="1"/>
  <c r="D349" i="66" s="1"/>
  <c r="D350" i="66" s="1"/>
  <c r="D351" i="66" s="1"/>
  <c r="D352" i="66" s="1"/>
  <c r="D353" i="66" s="1"/>
  <c r="D354" i="66" s="1"/>
  <c r="D355" i="66" s="1"/>
  <c r="D356" i="66" s="1"/>
  <c r="D357" i="66" s="1"/>
  <c r="C346" i="66"/>
  <c r="C347" i="66" s="1"/>
  <c r="C348" i="66" s="1"/>
  <c r="C349" i="66" s="1"/>
  <c r="C350" i="66" s="1"/>
  <c r="C351" i="66" s="1"/>
  <c r="C352" i="66" s="1"/>
  <c r="C353" i="66" s="1"/>
  <c r="C354" i="66" s="1"/>
  <c r="C355" i="66" s="1"/>
  <c r="C356" i="66" s="1"/>
  <c r="C357" i="66" s="1"/>
  <c r="B346" i="66"/>
  <c r="B347" i="66" s="1"/>
  <c r="B348" i="66" s="1"/>
  <c r="B349" i="66" s="1"/>
  <c r="B350" i="66" s="1"/>
  <c r="B351" i="66" s="1"/>
  <c r="B352" i="66" s="1"/>
  <c r="B353" i="66" s="1"/>
  <c r="B354" i="66" s="1"/>
  <c r="B355" i="66" s="1"/>
  <c r="B356" i="66" s="1"/>
  <c r="B357" i="66" s="1"/>
  <c r="C454" i="58" l="1"/>
  <c r="C453" i="58"/>
  <c r="C452" i="58"/>
  <c r="C451" i="58"/>
  <c r="C450" i="58"/>
  <c r="C449" i="58"/>
  <c r="C448" i="58"/>
  <c r="C447" i="58"/>
  <c r="C446" i="58"/>
  <c r="C445" i="58" l="1"/>
  <c r="C444" i="58"/>
  <c r="C443" i="58"/>
  <c r="C442" i="58"/>
  <c r="C441" i="58"/>
  <c r="C440" i="58"/>
  <c r="C439" i="58"/>
  <c r="C438" i="58"/>
  <c r="C437" i="58"/>
  <c r="C436" i="58"/>
  <c r="G8" i="58"/>
  <c r="O11" i="66" l="1" a="1"/>
  <c r="O11" i="66" s="1"/>
  <c r="P9" i="66" a="1"/>
  <c r="P9" i="66" s="1"/>
  <c r="P11" i="66" a="1"/>
  <c r="P11" i="66" s="1"/>
  <c r="C9" i="78"/>
  <c r="C10" i="78"/>
  <c r="M59" i="113" l="1"/>
  <c r="N59" i="113" s="1"/>
  <c r="O59" i="113" s="1"/>
  <c r="P59" i="113" s="1"/>
  <c r="Q59" i="113" s="1"/>
  <c r="R59" i="113" s="1"/>
  <c r="S59" i="113" s="1"/>
  <c r="T59" i="113" s="1"/>
  <c r="U59" i="113" s="1"/>
  <c r="V59" i="113" s="1"/>
  <c r="W59" i="113" s="1"/>
  <c r="X59" i="113" s="1"/>
  <c r="Y59" i="113" s="1"/>
  <c r="Z59" i="113" s="1"/>
  <c r="AA59" i="113" s="1"/>
  <c r="AB59" i="113" s="1"/>
  <c r="AC59" i="113" s="1"/>
  <c r="AD59" i="113" s="1"/>
  <c r="AE59" i="113" s="1"/>
  <c r="AF59" i="113" s="1"/>
  <c r="AG59" i="113" s="1"/>
  <c r="AH59" i="113" s="1"/>
  <c r="AI59" i="113" s="1"/>
  <c r="AJ59" i="113" s="1"/>
  <c r="AK59" i="113" s="1"/>
  <c r="AL59" i="113" s="1"/>
  <c r="AM59" i="113" s="1"/>
  <c r="AN59" i="113" s="1"/>
  <c r="AO59" i="113" s="1"/>
  <c r="AP59" i="113" s="1"/>
  <c r="AQ59" i="113" s="1"/>
  <c r="AR59" i="113" s="1"/>
  <c r="AS59" i="113" s="1"/>
  <c r="AT59" i="113" s="1"/>
  <c r="AU59" i="113" s="1"/>
  <c r="AV59" i="113" s="1"/>
  <c r="AW59" i="113" s="1"/>
  <c r="AX59" i="113" s="1"/>
  <c r="AY59" i="113" s="1"/>
  <c r="AZ59" i="113" s="1"/>
  <c r="BA59" i="113" s="1"/>
  <c r="BB59" i="113" s="1"/>
  <c r="BC59" i="113" s="1"/>
  <c r="BD59" i="113" s="1"/>
  <c r="BE59" i="113" s="1"/>
  <c r="BF59" i="113" s="1"/>
  <c r="BG59" i="113" s="1"/>
  <c r="AW59" i="108"/>
  <c r="C158" i="58" l="1"/>
  <c r="C157" i="58"/>
  <c r="C156" i="58"/>
  <c r="C155" i="58"/>
  <c r="C154" i="58"/>
  <c r="C153" i="58"/>
  <c r="C152" i="58"/>
  <c r="C151" i="58"/>
  <c r="C150" i="58"/>
  <c r="C149" i="58"/>
  <c r="C148" i="58"/>
  <c r="C147" i="58"/>
  <c r="C146" i="58"/>
  <c r="C145" i="58"/>
  <c r="C144" i="58"/>
  <c r="C143" i="58"/>
  <c r="C142" i="58"/>
  <c r="C141" i="58"/>
  <c r="C140" i="58"/>
  <c r="C139" i="58"/>
  <c r="C138" i="58"/>
  <c r="C137" i="58"/>
  <c r="C136" i="58"/>
  <c r="C135" i="58"/>
  <c r="C134" i="58"/>
  <c r="C133" i="58"/>
  <c r="C132" i="58"/>
  <c r="C131" i="58"/>
  <c r="C130" i="58"/>
  <c r="C129" i="58"/>
  <c r="C128" i="58"/>
  <c r="C127" i="58"/>
  <c r="C126" i="58"/>
  <c r="C125" i="58"/>
  <c r="C124" i="58"/>
  <c r="C123" i="58"/>
  <c r="C122" i="58"/>
  <c r="C121" i="58"/>
  <c r="C120" i="58"/>
  <c r="C119" i="58"/>
  <c r="C118" i="58"/>
  <c r="C117" i="58"/>
  <c r="C116" i="58"/>
  <c r="C115" i="58"/>
  <c r="C114" i="58"/>
  <c r="C113" i="58"/>
  <c r="C112" i="58"/>
  <c r="C111" i="58"/>
  <c r="C110" i="58"/>
  <c r="C109" i="58"/>
  <c r="C108" i="58"/>
  <c r="C107" i="58"/>
  <c r="C106" i="58"/>
  <c r="C105" i="58"/>
  <c r="C104" i="58"/>
  <c r="C103" i="58"/>
  <c r="C102" i="58"/>
  <c r="C101" i="58"/>
  <c r="C100" i="58"/>
  <c r="C99" i="58"/>
  <c r="C98" i="58"/>
  <c r="C97" i="58"/>
  <c r="C96" i="58"/>
  <c r="C95" i="58"/>
  <c r="C94" i="58"/>
  <c r="C93" i="58"/>
  <c r="C92" i="58"/>
  <c r="C91" i="58"/>
  <c r="C90" i="58"/>
  <c r="C89" i="58"/>
  <c r="C88" i="58"/>
  <c r="C87" i="58"/>
  <c r="C86" i="58"/>
  <c r="C85" i="58"/>
  <c r="C84" i="58"/>
  <c r="C83" i="58"/>
  <c r="C82" i="58"/>
  <c r="C81" i="58"/>
  <c r="C80" i="58"/>
  <c r="C79" i="58"/>
  <c r="C78" i="58"/>
  <c r="C77" i="58"/>
  <c r="C76" i="58"/>
  <c r="C75" i="58"/>
  <c r="C74" i="58"/>
  <c r="C73" i="58"/>
  <c r="C72" i="58"/>
  <c r="C71" i="58"/>
  <c r="C70" i="58"/>
  <c r="C69" i="58"/>
  <c r="C68" i="58"/>
  <c r="C67" i="58"/>
  <c r="C66" i="58"/>
  <c r="C65" i="58"/>
  <c r="C64" i="58"/>
  <c r="C63" i="58"/>
  <c r="C62" i="58"/>
  <c r="C61" i="58"/>
  <c r="C60" i="58"/>
  <c r="C59" i="58"/>
  <c r="C58" i="58"/>
  <c r="C57" i="58"/>
  <c r="C56" i="58"/>
  <c r="C55" i="58"/>
  <c r="C54" i="58"/>
  <c r="C53" i="58"/>
  <c r="C52" i="58"/>
  <c r="C51" i="58"/>
  <c r="C50" i="58"/>
  <c r="C49" i="58"/>
  <c r="C48" i="58"/>
  <c r="C47" i="58"/>
  <c r="C46" i="58"/>
  <c r="C45" i="58"/>
  <c r="C44" i="58"/>
  <c r="C43" i="58"/>
  <c r="C42" i="58"/>
  <c r="C41" i="58"/>
  <c r="C40" i="58"/>
  <c r="C39" i="58"/>
  <c r="C38" i="58"/>
  <c r="C37" i="58"/>
  <c r="C36" i="58"/>
  <c r="C35" i="58"/>
  <c r="C34" i="58"/>
  <c r="C33" i="58"/>
  <c r="C32" i="58"/>
  <c r="B37" i="98"/>
  <c r="D45" i="66"/>
  <c r="D46" i="66" l="1"/>
  <c r="D47" i="66" s="1"/>
  <c r="D48" i="66" s="1"/>
  <c r="D49" i="66" s="1"/>
  <c r="D50" i="66" s="1"/>
  <c r="D51" i="66" s="1"/>
  <c r="D37" i="98"/>
  <c r="D53" i="66" l="1"/>
  <c r="D54" i="66" s="1"/>
  <c r="D55" i="66" s="1"/>
  <c r="D56" i="66" s="1"/>
  <c r="D57" i="66" s="1"/>
  <c r="D58" i="66" s="1"/>
  <c r="D59" i="66" s="1"/>
  <c r="D60" i="66" s="1"/>
  <c r="D52" i="66"/>
  <c r="D62" i="66" l="1"/>
  <c r="D63" i="66" s="1"/>
  <c r="D64" i="66" s="1"/>
  <c r="D65" i="66" s="1"/>
  <c r="D66" i="66" s="1"/>
  <c r="D61" i="66"/>
  <c r="D274" i="68"/>
  <c r="D275" i="68" s="1"/>
  <c r="D276" i="68" s="1"/>
  <c r="D277" i="68" s="1"/>
  <c r="D278" i="68" s="1"/>
  <c r="D279" i="68" s="1"/>
  <c r="D280" i="68" s="1"/>
  <c r="D281" i="68" s="1"/>
  <c r="D282" i="68" s="1"/>
  <c r="D283" i="68" s="1"/>
  <c r="D284" i="68" s="1"/>
  <c r="D285" i="68" s="1"/>
  <c r="B274" i="68"/>
  <c r="B275" i="68" s="1"/>
  <c r="B276" i="68" s="1"/>
  <c r="B277" i="68" s="1"/>
  <c r="B278" i="68" s="1"/>
  <c r="B279" i="68" s="1"/>
  <c r="B280" i="68" s="1"/>
  <c r="B281" i="68" s="1"/>
  <c r="B282" i="68" s="1"/>
  <c r="B283" i="68" s="1"/>
  <c r="B284" i="68" s="1"/>
  <c r="B285" i="68" s="1"/>
  <c r="B45" i="66"/>
  <c r="D378" i="66"/>
  <c r="B378" i="66"/>
  <c r="B273" i="66"/>
  <c r="B274" i="66" s="1"/>
  <c r="B275" i="66" s="1"/>
  <c r="B276" i="66" s="1"/>
  <c r="B277" i="66" s="1"/>
  <c r="B278" i="66" s="1"/>
  <c r="B279" i="66" s="1"/>
  <c r="D273" i="66"/>
  <c r="D274" i="66" s="1"/>
  <c r="D275" i="66" s="1"/>
  <c r="D276" i="66" s="1"/>
  <c r="D277" i="66" s="1"/>
  <c r="D278" i="66" s="1"/>
  <c r="D279" i="66" s="1"/>
  <c r="D159" i="66"/>
  <c r="D160" i="66" s="1"/>
  <c r="D161" i="66" s="1"/>
  <c r="D162" i="66" s="1"/>
  <c r="D163" i="66" s="1"/>
  <c r="D164" i="66" s="1"/>
  <c r="D165" i="66" s="1"/>
  <c r="B159" i="66"/>
  <c r="B160" i="66" s="1"/>
  <c r="B161" i="66" s="1"/>
  <c r="B162" i="66" s="1"/>
  <c r="B163" i="66" s="1"/>
  <c r="B164" i="66" s="1"/>
  <c r="B165" i="66" s="1"/>
  <c r="D281" i="66" l="1"/>
  <c r="D282" i="66" s="1"/>
  <c r="D283" i="66" s="1"/>
  <c r="D284" i="66" s="1"/>
  <c r="D285" i="66" s="1"/>
  <c r="D286" i="66" s="1"/>
  <c r="D287" i="66" s="1"/>
  <c r="D288" i="66" s="1"/>
  <c r="D280" i="66"/>
  <c r="B281" i="66"/>
  <c r="B282" i="66" s="1"/>
  <c r="B283" i="66" s="1"/>
  <c r="B284" i="66" s="1"/>
  <c r="B285" i="66" s="1"/>
  <c r="B286" i="66" s="1"/>
  <c r="B287" i="66" s="1"/>
  <c r="B288" i="66" s="1"/>
  <c r="B280" i="66"/>
  <c r="B167" i="66"/>
  <c r="B168" i="66" s="1"/>
  <c r="B169" i="66" s="1"/>
  <c r="B170" i="66" s="1"/>
  <c r="B171" i="66" s="1"/>
  <c r="B172" i="66" s="1"/>
  <c r="B173" i="66" s="1"/>
  <c r="B174" i="66" s="1"/>
  <c r="B166" i="66"/>
  <c r="D167" i="66"/>
  <c r="D168" i="66" s="1"/>
  <c r="D169" i="66" s="1"/>
  <c r="D170" i="66" s="1"/>
  <c r="D171" i="66" s="1"/>
  <c r="D172" i="66" s="1"/>
  <c r="D173" i="66" s="1"/>
  <c r="D174" i="66" s="1"/>
  <c r="D166" i="66"/>
  <c r="B290" i="66" l="1"/>
  <c r="B291" i="66" s="1"/>
  <c r="B292" i="66" s="1"/>
  <c r="B293" i="66" s="1"/>
  <c r="B294" i="66" s="1"/>
  <c r="B289" i="66"/>
  <c r="D290" i="66"/>
  <c r="D291" i="66" s="1"/>
  <c r="D292" i="66" s="1"/>
  <c r="D293" i="66" s="1"/>
  <c r="D294" i="66" s="1"/>
  <c r="D289" i="66"/>
  <c r="D176" i="66"/>
  <c r="D177" i="66" s="1"/>
  <c r="D178" i="66" s="1"/>
  <c r="D179" i="66" s="1"/>
  <c r="D180" i="66" s="1"/>
  <c r="D175" i="66"/>
  <c r="B176" i="66"/>
  <c r="B177" i="66" s="1"/>
  <c r="B178" i="66" s="1"/>
  <c r="B179" i="66" s="1"/>
  <c r="B180" i="66" s="1"/>
  <c r="B175" i="66"/>
  <c r="D276" i="52"/>
  <c r="D275" i="52"/>
  <c r="D274" i="52"/>
  <c r="D273" i="52"/>
  <c r="D272" i="52"/>
  <c r="D271" i="52"/>
  <c r="D270" i="52"/>
  <c r="D247" i="52"/>
  <c r="D248" i="52" s="1"/>
  <c r="D249" i="52" s="1"/>
  <c r="D250" i="52" s="1"/>
  <c r="D251" i="52" s="1"/>
  <c r="D252" i="52" s="1"/>
  <c r="D253" i="52" s="1"/>
  <c r="D216" i="52"/>
  <c r="D215" i="52"/>
  <c r="D214" i="52"/>
  <c r="D213" i="52"/>
  <c r="D212" i="52"/>
  <c r="D211" i="52"/>
  <c r="D210" i="52"/>
  <c r="D207" i="52"/>
  <c r="D206" i="52"/>
  <c r="D205" i="52"/>
  <c r="D204" i="52"/>
  <c r="D203" i="52"/>
  <c r="D185" i="52"/>
  <c r="D184" i="52"/>
  <c r="D183" i="52"/>
  <c r="D182" i="52"/>
  <c r="D181" i="52"/>
  <c r="D157" i="52"/>
  <c r="D156" i="52"/>
  <c r="D155" i="52"/>
  <c r="D154" i="52"/>
  <c r="D153" i="52"/>
  <c r="D152" i="52"/>
  <c r="D149" i="52"/>
  <c r="D148" i="52"/>
  <c r="D147" i="52"/>
  <c r="D146" i="52"/>
  <c r="D145" i="52"/>
  <c r="D121" i="52"/>
  <c r="D122" i="52" s="1"/>
  <c r="D123" i="52" s="1"/>
  <c r="D124" i="52" s="1"/>
  <c r="D125" i="52" s="1"/>
  <c r="D126" i="52" s="1"/>
  <c r="D127" i="52" s="1"/>
  <c r="D128" i="52" s="1"/>
  <c r="D111" i="52"/>
  <c r="D110" i="52"/>
  <c r="D109" i="52"/>
  <c r="D108" i="52"/>
  <c r="D107" i="52"/>
  <c r="D82" i="52"/>
  <c r="D81" i="52"/>
  <c r="D80" i="52"/>
  <c r="D79" i="52"/>
  <c r="D78" i="52"/>
  <c r="D77" i="52"/>
  <c r="D76" i="52"/>
  <c r="D75" i="52"/>
  <c r="D72" i="52"/>
  <c r="D71" i="52"/>
  <c r="D70" i="52"/>
  <c r="D69" i="52"/>
  <c r="D68" i="52"/>
  <c r="D53" i="52"/>
  <c r="D54" i="52" s="1"/>
  <c r="D55" i="52" s="1"/>
  <c r="D56" i="52" s="1"/>
  <c r="D57" i="52" s="1"/>
  <c r="D58" i="52" s="1"/>
  <c r="D50" i="52"/>
  <c r="D49" i="52"/>
  <c r="D48" i="52"/>
  <c r="D47" i="52"/>
  <c r="D46" i="52"/>
  <c r="C13" i="58"/>
  <c r="C14" i="58"/>
  <c r="C28" i="58"/>
  <c r="C29" i="58"/>
  <c r="D16" i="52"/>
  <c r="D17" i="52" s="1"/>
  <c r="D18" i="52" s="1"/>
  <c r="D19" i="52" s="1"/>
  <c r="D20" i="52" s="1"/>
  <c r="D21" i="52" s="1"/>
  <c r="D13" i="52"/>
  <c r="D12" i="52"/>
  <c r="D11" i="52"/>
  <c r="D10" i="52"/>
  <c r="D9" i="52"/>
  <c r="C435" i="58" l="1"/>
  <c r="C434" i="58"/>
  <c r="C433" i="58"/>
  <c r="C432" i="58"/>
  <c r="C431" i="58"/>
  <c r="C430" i="58"/>
  <c r="C429" i="58"/>
  <c r="C428" i="58"/>
  <c r="C427" i="58"/>
  <c r="C426" i="58"/>
  <c r="C425" i="58"/>
  <c r="C424" i="58"/>
  <c r="C423" i="58"/>
  <c r="C422" i="58"/>
  <c r="C421" i="58"/>
  <c r="C420" i="58"/>
  <c r="C419" i="58"/>
  <c r="C418" i="58"/>
  <c r="C417" i="58"/>
  <c r="C416" i="58"/>
  <c r="C415" i="58"/>
  <c r="C414" i="58"/>
  <c r="C413" i="58"/>
  <c r="C412" i="58"/>
  <c r="C411" i="58"/>
  <c r="C410" i="58"/>
  <c r="C409" i="58"/>
  <c r="C408" i="58"/>
  <c r="C407" i="58"/>
  <c r="C406" i="58"/>
  <c r="J316" i="58"/>
  <c r="N316" i="58" s="1"/>
  <c r="J310" i="58"/>
  <c r="C405" i="58" l="1"/>
  <c r="C404" i="58"/>
  <c r="C403" i="58"/>
  <c r="C402" i="58"/>
  <c r="C401" i="58"/>
  <c r="C400" i="58"/>
  <c r="C399" i="58"/>
  <c r="C398" i="58"/>
  <c r="C397" i="58"/>
  <c r="C396" i="58"/>
  <c r="C395" i="58"/>
  <c r="C394" i="58"/>
  <c r="C393" i="58"/>
  <c r="C392" i="58"/>
  <c r="C391" i="58"/>
  <c r="C390" i="58"/>
  <c r="C389" i="58"/>
  <c r="C388" i="58"/>
  <c r="C387" i="58"/>
  <c r="C386" i="58"/>
  <c r="C385" i="58"/>
  <c r="C384" i="58"/>
  <c r="C383" i="58"/>
  <c r="C382" i="58"/>
  <c r="C381" i="58"/>
  <c r="C380" i="58"/>
  <c r="C379" i="58"/>
  <c r="C378" i="58"/>
  <c r="C377" i="58"/>
  <c r="C376" i="58"/>
  <c r="C375" i="58"/>
  <c r="C374" i="58"/>
  <c r="C373" i="58"/>
  <c r="C372" i="58"/>
  <c r="C371" i="58"/>
  <c r="C370" i="58"/>
  <c r="C369" i="58"/>
  <c r="C368" i="58"/>
  <c r="C367" i="58"/>
  <c r="C366" i="58"/>
  <c r="C365" i="58"/>
  <c r="C364" i="58"/>
  <c r="C363" i="58"/>
  <c r="C362" i="58"/>
  <c r="C361" i="58"/>
  <c r="C360" i="58"/>
  <c r="C359" i="58"/>
  <c r="C358" i="58"/>
  <c r="C357" i="58"/>
  <c r="C356" i="58"/>
  <c r="C355" i="58"/>
  <c r="C354" i="58"/>
  <c r="C353" i="58"/>
  <c r="C352" i="58"/>
  <c r="C351" i="58"/>
  <c r="C350" i="58"/>
  <c r="C349" i="58"/>
  <c r="C348" i="58"/>
  <c r="C347" i="58"/>
  <c r="C346" i="58"/>
  <c r="C345" i="58"/>
  <c r="C344" i="58"/>
  <c r="C343" i="58"/>
  <c r="C342" i="58"/>
  <c r="C341" i="58"/>
  <c r="C340" i="58"/>
  <c r="C339" i="58"/>
  <c r="C338" i="58"/>
  <c r="C337" i="58"/>
  <c r="C336" i="58"/>
  <c r="C335" i="58"/>
  <c r="C334" i="58"/>
  <c r="C333" i="58"/>
  <c r="C332" i="58"/>
  <c r="C331" i="58"/>
  <c r="C330" i="58"/>
  <c r="C329" i="58"/>
  <c r="C328" i="58"/>
  <c r="C327" i="58"/>
  <c r="C326" i="58"/>
  <c r="C325" i="58"/>
  <c r="C324" i="58"/>
  <c r="C323" i="58"/>
  <c r="C322" i="58"/>
  <c r="C321" i="58"/>
  <c r="C320" i="58"/>
  <c r="C319" i="58"/>
  <c r="C318" i="58"/>
  <c r="C317" i="58"/>
  <c r="C316" i="58"/>
  <c r="J315" i="58"/>
  <c r="N315" i="58" s="1"/>
  <c r="C315" i="58"/>
  <c r="J314" i="58"/>
  <c r="N314" i="58" s="1"/>
  <c r="C314" i="58"/>
  <c r="J313" i="58"/>
  <c r="N313" i="58" s="1"/>
  <c r="C313" i="58"/>
  <c r="C312" i="58"/>
  <c r="C311" i="58"/>
  <c r="C310" i="58"/>
  <c r="J309" i="58"/>
  <c r="C309" i="58"/>
  <c r="J308" i="58"/>
  <c r="C308" i="58"/>
  <c r="J307" i="58"/>
  <c r="N307" i="58" s="1"/>
  <c r="C307" i="58"/>
  <c r="C306" i="58"/>
  <c r="C305" i="58"/>
  <c r="C304" i="58"/>
  <c r="C303" i="58"/>
  <c r="C302" i="58"/>
  <c r="C301" i="58"/>
  <c r="C300" i="58"/>
  <c r="C299" i="58"/>
  <c r="C298" i="58"/>
  <c r="C297" i="58"/>
  <c r="C296" i="58"/>
  <c r="C295" i="58"/>
  <c r="C294" i="58"/>
  <c r="C293" i="58"/>
  <c r="C292" i="58"/>
  <c r="C291" i="58"/>
  <c r="C290" i="58"/>
  <c r="C289" i="58"/>
  <c r="C288" i="58"/>
  <c r="C287" i="58"/>
  <c r="C286" i="58"/>
  <c r="C285" i="58"/>
  <c r="C284" i="58"/>
  <c r="C283" i="58"/>
  <c r="C282" i="58"/>
  <c r="C281" i="58"/>
  <c r="C280" i="58"/>
  <c r="C279" i="58"/>
  <c r="C278" i="58"/>
  <c r="C277" i="58"/>
  <c r="C276" i="58"/>
  <c r="C275" i="58"/>
  <c r="C274" i="58"/>
  <c r="C273" i="58"/>
  <c r="C272" i="58"/>
  <c r="C271" i="58"/>
  <c r="C270" i="58"/>
  <c r="C269" i="58"/>
  <c r="C268" i="58"/>
  <c r="C267" i="58"/>
  <c r="C266" i="58"/>
  <c r="C265" i="58"/>
  <c r="C264" i="58"/>
  <c r="C263" i="58"/>
  <c r="C262" i="58"/>
  <c r="C261" i="58"/>
  <c r="C260" i="58"/>
  <c r="C259" i="58"/>
  <c r="C258" i="58"/>
  <c r="C257" i="58"/>
  <c r="C256" i="58"/>
  <c r="C255" i="58"/>
  <c r="C254" i="58"/>
  <c r="C253" i="58"/>
  <c r="C252" i="58"/>
  <c r="C251" i="58"/>
  <c r="C250" i="58"/>
  <c r="C249" i="58"/>
  <c r="C248" i="58"/>
  <c r="C247" i="58"/>
  <c r="C246" i="58"/>
  <c r="C245" i="58"/>
  <c r="C244" i="58"/>
  <c r="C243" i="58"/>
  <c r="C242" i="58"/>
  <c r="C241" i="58"/>
  <c r="C240" i="58"/>
  <c r="C239" i="58"/>
  <c r="C238" i="58"/>
  <c r="C237" i="58"/>
  <c r="C236" i="58"/>
  <c r="C235" i="58"/>
  <c r="C234" i="58"/>
  <c r="C233" i="58"/>
  <c r="C232" i="58"/>
  <c r="C231" i="58"/>
  <c r="C230" i="58"/>
  <c r="C229" i="58"/>
  <c r="AT54" i="113" l="1" a="1"/>
  <c r="AT54" i="113" s="1"/>
  <c r="N109" i="58"/>
  <c r="BA48" i="113" l="1"/>
  <c r="AT48" i="113"/>
  <c r="AN48" i="113"/>
  <c r="AJ48" i="113"/>
  <c r="AA48" i="113"/>
  <c r="T48" i="113"/>
  <c r="O48" i="113"/>
  <c r="K48" i="113"/>
  <c r="P48" i="108"/>
  <c r="D1" i="122"/>
  <c r="P3" i="122" s="1"/>
  <c r="C1" i="122"/>
  <c r="O3" i="122" s="1"/>
  <c r="L48" i="108"/>
  <c r="F3" i="122" l="1"/>
  <c r="G3" i="122"/>
  <c r="I3" i="122"/>
  <c r="J3" i="122"/>
  <c r="L3" i="122"/>
  <c r="M3" i="122"/>
  <c r="C3" i="122"/>
  <c r="D3" i="122"/>
  <c r="A2" i="57" l="1"/>
  <c r="B4" i="57"/>
  <c r="F11" i="43"/>
  <c r="D3" i="115"/>
  <c r="F3" i="115"/>
  <c r="G3" i="115"/>
  <c r="D3" i="114"/>
  <c r="F3" i="114"/>
  <c r="G3" i="114"/>
  <c r="D3" i="113"/>
  <c r="G3" i="113"/>
  <c r="B11" i="116" l="1"/>
  <c r="B11" i="115"/>
  <c r="B11" i="114"/>
  <c r="B11" i="113"/>
  <c r="B11" i="108" l="1"/>
  <c r="D22" i="66"/>
  <c r="D23" i="66" s="1"/>
  <c r="D24" i="66" s="1"/>
  <c r="D25" i="66" s="1"/>
  <c r="D26" i="66" s="1"/>
  <c r="D27" i="66" s="1"/>
  <c r="C22" i="66"/>
  <c r="C23" i="66" s="1"/>
  <c r="C24" i="66" s="1"/>
  <c r="C25" i="66" s="1"/>
  <c r="C26" i="66" s="1"/>
  <c r="C27" i="66" s="1"/>
  <c r="B22" i="66"/>
  <c r="B23" i="66" s="1"/>
  <c r="AO31" i="116"/>
  <c r="AL31" i="116"/>
  <c r="AF31" i="116"/>
  <c r="AC31" i="116"/>
  <c r="AO31" i="114"/>
  <c r="AL31" i="114"/>
  <c r="AF31" i="114"/>
  <c r="AC31" i="114"/>
  <c r="AO31" i="113"/>
  <c r="AL31" i="113"/>
  <c r="C213" i="58"/>
  <c r="C212" i="58"/>
  <c r="C211" i="58"/>
  <c r="C210" i="58"/>
  <c r="C209" i="58"/>
  <c r="C198" i="58"/>
  <c r="C197" i="58"/>
  <c r="C196" i="58"/>
  <c r="C195" i="58"/>
  <c r="C194" i="58"/>
  <c r="D28" i="66" l="1"/>
  <c r="D29" i="66" s="1"/>
  <c r="D30" i="66" s="1"/>
  <c r="D31" i="66" s="1"/>
  <c r="D32" i="66" s="1"/>
  <c r="D33" i="66" s="1"/>
  <c r="D34" i="66" s="1"/>
  <c r="D35" i="66" s="1"/>
  <c r="C28" i="66"/>
  <c r="C29" i="66" s="1"/>
  <c r="C30" i="66" s="1"/>
  <c r="C31" i="66" s="1"/>
  <c r="C32" i="66" s="1"/>
  <c r="C33" i="66" s="1"/>
  <c r="C34" i="66" s="1"/>
  <c r="C35" i="66" s="1"/>
  <c r="B24" i="66"/>
  <c r="D36" i="66" l="1"/>
  <c r="D38" i="66" s="1"/>
  <c r="D39" i="66" s="1"/>
  <c r="D40" i="66" s="1"/>
  <c r="D41" i="66" s="1"/>
  <c r="D42" i="66" s="1"/>
  <c r="D37" i="66"/>
  <c r="C36" i="66"/>
  <c r="C38" i="66" s="1"/>
  <c r="C39" i="66" s="1"/>
  <c r="C40" i="66" s="1"/>
  <c r="C41" i="66" s="1"/>
  <c r="C42" i="66" s="1"/>
  <c r="C37" i="66"/>
  <c r="B25" i="66"/>
  <c r="B26" i="66" s="1"/>
  <c r="B27" i="66" s="1"/>
  <c r="P24" i="66" a="1"/>
  <c r="P24" i="66" s="1"/>
  <c r="B28" i="66" l="1"/>
  <c r="B29" i="66" s="1"/>
  <c r="AP31" i="108"/>
  <c r="AM31" i="108"/>
  <c r="AF31" i="113"/>
  <c r="AC31" i="113"/>
  <c r="AO31" i="115"/>
  <c r="AL31" i="115"/>
  <c r="AF31" i="115"/>
  <c r="AC31" i="115"/>
  <c r="W31" i="113"/>
  <c r="T31" i="113"/>
  <c r="P253" i="98"/>
  <c r="I253" i="98"/>
  <c r="D249" i="98"/>
  <c r="D250" i="98" s="1"/>
  <c r="D251" i="98" s="1"/>
  <c r="D252" i="98" s="1"/>
  <c r="D253" i="98" s="1"/>
  <c r="D254" i="98" s="1"/>
  <c r="D255" i="98" s="1"/>
  <c r="D256" i="98" s="1"/>
  <c r="C249" i="98"/>
  <c r="B249" i="98"/>
  <c r="B250" i="98" s="1"/>
  <c r="B251" i="98" s="1"/>
  <c r="P223" i="98"/>
  <c r="I223" i="98"/>
  <c r="D219" i="98"/>
  <c r="D220" i="98" s="1"/>
  <c r="D221" i="98" s="1"/>
  <c r="D222" i="98" s="1"/>
  <c r="D223" i="98" s="1"/>
  <c r="D224" i="98" s="1"/>
  <c r="D225" i="98" s="1"/>
  <c r="D226" i="98" s="1"/>
  <c r="D227" i="98" s="1"/>
  <c r="C219" i="98"/>
  <c r="C220" i="98" s="1"/>
  <c r="C221" i="98" s="1"/>
  <c r="C222" i="98" s="1"/>
  <c r="C223" i="98" s="1"/>
  <c r="C224" i="98" s="1"/>
  <c r="C225" i="98" s="1"/>
  <c r="C226" i="98" s="1"/>
  <c r="C227" i="98" s="1"/>
  <c r="B219" i="98"/>
  <c r="P203" i="98"/>
  <c r="I203" i="98"/>
  <c r="D199" i="98"/>
  <c r="D200" i="98" s="1"/>
  <c r="D201" i="98" s="1"/>
  <c r="D202" i="98" s="1"/>
  <c r="D203" i="98" s="1"/>
  <c r="D204" i="98" s="1"/>
  <c r="D205" i="98" s="1"/>
  <c r="D206" i="98" s="1"/>
  <c r="D207" i="98" s="1"/>
  <c r="C199" i="98"/>
  <c r="C200" i="98" s="1"/>
  <c r="C201" i="98" s="1"/>
  <c r="C202" i="98" s="1"/>
  <c r="C203" i="98" s="1"/>
  <c r="C204" i="98" s="1"/>
  <c r="C205" i="98" s="1"/>
  <c r="C206" i="98" s="1"/>
  <c r="C207" i="98" s="1"/>
  <c r="B199" i="98"/>
  <c r="P173" i="98"/>
  <c r="I173" i="98"/>
  <c r="B170" i="98"/>
  <c r="D169" i="98"/>
  <c r="D170" i="98" s="1"/>
  <c r="D171" i="98" s="1"/>
  <c r="D172" i="98" s="1"/>
  <c r="D173" i="98" s="1"/>
  <c r="D174" i="98" s="1"/>
  <c r="D175" i="98" s="1"/>
  <c r="D176" i="98" s="1"/>
  <c r="D177" i="98" s="1"/>
  <c r="C169" i="98"/>
  <c r="C170" i="98" s="1"/>
  <c r="C171" i="98" s="1"/>
  <c r="C172" i="98" s="1"/>
  <c r="C173" i="98" s="1"/>
  <c r="C174" i="98" s="1"/>
  <c r="C175" i="98" s="1"/>
  <c r="C176" i="98" s="1"/>
  <c r="C177" i="98" s="1"/>
  <c r="B169" i="98"/>
  <c r="P153" i="98"/>
  <c r="I153" i="98"/>
  <c r="D149" i="98"/>
  <c r="D150" i="98" s="1"/>
  <c r="D151" i="98" s="1"/>
  <c r="D152" i="98" s="1"/>
  <c r="D153" i="98" s="1"/>
  <c r="D154" i="98" s="1"/>
  <c r="D155" i="98" s="1"/>
  <c r="D156" i="98" s="1"/>
  <c r="D157" i="98" s="1"/>
  <c r="C149" i="98"/>
  <c r="C150" i="98" s="1"/>
  <c r="C151" i="98" s="1"/>
  <c r="C152" i="98" s="1"/>
  <c r="C153" i="98" s="1"/>
  <c r="C154" i="98" s="1"/>
  <c r="C155" i="98" s="1"/>
  <c r="C156" i="98" s="1"/>
  <c r="C157" i="98" s="1"/>
  <c r="B149" i="98"/>
  <c r="B150" i="98" s="1"/>
  <c r="P123" i="98"/>
  <c r="I123" i="98"/>
  <c r="D119" i="98"/>
  <c r="D120" i="98" s="1"/>
  <c r="C119" i="98"/>
  <c r="C120" i="98" s="1"/>
  <c r="C121" i="98" s="1"/>
  <c r="C122" i="98" s="1"/>
  <c r="C123" i="98" s="1"/>
  <c r="C124" i="98" s="1"/>
  <c r="C125" i="98" s="1"/>
  <c r="C126" i="98" s="1"/>
  <c r="C127" i="98" s="1"/>
  <c r="B119" i="98"/>
  <c r="B120" i="98" s="1"/>
  <c r="P103" i="98"/>
  <c r="I103" i="98"/>
  <c r="D99" i="98"/>
  <c r="D100" i="98" s="1"/>
  <c r="D101" i="98" s="1"/>
  <c r="D102" i="98" s="1"/>
  <c r="D103" i="98" s="1"/>
  <c r="D104" i="98" s="1"/>
  <c r="D105" i="98" s="1"/>
  <c r="D106" i="98" s="1"/>
  <c r="D107" i="98" s="1"/>
  <c r="C99" i="98"/>
  <c r="C100" i="98" s="1"/>
  <c r="C101" i="98" s="1"/>
  <c r="C102" i="98" s="1"/>
  <c r="C103" i="98" s="1"/>
  <c r="C104" i="98" s="1"/>
  <c r="C105" i="98" s="1"/>
  <c r="C106" i="98" s="1"/>
  <c r="C107" i="98" s="1"/>
  <c r="B99" i="98"/>
  <c r="P73" i="98"/>
  <c r="I73" i="98"/>
  <c r="D69" i="98"/>
  <c r="D70" i="98" s="1"/>
  <c r="D71" i="98" s="1"/>
  <c r="D72" i="98" s="1"/>
  <c r="D73" i="98" s="1"/>
  <c r="D74" i="98" s="1"/>
  <c r="D75" i="98" s="1"/>
  <c r="D76" i="98" s="1"/>
  <c r="D77" i="98" s="1"/>
  <c r="C69" i="98"/>
  <c r="C70" i="98" s="1"/>
  <c r="C71" i="98" s="1"/>
  <c r="C72" i="98" s="1"/>
  <c r="C73" i="98" s="1"/>
  <c r="C74" i="98" s="1"/>
  <c r="C75" i="98" s="1"/>
  <c r="C76" i="98" s="1"/>
  <c r="C77" i="98" s="1"/>
  <c r="B69" i="98"/>
  <c r="P53" i="98"/>
  <c r="I53" i="98"/>
  <c r="AM55" i="108" s="1" a="1"/>
  <c r="AM55" i="108" s="1"/>
  <c r="D49" i="98"/>
  <c r="D50" i="98" s="1"/>
  <c r="D51" i="98" s="1"/>
  <c r="D52" i="98" s="1"/>
  <c r="D53" i="98" s="1"/>
  <c r="D54" i="98" s="1"/>
  <c r="D55" i="98" s="1"/>
  <c r="D56" i="98" s="1"/>
  <c r="D57" i="98" s="1"/>
  <c r="C49" i="98"/>
  <c r="B49" i="98"/>
  <c r="B50" i="98" s="1"/>
  <c r="B51" i="98" s="1"/>
  <c r="P23" i="98"/>
  <c r="I23" i="98"/>
  <c r="D19" i="98"/>
  <c r="D20" i="98" s="1"/>
  <c r="D21" i="98" s="1"/>
  <c r="C19" i="98"/>
  <c r="B19" i="98"/>
  <c r="B20" i="98" s="1"/>
  <c r="B21" i="98" s="1"/>
  <c r="O396" i="68"/>
  <c r="O397" i="68" s="1"/>
  <c r="H396" i="68"/>
  <c r="H397" i="68" s="1"/>
  <c r="O336" i="68"/>
  <c r="O337" i="68" s="1"/>
  <c r="H336" i="68"/>
  <c r="H337" i="68" s="1"/>
  <c r="D338" i="68"/>
  <c r="D339" i="68" s="1"/>
  <c r="C338" i="68"/>
  <c r="C339" i="68" s="1"/>
  <c r="O307" i="68"/>
  <c r="O308" i="68" s="1"/>
  <c r="D307" i="68"/>
  <c r="D309" i="68" s="1"/>
  <c r="D310" i="68" s="1"/>
  <c r="C307" i="68"/>
  <c r="C309" i="68" s="1"/>
  <c r="C310" i="68" s="1"/>
  <c r="O268" i="68"/>
  <c r="O269" i="68" s="1"/>
  <c r="D268" i="68"/>
  <c r="D270" i="68" s="1"/>
  <c r="D271" i="68" s="1"/>
  <c r="C268" i="68"/>
  <c r="C270" i="68" s="1"/>
  <c r="C271" i="68" s="1"/>
  <c r="O243" i="68"/>
  <c r="O244" i="68" s="1"/>
  <c r="D245" i="68"/>
  <c r="D246" i="68" s="1"/>
  <c r="C245" i="68"/>
  <c r="C246" i="68" s="1"/>
  <c r="O198" i="68"/>
  <c r="O199" i="68" s="1"/>
  <c r="D194" i="68"/>
  <c r="D195" i="68" s="1"/>
  <c r="D196" i="68" s="1"/>
  <c r="D197" i="68" s="1"/>
  <c r="D198" i="68" s="1"/>
  <c r="D200" i="68" s="1"/>
  <c r="D201" i="68" s="1"/>
  <c r="C194" i="68"/>
  <c r="C195" i="68" s="1"/>
  <c r="C196" i="68" s="1"/>
  <c r="C197" i="68" s="1"/>
  <c r="C198" i="68" s="1"/>
  <c r="C200" i="68" s="1"/>
  <c r="C201" i="68" s="1"/>
  <c r="O171" i="68"/>
  <c r="O172" i="68" s="1"/>
  <c r="D171" i="68"/>
  <c r="D173" i="68" s="1"/>
  <c r="D174" i="68" s="1"/>
  <c r="C171" i="68"/>
  <c r="C173" i="68" s="1"/>
  <c r="C174" i="68" s="1"/>
  <c r="O114" i="68"/>
  <c r="O115" i="68" s="1"/>
  <c r="H114" i="68"/>
  <c r="H115" i="68" s="1"/>
  <c r="O75" i="68"/>
  <c r="O76" i="68" s="1"/>
  <c r="H75" i="68"/>
  <c r="H76" i="68" s="1"/>
  <c r="D72" i="68"/>
  <c r="D73" i="68" s="1"/>
  <c r="D74" i="68" s="1"/>
  <c r="D75" i="68" s="1"/>
  <c r="D77" i="68" s="1"/>
  <c r="D78" i="68" s="1"/>
  <c r="C71" i="68"/>
  <c r="C72" i="68" s="1"/>
  <c r="C73" i="68" s="1"/>
  <c r="C74" i="68" s="1"/>
  <c r="C75" i="68" s="1"/>
  <c r="C77" i="68" s="1"/>
  <c r="C78" i="68" s="1"/>
  <c r="O30" i="68"/>
  <c r="O31" i="68" s="1"/>
  <c r="H30" i="68"/>
  <c r="H31" i="68" s="1"/>
  <c r="AN55" i="108" l="1" a="1"/>
  <c r="AN55" i="108" s="1"/>
  <c r="B194" i="68"/>
  <c r="B195" i="68" s="1"/>
  <c r="B71" i="68"/>
  <c r="B72" i="68" s="1"/>
  <c r="P70" i="68" a="1"/>
  <c r="P70" i="68" s="1"/>
  <c r="B30" i="66"/>
  <c r="B31" i="66" s="1"/>
  <c r="B32" i="66" s="1"/>
  <c r="B33" i="66" s="1"/>
  <c r="B34" i="66" s="1"/>
  <c r="B35" i="66" s="1"/>
  <c r="B36" i="66" s="1"/>
  <c r="B38" i="66" s="1"/>
  <c r="D121" i="98"/>
  <c r="D122" i="98" s="1"/>
  <c r="D123" i="98" s="1"/>
  <c r="D124" i="98" s="1"/>
  <c r="D125" i="98" s="1"/>
  <c r="D126" i="98" s="1"/>
  <c r="D127" i="98" s="1"/>
  <c r="H19" i="98" a="1"/>
  <c r="H19" i="98" s="1"/>
  <c r="C20" i="98"/>
  <c r="B52" i="98"/>
  <c r="O19" i="98" a="1"/>
  <c r="O19" i="98" s="1"/>
  <c r="D22" i="98"/>
  <c r="D23" i="98"/>
  <c r="D24" i="98" s="1"/>
  <c r="D25" i="98" s="1"/>
  <c r="D26" i="98" s="1"/>
  <c r="D27" i="98" s="1"/>
  <c r="H49" i="98" a="1"/>
  <c r="H49" i="98" s="1"/>
  <c r="C50" i="98"/>
  <c r="B100" i="98"/>
  <c r="B22" i="98"/>
  <c r="O49" i="98" a="1"/>
  <c r="O49" i="98" s="1"/>
  <c r="B151" i="98"/>
  <c r="B171" i="98"/>
  <c r="O20" i="98" a="1"/>
  <c r="O20" i="98" s="1"/>
  <c r="O50" i="98" a="1"/>
  <c r="O50" i="98" s="1"/>
  <c r="B70" i="98"/>
  <c r="B121" i="98"/>
  <c r="C250" i="98"/>
  <c r="C251" i="98" s="1"/>
  <c r="C252" i="98" s="1"/>
  <c r="C253" i="98" s="1"/>
  <c r="C254" i="98" s="1"/>
  <c r="C255" i="98" s="1"/>
  <c r="C256" i="98" s="1"/>
  <c r="B200" i="98"/>
  <c r="B220" i="98"/>
  <c r="B252" i="98"/>
  <c r="P71" i="68" a="1"/>
  <c r="P71" i="68" s="1"/>
  <c r="I70" i="68" a="1"/>
  <c r="I70" i="68" s="1"/>
  <c r="I71" i="68" l="1" a="1"/>
  <c r="I71" i="68" s="1"/>
  <c r="B39" i="66"/>
  <c r="B40" i="66" s="1"/>
  <c r="B41" i="66" s="1"/>
  <c r="B42" i="66" s="1"/>
  <c r="B37" i="66"/>
  <c r="B122" i="98"/>
  <c r="B221" i="98"/>
  <c r="B172" i="98"/>
  <c r="B201" i="98"/>
  <c r="B71" i="98"/>
  <c r="B152" i="98"/>
  <c r="B23" i="98"/>
  <c r="B101" i="98"/>
  <c r="C51" i="98"/>
  <c r="H50" i="98" a="1"/>
  <c r="H50" i="98" s="1"/>
  <c r="B53" i="98"/>
  <c r="B54" i="98" s="1"/>
  <c r="B55" i="98" s="1"/>
  <c r="B56" i="98" s="1"/>
  <c r="B57" i="98" s="1"/>
  <c r="C21" i="98"/>
  <c r="H20" i="98" a="1"/>
  <c r="H20" i="98" s="1"/>
  <c r="B253" i="98"/>
  <c r="B73" i="68"/>
  <c r="I72" i="68" a="1"/>
  <c r="I72" i="68" s="1"/>
  <c r="P72" i="68" a="1"/>
  <c r="P72" i="68" s="1"/>
  <c r="B268" i="68"/>
  <c r="B270" i="68" s="1"/>
  <c r="B271" i="68" s="1"/>
  <c r="B196" i="68"/>
  <c r="N147" i="58"/>
  <c r="N145" i="58"/>
  <c r="N146" i="58"/>
  <c r="N118" i="58"/>
  <c r="N114" i="58"/>
  <c r="N90" i="58"/>
  <c r="N86" i="58"/>
  <c r="N85" i="58"/>
  <c r="N57" i="58"/>
  <c r="N31" i="58"/>
  <c r="C31" i="58"/>
  <c r="N27" i="58"/>
  <c r="C27" i="58"/>
  <c r="C22" i="98" l="1"/>
  <c r="O21" i="98" a="1"/>
  <c r="O21" i="98" s="1"/>
  <c r="H21" i="98" a="1"/>
  <c r="H21" i="98" s="1"/>
  <c r="B222" i="98"/>
  <c r="B153" i="98"/>
  <c r="B72" i="98"/>
  <c r="B202" i="98"/>
  <c r="B123" i="98"/>
  <c r="B254" i="98"/>
  <c r="C52" i="98"/>
  <c r="O51" i="98" a="1"/>
  <c r="O51" i="98" s="1"/>
  <c r="H51" i="98" a="1"/>
  <c r="H51" i="98" s="1"/>
  <c r="B102" i="98"/>
  <c r="B24" i="98"/>
  <c r="B173" i="98"/>
  <c r="B307" i="68"/>
  <c r="B309" i="68" s="1"/>
  <c r="B310" i="68" s="1"/>
  <c r="B171" i="68"/>
  <c r="B173" i="68" s="1"/>
  <c r="B174" i="68" s="1"/>
  <c r="B197" i="68"/>
  <c r="B74" i="68"/>
  <c r="I73" i="68" a="1"/>
  <c r="I73" i="68" s="1"/>
  <c r="I74" i="68" s="1" a="1"/>
  <c r="I74" i="68" s="1"/>
  <c r="P73" i="68" a="1"/>
  <c r="P73" i="68" s="1"/>
  <c r="P74" i="68" s="1" a="1"/>
  <c r="P74" i="68" s="1"/>
  <c r="P75" i="68" s="1"/>
  <c r="C53" i="98" l="1"/>
  <c r="C54" i="98" s="1"/>
  <c r="C55" i="98" s="1"/>
  <c r="C56" i="98" s="1"/>
  <c r="C57" i="98" s="1"/>
  <c r="H52" i="98" a="1"/>
  <c r="H52" i="98" s="1"/>
  <c r="O52" i="98" a="1"/>
  <c r="O52" i="98" s="1"/>
  <c r="B124" i="98"/>
  <c r="B203" i="98"/>
  <c r="B223" i="98"/>
  <c r="C23" i="98"/>
  <c r="H22" i="98" a="1"/>
  <c r="H22" i="98" s="1"/>
  <c r="O22" i="98" a="1"/>
  <c r="O22" i="98" s="1"/>
  <c r="B174" i="98"/>
  <c r="B25" i="98"/>
  <c r="B26" i="98" s="1"/>
  <c r="B27" i="98" s="1"/>
  <c r="B103" i="98"/>
  <c r="B255" i="98"/>
  <c r="B256" i="98" s="1"/>
  <c r="B73" i="98"/>
  <c r="B154" i="98"/>
  <c r="B75" i="68"/>
  <c r="B77" i="68" s="1"/>
  <c r="B78" i="68" s="1"/>
  <c r="B198" i="68"/>
  <c r="B200" i="68" s="1"/>
  <c r="B201" i="68" s="1"/>
  <c r="B338" i="68"/>
  <c r="B339" i="68" s="1"/>
  <c r="B155" i="98" l="1"/>
  <c r="B156" i="98" s="1"/>
  <c r="B157" i="98" s="1"/>
  <c r="B74" i="98"/>
  <c r="O23" i="98"/>
  <c r="B224" i="98"/>
  <c r="B204" i="98"/>
  <c r="B104" i="98"/>
  <c r="C24" i="98"/>
  <c r="B125" i="98"/>
  <c r="B126" i="98" s="1"/>
  <c r="B127" i="98" s="1"/>
  <c r="O53" i="98"/>
  <c r="AQ55" i="108" s="1" a="1"/>
  <c r="AQ55" i="108" s="1"/>
  <c r="B175" i="98"/>
  <c r="B176" i="98" s="1"/>
  <c r="B177" i="98" s="1"/>
  <c r="B245" i="68"/>
  <c r="B246" i="68" s="1"/>
  <c r="O24" i="66" a="1"/>
  <c r="O24" i="66" s="1"/>
  <c r="H24" i="66" a="1"/>
  <c r="H24" i="66" s="1"/>
  <c r="C183" i="58"/>
  <c r="C182" i="58"/>
  <c r="C181" i="58"/>
  <c r="C180" i="58"/>
  <c r="C179" i="58"/>
  <c r="AZ55" i="108" l="1" a="1"/>
  <c r="AZ55" i="108" s="1"/>
  <c r="Y55" i="108" a="1"/>
  <c r="Y55" i="108" s="1"/>
  <c r="C25" i="98"/>
  <c r="C26" i="98" s="1"/>
  <c r="C27" i="98" s="1"/>
  <c r="B225" i="98"/>
  <c r="B226" i="98" s="1"/>
  <c r="B227" i="98" s="1"/>
  <c r="B105" i="98"/>
  <c r="B106" i="98" s="1"/>
  <c r="B107" i="98" s="1"/>
  <c r="B205" i="98"/>
  <c r="B206" i="98" s="1"/>
  <c r="B207" i="98" s="1"/>
  <c r="B75" i="98"/>
  <c r="B76" i="98" s="1"/>
  <c r="B77" i="98" s="1"/>
  <c r="C247" i="52"/>
  <c r="C248" i="52" s="1"/>
  <c r="C249" i="52" s="1"/>
  <c r="C250" i="52" s="1"/>
  <c r="C251" i="52" s="1"/>
  <c r="B247" i="52"/>
  <c r="B248" i="52" s="1"/>
  <c r="B249" i="52" l="1"/>
  <c r="C121" i="52"/>
  <c r="C122" i="52" s="1"/>
  <c r="C123" i="52" s="1"/>
  <c r="C124" i="52" s="1"/>
  <c r="C125" i="52" s="1"/>
  <c r="C126" i="52" s="1"/>
  <c r="B121" i="52"/>
  <c r="B122" i="52" s="1"/>
  <c r="B250" i="52" l="1"/>
  <c r="B123" i="52"/>
  <c r="C53" i="52"/>
  <c r="C54" i="52" s="1"/>
  <c r="C55" i="52" s="1"/>
  <c r="C56" i="52" s="1"/>
  <c r="B53" i="52"/>
  <c r="C253" i="52"/>
  <c r="B253" i="52"/>
  <c r="C252" i="52"/>
  <c r="B252" i="52"/>
  <c r="C128" i="52"/>
  <c r="B128" i="52"/>
  <c r="C127" i="52"/>
  <c r="B127" i="52"/>
  <c r="B297" i="66"/>
  <c r="B298" i="66" s="1"/>
  <c r="B299" i="66" s="1"/>
  <c r="B300" i="66" s="1"/>
  <c r="B301" i="66" s="1"/>
  <c r="B302" i="66" s="1"/>
  <c r="D297" i="66"/>
  <c r="D298" i="66" s="1"/>
  <c r="D299" i="66" s="1"/>
  <c r="D300" i="66" s="1"/>
  <c r="D301" i="66" s="1"/>
  <c r="D302" i="66" s="1"/>
  <c r="C297" i="66"/>
  <c r="C298" i="66" s="1"/>
  <c r="C299" i="66" s="1"/>
  <c r="C300" i="66" s="1"/>
  <c r="C301" i="66" s="1"/>
  <c r="C302" i="66" s="1"/>
  <c r="B69" i="66"/>
  <c r="B70" i="66" s="1"/>
  <c r="B71" i="66" s="1"/>
  <c r="D69" i="66"/>
  <c r="D70" i="66" s="1"/>
  <c r="D71" i="66" s="1"/>
  <c r="D72" i="66" s="1"/>
  <c r="D73" i="66" s="1"/>
  <c r="D74" i="66" s="1"/>
  <c r="C69" i="66"/>
  <c r="C70" i="66" s="1"/>
  <c r="C71" i="66" s="1"/>
  <c r="C72" i="66" s="1"/>
  <c r="C73" i="66" s="1"/>
  <c r="C74" i="66" s="1"/>
  <c r="O40" i="66"/>
  <c r="D304" i="66" l="1"/>
  <c r="D305" i="66" s="1"/>
  <c r="D306" i="66" s="1"/>
  <c r="D307" i="66" s="1"/>
  <c r="D303" i="66"/>
  <c r="B304" i="66"/>
  <c r="B305" i="66" s="1"/>
  <c r="B306" i="66" s="1"/>
  <c r="B307" i="66" s="1"/>
  <c r="B303" i="66"/>
  <c r="C304" i="66"/>
  <c r="C305" i="66" s="1"/>
  <c r="C306" i="66" s="1"/>
  <c r="C307" i="66" s="1"/>
  <c r="C303" i="66"/>
  <c r="I69" i="66" a="1"/>
  <c r="I69" i="66" s="1"/>
  <c r="C76" i="66"/>
  <c r="C77" i="66" s="1"/>
  <c r="C78" i="66" s="1"/>
  <c r="C79" i="66" s="1"/>
  <c r="C75" i="66"/>
  <c r="D76" i="66"/>
  <c r="D77" i="66" s="1"/>
  <c r="D78" i="66" s="1"/>
  <c r="D79" i="66" s="1"/>
  <c r="D75" i="66"/>
  <c r="P69" i="66" a="1"/>
  <c r="P69" i="66" s="1"/>
  <c r="B72" i="66"/>
  <c r="B73" i="66" s="1"/>
  <c r="B74" i="66" s="1"/>
  <c r="H71" i="66" a="1"/>
  <c r="H71" i="66" s="1"/>
  <c r="H77" i="66" s="1"/>
  <c r="O71" i="66" a="1"/>
  <c r="O71" i="66" s="1"/>
  <c r="B251" i="52"/>
  <c r="B124" i="52"/>
  <c r="B54" i="52"/>
  <c r="B55" i="52" s="1"/>
  <c r="B56" i="52" s="1"/>
  <c r="D562" i="66"/>
  <c r="D563" i="66" s="1"/>
  <c r="D564" i="66" s="1"/>
  <c r="D565" i="66" s="1"/>
  <c r="D566" i="66" s="1"/>
  <c r="D567" i="66" s="1"/>
  <c r="C562" i="66"/>
  <c r="C563" i="66" s="1"/>
  <c r="C564" i="66" s="1"/>
  <c r="C565" i="66" s="1"/>
  <c r="C566" i="66" s="1"/>
  <c r="C567" i="66" s="1"/>
  <c r="B562" i="66"/>
  <c r="B563" i="66" s="1"/>
  <c r="B564" i="66" s="1"/>
  <c r="B565" i="66" s="1"/>
  <c r="B566" i="66" s="1"/>
  <c r="B567" i="66" s="1"/>
  <c r="D415" i="66"/>
  <c r="D416" i="66" s="1"/>
  <c r="D417" i="66" s="1"/>
  <c r="D418" i="66" s="1"/>
  <c r="D419" i="66" s="1"/>
  <c r="D420" i="66" s="1"/>
  <c r="C415" i="66"/>
  <c r="C416" i="66" s="1"/>
  <c r="C417" i="66" s="1"/>
  <c r="C418" i="66" s="1"/>
  <c r="C419" i="66" s="1"/>
  <c r="C420" i="66" s="1"/>
  <c r="B415" i="66"/>
  <c r="B416" i="66" s="1"/>
  <c r="B417" i="66" s="1"/>
  <c r="B418" i="66" s="1"/>
  <c r="B419" i="66" s="1"/>
  <c r="B420" i="66" s="1"/>
  <c r="D196" i="66"/>
  <c r="D197" i="66" s="1"/>
  <c r="D198" i="66" s="1"/>
  <c r="D199" i="66" s="1"/>
  <c r="D200" i="66" s="1"/>
  <c r="D201" i="66" s="1"/>
  <c r="C196" i="66"/>
  <c r="C197" i="66" s="1"/>
  <c r="C198" i="66" s="1"/>
  <c r="C199" i="66" s="1"/>
  <c r="C200" i="66" s="1"/>
  <c r="C201" i="66" s="1"/>
  <c r="B196" i="66"/>
  <c r="B197" i="66" s="1"/>
  <c r="B198" i="66" s="1"/>
  <c r="B199" i="66" s="1"/>
  <c r="B200" i="66" s="1"/>
  <c r="B201" i="66" s="1"/>
  <c r="C569" i="66" l="1"/>
  <c r="C570" i="66" s="1"/>
  <c r="C571" i="66" s="1"/>
  <c r="C572" i="66" s="1"/>
  <c r="C573" i="66" s="1"/>
  <c r="C574" i="66" s="1"/>
  <c r="C575" i="66" s="1"/>
  <c r="C576" i="66" s="1"/>
  <c r="C577" i="66" s="1"/>
  <c r="C568" i="66"/>
  <c r="D569" i="66"/>
  <c r="D570" i="66" s="1"/>
  <c r="D571" i="66" s="1"/>
  <c r="D572" i="66" s="1"/>
  <c r="D573" i="66" s="1"/>
  <c r="D574" i="66" s="1"/>
  <c r="D575" i="66" s="1"/>
  <c r="D576" i="66" s="1"/>
  <c r="D577" i="66" s="1"/>
  <c r="D568" i="66"/>
  <c r="B569" i="66"/>
  <c r="B570" i="66" s="1"/>
  <c r="B571" i="66" s="1"/>
  <c r="B572" i="66" s="1"/>
  <c r="B573" i="66" s="1"/>
  <c r="B574" i="66" s="1"/>
  <c r="B575" i="66" s="1"/>
  <c r="B576" i="66" s="1"/>
  <c r="B577" i="66" s="1"/>
  <c r="B568" i="66"/>
  <c r="C421" i="66"/>
  <c r="C422" i="66"/>
  <c r="C423" i="66" s="1"/>
  <c r="C424" i="66" s="1"/>
  <c r="C425" i="66" s="1"/>
  <c r="C426" i="66" s="1"/>
  <c r="C427" i="66" s="1"/>
  <c r="C428" i="66" s="1"/>
  <c r="C429" i="66" s="1"/>
  <c r="B422" i="66"/>
  <c r="B421" i="66"/>
  <c r="D422" i="66"/>
  <c r="D423" i="66" s="1"/>
  <c r="D424" i="66" s="1"/>
  <c r="D425" i="66" s="1"/>
  <c r="D426" i="66" s="1"/>
  <c r="D427" i="66" s="1"/>
  <c r="D428" i="66" s="1"/>
  <c r="D429" i="66" s="1"/>
  <c r="D421" i="66"/>
  <c r="B358" i="66"/>
  <c r="B359" i="66" s="1"/>
  <c r="B360" i="66" s="1"/>
  <c r="C358" i="66"/>
  <c r="C359" i="66" s="1"/>
  <c r="C360" i="66" s="1"/>
  <c r="D358" i="66"/>
  <c r="D359" i="66" s="1"/>
  <c r="D360" i="66" s="1"/>
  <c r="B203" i="66"/>
  <c r="B204" i="66" s="1"/>
  <c r="B205" i="66" s="1"/>
  <c r="B206" i="66" s="1"/>
  <c r="B207" i="66" s="1"/>
  <c r="B208" i="66" s="1"/>
  <c r="B209" i="66" s="1"/>
  <c r="B210" i="66" s="1"/>
  <c r="B202" i="66"/>
  <c r="C203" i="66"/>
  <c r="C204" i="66" s="1"/>
  <c r="C205" i="66" s="1"/>
  <c r="C206" i="66" s="1"/>
  <c r="C207" i="66" s="1"/>
  <c r="C208" i="66" s="1"/>
  <c r="C209" i="66" s="1"/>
  <c r="C210" i="66" s="1"/>
  <c r="C202" i="66"/>
  <c r="D203" i="66"/>
  <c r="D204" i="66" s="1"/>
  <c r="D205" i="66" s="1"/>
  <c r="D206" i="66" s="1"/>
  <c r="D207" i="66" s="1"/>
  <c r="D208" i="66" s="1"/>
  <c r="D209" i="66" s="1"/>
  <c r="D210" i="66" s="1"/>
  <c r="D202" i="66"/>
  <c r="B76" i="66"/>
  <c r="B77" i="66" s="1"/>
  <c r="B78" i="66" s="1"/>
  <c r="B79" i="66" s="1"/>
  <c r="B75" i="66"/>
  <c r="B125" i="52"/>
  <c r="I71" i="66" a="1"/>
  <c r="I71" i="66" s="1"/>
  <c r="P71" i="66" a="1"/>
  <c r="P71" i="66" s="1"/>
  <c r="I198" i="66" a="1"/>
  <c r="I198" i="66" s="1"/>
  <c r="P198" i="66" a="1"/>
  <c r="P198" i="66" s="1"/>
  <c r="B579" i="66" l="1"/>
  <c r="B580" i="66" s="1"/>
  <c r="B581" i="66" s="1"/>
  <c r="B582" i="66" s="1"/>
  <c r="B583" i="66" s="1"/>
  <c r="B584" i="66" s="1"/>
  <c r="B585" i="66" s="1"/>
  <c r="B586" i="66" s="1"/>
  <c r="B587" i="66" s="1"/>
  <c r="B578" i="66"/>
  <c r="D579" i="66"/>
  <c r="D580" i="66" s="1"/>
  <c r="D581" i="66" s="1"/>
  <c r="D582" i="66" s="1"/>
  <c r="D583" i="66" s="1"/>
  <c r="D584" i="66" s="1"/>
  <c r="D585" i="66" s="1"/>
  <c r="D586" i="66" s="1"/>
  <c r="D587" i="66" s="1"/>
  <c r="D578" i="66"/>
  <c r="C579" i="66"/>
  <c r="C580" i="66" s="1"/>
  <c r="C581" i="66" s="1"/>
  <c r="C582" i="66" s="1"/>
  <c r="C583" i="66" s="1"/>
  <c r="C584" i="66" s="1"/>
  <c r="C585" i="66" s="1"/>
  <c r="C586" i="66" s="1"/>
  <c r="C587" i="66" s="1"/>
  <c r="C578" i="66"/>
  <c r="D431" i="66"/>
  <c r="D432" i="66" s="1"/>
  <c r="D433" i="66" s="1"/>
  <c r="D434" i="66" s="1"/>
  <c r="D435" i="66" s="1"/>
  <c r="D436" i="66" s="1"/>
  <c r="D437" i="66" s="1"/>
  <c r="D438" i="66" s="1"/>
  <c r="D430" i="66"/>
  <c r="C431" i="66"/>
  <c r="C432" i="66" s="1"/>
  <c r="C433" i="66" s="1"/>
  <c r="C434" i="66" s="1"/>
  <c r="C435" i="66" s="1"/>
  <c r="C436" i="66" s="1"/>
  <c r="C437" i="66" s="1"/>
  <c r="C438" i="66" s="1"/>
  <c r="C430" i="66"/>
  <c r="B423" i="66"/>
  <c r="B424" i="66" s="1"/>
  <c r="B425" i="66" s="1"/>
  <c r="B426" i="66" s="1"/>
  <c r="B427" i="66" s="1"/>
  <c r="B428" i="66" s="1"/>
  <c r="B429" i="66" s="1"/>
  <c r="D362" i="66"/>
  <c r="D363" i="66" s="1"/>
  <c r="D364" i="66" s="1"/>
  <c r="D365" i="66" s="1"/>
  <c r="D366" i="66" s="1"/>
  <c r="D367" i="66" s="1"/>
  <c r="D368" i="66" s="1"/>
  <c r="D369" i="66" s="1"/>
  <c r="D370" i="66" s="1"/>
  <c r="D361" i="66"/>
  <c r="C362" i="66"/>
  <c r="C363" i="66" s="1"/>
  <c r="C364" i="66" s="1"/>
  <c r="C365" i="66" s="1"/>
  <c r="C366" i="66" s="1"/>
  <c r="C367" i="66" s="1"/>
  <c r="C368" i="66" s="1"/>
  <c r="C369" i="66" s="1"/>
  <c r="C371" i="66" s="1"/>
  <c r="C372" i="66" s="1"/>
  <c r="C373" i="66" s="1"/>
  <c r="C374" i="66" s="1"/>
  <c r="C375" i="66" s="1"/>
  <c r="C361" i="66"/>
  <c r="B362" i="66"/>
  <c r="B363" i="66" s="1"/>
  <c r="B364" i="66" s="1"/>
  <c r="B365" i="66" s="1"/>
  <c r="B366" i="66" s="1"/>
  <c r="B367" i="66" s="1"/>
  <c r="B368" i="66" s="1"/>
  <c r="B369" i="66" s="1"/>
  <c r="B371" i="66" s="1"/>
  <c r="B372" i="66" s="1"/>
  <c r="B373" i="66" s="1"/>
  <c r="B374" i="66" s="1"/>
  <c r="B375" i="66" s="1"/>
  <c r="B361" i="66"/>
  <c r="D212" i="66"/>
  <c r="D213" i="66" s="1"/>
  <c r="D214" i="66" s="1"/>
  <c r="D215" i="66" s="1"/>
  <c r="D216" i="66" s="1"/>
  <c r="D217" i="66" s="1"/>
  <c r="D218" i="66" s="1"/>
  <c r="D219" i="66" s="1"/>
  <c r="D211" i="66"/>
  <c r="C212" i="66"/>
  <c r="C213" i="66" s="1"/>
  <c r="C214" i="66" s="1"/>
  <c r="C215" i="66" s="1"/>
  <c r="C216" i="66" s="1"/>
  <c r="C217" i="66" s="1"/>
  <c r="C218" i="66" s="1"/>
  <c r="C219" i="66" s="1"/>
  <c r="C211" i="66"/>
  <c r="B212" i="66"/>
  <c r="B213" i="66" s="1"/>
  <c r="B214" i="66" s="1"/>
  <c r="B215" i="66" s="1"/>
  <c r="B216" i="66" s="1"/>
  <c r="B217" i="66" s="1"/>
  <c r="B218" i="66" s="1"/>
  <c r="B219" i="66" s="1"/>
  <c r="B211" i="66"/>
  <c r="B126" i="52"/>
  <c r="D371" i="66" l="1"/>
  <c r="D372" i="66" s="1"/>
  <c r="D373" i="66" s="1"/>
  <c r="D374" i="66" s="1"/>
  <c r="D375" i="66" s="1"/>
  <c r="C589" i="66"/>
  <c r="C590" i="66" s="1"/>
  <c r="C591" i="66" s="1"/>
  <c r="C592" i="66" s="1"/>
  <c r="C593" i="66" s="1"/>
  <c r="C594" i="66" s="1"/>
  <c r="C588" i="66"/>
  <c r="D589" i="66"/>
  <c r="D590" i="66" s="1"/>
  <c r="D591" i="66" s="1"/>
  <c r="D592" i="66" s="1"/>
  <c r="D593" i="66" s="1"/>
  <c r="D594" i="66" s="1"/>
  <c r="D588" i="66"/>
  <c r="B589" i="66"/>
  <c r="B590" i="66" s="1"/>
  <c r="B591" i="66" s="1"/>
  <c r="B592" i="66" s="1"/>
  <c r="B593" i="66" s="1"/>
  <c r="B594" i="66" s="1"/>
  <c r="B588" i="66"/>
  <c r="C440" i="66"/>
  <c r="C441" i="66" s="1"/>
  <c r="C442" i="66" s="1"/>
  <c r="C443" i="66" s="1"/>
  <c r="C444" i="66" s="1"/>
  <c r="C439" i="66"/>
  <c r="B431" i="66"/>
  <c r="B432" i="66" s="1"/>
  <c r="B433" i="66" s="1"/>
  <c r="B434" i="66" s="1"/>
  <c r="B435" i="66" s="1"/>
  <c r="B436" i="66" s="1"/>
  <c r="B437" i="66" s="1"/>
  <c r="B438" i="66" s="1"/>
  <c r="B430" i="66"/>
  <c r="D440" i="66"/>
  <c r="D441" i="66" s="1"/>
  <c r="D442" i="66" s="1"/>
  <c r="D443" i="66" s="1"/>
  <c r="D444" i="66" s="1"/>
  <c r="D439" i="66"/>
  <c r="B370" i="66"/>
  <c r="C370" i="66"/>
  <c r="B221" i="66"/>
  <c r="B222" i="66" s="1"/>
  <c r="B223" i="66" s="1"/>
  <c r="B224" i="66" s="1"/>
  <c r="B225" i="66" s="1"/>
  <c r="B226" i="66" s="1"/>
  <c r="B227" i="66" s="1"/>
  <c r="B228" i="66" s="1"/>
  <c r="B220" i="66"/>
  <c r="C221" i="66"/>
  <c r="C222" i="66" s="1"/>
  <c r="C223" i="66" s="1"/>
  <c r="C224" i="66" s="1"/>
  <c r="C225" i="66" s="1"/>
  <c r="C226" i="66" s="1"/>
  <c r="C227" i="66" s="1"/>
  <c r="C228" i="66" s="1"/>
  <c r="C220" i="66"/>
  <c r="D221" i="66"/>
  <c r="D222" i="66" s="1"/>
  <c r="D223" i="66" s="1"/>
  <c r="D224" i="66" s="1"/>
  <c r="D225" i="66" s="1"/>
  <c r="D226" i="66" s="1"/>
  <c r="D227" i="66" s="1"/>
  <c r="D228" i="66" s="1"/>
  <c r="D220" i="66"/>
  <c r="P74" i="66" a="1"/>
  <c r="P74" i="66" s="1"/>
  <c r="I74" i="66" a="1"/>
  <c r="I74" i="66" s="1"/>
  <c r="I40" i="108"/>
  <c r="I34" i="108"/>
  <c r="AG31" i="108"/>
  <c r="AD31" i="108"/>
  <c r="O31" i="108"/>
  <c r="L31" i="108"/>
  <c r="B18" i="108"/>
  <c r="B17" i="108"/>
  <c r="B9" i="108"/>
  <c r="B6" i="108"/>
  <c r="D3" i="108"/>
  <c r="C3" i="108"/>
  <c r="R406" i="68"/>
  <c r="K406" i="68"/>
  <c r="R405" i="68"/>
  <c r="K405" i="68"/>
  <c r="R404" i="68"/>
  <c r="K404" i="68"/>
  <c r="R403" i="68"/>
  <c r="K403" i="68"/>
  <c r="R402" i="68"/>
  <c r="K402" i="68"/>
  <c r="R401" i="68"/>
  <c r="K401" i="68"/>
  <c r="R400" i="68"/>
  <c r="K400" i="68"/>
  <c r="R380" i="68"/>
  <c r="K380" i="68"/>
  <c r="O377" i="68"/>
  <c r="H377" i="68"/>
  <c r="D373" i="68"/>
  <c r="D374" i="68" s="1"/>
  <c r="D375" i="68" s="1"/>
  <c r="D376" i="68" s="1"/>
  <c r="D377" i="68" s="1"/>
  <c r="D378" i="68" s="1"/>
  <c r="D379" i="68" s="1"/>
  <c r="C373" i="68"/>
  <c r="C374" i="68" s="1"/>
  <c r="C375" i="68" s="1"/>
  <c r="C376" i="68" s="1"/>
  <c r="C377" i="68" s="1"/>
  <c r="C378" i="68" s="1"/>
  <c r="C379" i="68" s="1"/>
  <c r="B373" i="68"/>
  <c r="B374" i="68" s="1"/>
  <c r="O347" i="68"/>
  <c r="O317" i="68"/>
  <c r="H317" i="68"/>
  <c r="H347" i="68" s="1"/>
  <c r="H357" i="68" s="1"/>
  <c r="D313" i="68"/>
  <c r="D314" i="68" s="1"/>
  <c r="D315" i="68" s="1"/>
  <c r="D316" i="68" s="1"/>
  <c r="D317" i="68" s="1"/>
  <c r="D318" i="68" s="1"/>
  <c r="D319" i="68" s="1"/>
  <c r="C313" i="68"/>
  <c r="C314" i="68" s="1"/>
  <c r="C315" i="68" s="1"/>
  <c r="C316" i="68" s="1"/>
  <c r="C317" i="68" s="1"/>
  <c r="C318" i="68" s="1"/>
  <c r="C319" i="68" s="1"/>
  <c r="B313" i="68"/>
  <c r="O291" i="68"/>
  <c r="H291" i="68"/>
  <c r="D288" i="68"/>
  <c r="D289" i="68" s="1"/>
  <c r="D290" i="68" s="1"/>
  <c r="D291" i="68" s="1"/>
  <c r="D292" i="68" s="1"/>
  <c r="D293" i="68" s="1"/>
  <c r="C288" i="68"/>
  <c r="C289" i="68" s="1"/>
  <c r="C290" i="68" s="1"/>
  <c r="C291" i="68" s="1"/>
  <c r="C292" i="68" s="1"/>
  <c r="C293" i="68" s="1"/>
  <c r="B288" i="68"/>
  <c r="B289" i="68" s="1"/>
  <c r="B290" i="68" s="1"/>
  <c r="O282" i="68"/>
  <c r="O278" i="68"/>
  <c r="O252" i="68"/>
  <c r="D249" i="68"/>
  <c r="D250" i="68" s="1"/>
  <c r="D251" i="68" s="1"/>
  <c r="D252" i="68" s="1"/>
  <c r="C249" i="68"/>
  <c r="C250" i="68" s="1"/>
  <c r="C251" i="68" s="1"/>
  <c r="C252" i="68" s="1"/>
  <c r="B249" i="68"/>
  <c r="B250" i="68" s="1"/>
  <c r="O227" i="68"/>
  <c r="H227" i="68"/>
  <c r="D222" i="68"/>
  <c r="D223" i="68" s="1"/>
  <c r="D224" i="68" s="1"/>
  <c r="D225" i="68" s="1"/>
  <c r="D226" i="68" s="1"/>
  <c r="D227" i="68" s="1"/>
  <c r="D228" i="68" s="1"/>
  <c r="D229" i="68" s="1"/>
  <c r="C222" i="68"/>
  <c r="C223" i="68" s="1"/>
  <c r="C224" i="68" s="1"/>
  <c r="C225" i="68" s="1"/>
  <c r="C226" i="68" s="1"/>
  <c r="C227" i="68" s="1"/>
  <c r="C228" i="68" s="1"/>
  <c r="C229" i="68" s="1"/>
  <c r="B222" i="68"/>
  <c r="B223" i="68" s="1"/>
  <c r="B224" i="68" s="1"/>
  <c r="O216" i="68"/>
  <c r="H216" i="68"/>
  <c r="O210" i="68"/>
  <c r="H210" i="68"/>
  <c r="D204" i="68"/>
  <c r="D205" i="68" s="1"/>
  <c r="D206" i="68" s="1"/>
  <c r="D207" i="68" s="1"/>
  <c r="D208" i="68" s="1"/>
  <c r="D209" i="68" s="1"/>
  <c r="D210" i="68" s="1"/>
  <c r="D211" i="68" s="1"/>
  <c r="D212" i="68" s="1"/>
  <c r="D213" i="68" s="1"/>
  <c r="D214" i="68" s="1"/>
  <c r="D215" i="68" s="1"/>
  <c r="D216" i="68" s="1"/>
  <c r="D217" i="68" s="1"/>
  <c r="D218" i="68" s="1"/>
  <c r="D219" i="68" s="1"/>
  <c r="B204" i="68"/>
  <c r="O182" i="68"/>
  <c r="H182" i="68"/>
  <c r="D177" i="68"/>
  <c r="D178" i="68" s="1"/>
  <c r="D179" i="68" s="1"/>
  <c r="D180" i="68" s="1"/>
  <c r="C177" i="68"/>
  <c r="C178" i="68" s="1"/>
  <c r="C179" i="68" s="1"/>
  <c r="C180" i="68" s="1"/>
  <c r="B177" i="68"/>
  <c r="O143" i="68"/>
  <c r="H143" i="68"/>
  <c r="D138" i="68"/>
  <c r="D139" i="68" s="1"/>
  <c r="D140" i="68" s="1"/>
  <c r="D141" i="68" s="1"/>
  <c r="D142" i="68" s="1"/>
  <c r="D143" i="68" s="1"/>
  <c r="D144" i="68" s="1"/>
  <c r="D145" i="68" s="1"/>
  <c r="C138" i="68"/>
  <c r="C139" i="68" s="1"/>
  <c r="C140" i="68" s="1"/>
  <c r="C141" i="68" s="1"/>
  <c r="C142" i="68" s="1"/>
  <c r="C143" i="68" s="1"/>
  <c r="C144" i="68" s="1"/>
  <c r="C145" i="68" s="1"/>
  <c r="B138" i="68"/>
  <c r="O132" i="68"/>
  <c r="H132" i="68"/>
  <c r="O126" i="68"/>
  <c r="H126" i="68"/>
  <c r="D120" i="68"/>
  <c r="D121" i="68" s="1"/>
  <c r="D122" i="68" s="1"/>
  <c r="D123" i="68" s="1"/>
  <c r="D124" i="68" s="1"/>
  <c r="D125" i="68" s="1"/>
  <c r="D126" i="68" s="1"/>
  <c r="D127" i="68" s="1"/>
  <c r="D128" i="68" s="1"/>
  <c r="D129" i="68" s="1"/>
  <c r="D130" i="68" s="1"/>
  <c r="D131" i="68" s="1"/>
  <c r="D132" i="68" s="1"/>
  <c r="D133" i="68" s="1"/>
  <c r="D134" i="68" s="1"/>
  <c r="D135" i="68" s="1"/>
  <c r="B120" i="68"/>
  <c r="B121" i="68" s="1"/>
  <c r="O86" i="68"/>
  <c r="H86" i="68"/>
  <c r="D81" i="68"/>
  <c r="D82" i="68" s="1"/>
  <c r="D83" i="68" s="1"/>
  <c r="D84" i="68" s="1"/>
  <c r="D85" i="68" s="1"/>
  <c r="D86" i="68" s="1"/>
  <c r="D87" i="68" s="1"/>
  <c r="D88" i="68" s="1"/>
  <c r="C81" i="68"/>
  <c r="B81" i="68"/>
  <c r="B82" i="68" s="1"/>
  <c r="B83" i="68" s="1"/>
  <c r="O59" i="68"/>
  <c r="H59" i="68"/>
  <c r="D54" i="68"/>
  <c r="C54" i="68"/>
  <c r="C55" i="68" s="1"/>
  <c r="C56" i="68" s="1"/>
  <c r="C57" i="68" s="1"/>
  <c r="B54" i="68"/>
  <c r="O48" i="68"/>
  <c r="H48" i="68"/>
  <c r="O42" i="68"/>
  <c r="H42" i="68"/>
  <c r="H49" i="68" s="1"/>
  <c r="D36" i="68"/>
  <c r="D37" i="68" s="1"/>
  <c r="D38" i="68" s="1"/>
  <c r="D39" i="68" s="1"/>
  <c r="D40" i="68" s="1"/>
  <c r="D41" i="68" s="1"/>
  <c r="D42" i="68" s="1"/>
  <c r="D43" i="68" s="1"/>
  <c r="D44" i="68" s="1"/>
  <c r="D45" i="68" s="1"/>
  <c r="D46" i="68" s="1"/>
  <c r="D47" i="68" s="1"/>
  <c r="D48" i="68" s="1"/>
  <c r="D49" i="68" s="1"/>
  <c r="D50" i="68" s="1"/>
  <c r="D51" i="68" s="1"/>
  <c r="B36" i="68"/>
  <c r="B37" i="68" s="1"/>
  <c r="O14" i="68"/>
  <c r="H14" i="68"/>
  <c r="D9" i="68"/>
  <c r="C9" i="68"/>
  <c r="C10" i="68" s="1"/>
  <c r="C11" i="68" s="1"/>
  <c r="C12" i="68" s="1"/>
  <c r="B9" i="68"/>
  <c r="M4" i="68"/>
  <c r="O3" i="68"/>
  <c r="P4" i="68" s="1"/>
  <c r="M3" i="68"/>
  <c r="H3" i="68"/>
  <c r="D548" i="66"/>
  <c r="D549" i="66" s="1"/>
  <c r="D550" i="66" s="1"/>
  <c r="D551" i="66" s="1"/>
  <c r="D552" i="66" s="1"/>
  <c r="D553" i="66" s="1"/>
  <c r="C548" i="66"/>
  <c r="C549" i="66" s="1"/>
  <c r="C550" i="66" s="1"/>
  <c r="C551" i="66" s="1"/>
  <c r="C552" i="66" s="1"/>
  <c r="C553" i="66" s="1"/>
  <c r="B548" i="66"/>
  <c r="B549" i="66" s="1"/>
  <c r="B550" i="66" s="1"/>
  <c r="B551" i="66" s="1"/>
  <c r="B552" i="66" s="1"/>
  <c r="B553" i="66" s="1"/>
  <c r="D496" i="66"/>
  <c r="D497" i="66" s="1"/>
  <c r="D498" i="66" s="1"/>
  <c r="D499" i="66" s="1"/>
  <c r="D500" i="66" s="1"/>
  <c r="D501" i="66" s="1"/>
  <c r="D502" i="66" s="1"/>
  <c r="B496" i="66"/>
  <c r="B497" i="66" s="1"/>
  <c r="B498" i="66" s="1"/>
  <c r="B499" i="66" s="1"/>
  <c r="B500" i="66" s="1"/>
  <c r="B501" i="66" s="1"/>
  <c r="B502" i="66" s="1"/>
  <c r="D461" i="66"/>
  <c r="D462" i="66" s="1"/>
  <c r="D463" i="66" s="1"/>
  <c r="D464" i="66" s="1"/>
  <c r="D465" i="66" s="1"/>
  <c r="D466" i="66" s="1"/>
  <c r="C461" i="66"/>
  <c r="C462" i="66" s="1"/>
  <c r="C463" i="66" s="1"/>
  <c r="C464" i="66" s="1"/>
  <c r="C465" i="66" s="1"/>
  <c r="C466" i="66" s="1"/>
  <c r="B461" i="66"/>
  <c r="D447" i="66"/>
  <c r="D448" i="66" s="1"/>
  <c r="D449" i="66" s="1"/>
  <c r="D450" i="66" s="1"/>
  <c r="D451" i="66" s="1"/>
  <c r="D452" i="66" s="1"/>
  <c r="C447" i="66"/>
  <c r="C448" i="66" s="1"/>
  <c r="C449" i="66" s="1"/>
  <c r="C450" i="66" s="1"/>
  <c r="C451" i="66" s="1"/>
  <c r="C452" i="66" s="1"/>
  <c r="B447" i="66"/>
  <c r="B448" i="66" s="1"/>
  <c r="B449" i="66" s="1"/>
  <c r="B450" i="66" s="1"/>
  <c r="B451" i="66" s="1"/>
  <c r="B452" i="66" s="1"/>
  <c r="D402" i="66"/>
  <c r="D403" i="66" s="1"/>
  <c r="D404" i="66" s="1"/>
  <c r="D405" i="66" s="1"/>
  <c r="D406" i="66" s="1"/>
  <c r="D407" i="66" s="1"/>
  <c r="C402" i="66"/>
  <c r="C403" i="66" s="1"/>
  <c r="C404" i="66" s="1"/>
  <c r="C405" i="66" s="1"/>
  <c r="C406" i="66" s="1"/>
  <c r="C407" i="66" s="1"/>
  <c r="B402" i="66"/>
  <c r="B403" i="66" s="1"/>
  <c r="B404" i="66" s="1"/>
  <c r="B405" i="66" s="1"/>
  <c r="B406" i="66" s="1"/>
  <c r="B407" i="66" s="1"/>
  <c r="D379" i="66"/>
  <c r="D380" i="66" s="1"/>
  <c r="D381" i="66" s="1"/>
  <c r="D382" i="66" s="1"/>
  <c r="D383" i="66" s="1"/>
  <c r="D384" i="66" s="1"/>
  <c r="B379" i="66"/>
  <c r="B380" i="66" s="1"/>
  <c r="B381" i="66" s="1"/>
  <c r="B382" i="66" s="1"/>
  <c r="B383" i="66" s="1"/>
  <c r="B384" i="66" s="1"/>
  <c r="D333" i="66"/>
  <c r="D334" i="66" s="1"/>
  <c r="D335" i="66" s="1"/>
  <c r="D336" i="66" s="1"/>
  <c r="D337" i="66" s="1"/>
  <c r="D338" i="66" s="1"/>
  <c r="C333" i="66"/>
  <c r="C334" i="66" s="1"/>
  <c r="C335" i="66" s="1"/>
  <c r="C336" i="66" s="1"/>
  <c r="C337" i="66" s="1"/>
  <c r="C338" i="66" s="1"/>
  <c r="B333" i="66"/>
  <c r="B334" i="66" s="1"/>
  <c r="B335" i="66" s="1"/>
  <c r="B336" i="66" s="1"/>
  <c r="B337" i="66" s="1"/>
  <c r="B338" i="66" s="1"/>
  <c r="D310" i="66"/>
  <c r="C310" i="66"/>
  <c r="B310" i="66"/>
  <c r="D250" i="66"/>
  <c r="D251" i="66" s="1"/>
  <c r="D252" i="66" s="1"/>
  <c r="D253" i="66" s="1"/>
  <c r="D254" i="66" s="1"/>
  <c r="D255" i="66" s="1"/>
  <c r="C250" i="66"/>
  <c r="C251" i="66" s="1"/>
  <c r="C252" i="66" s="1"/>
  <c r="C253" i="66" s="1"/>
  <c r="C254" i="66" s="1"/>
  <c r="C255" i="66" s="1"/>
  <c r="B250" i="66"/>
  <c r="B251" i="66" s="1"/>
  <c r="B252" i="66" s="1"/>
  <c r="B253" i="66" s="1"/>
  <c r="B254" i="66" s="1"/>
  <c r="B255" i="66" s="1"/>
  <c r="D237" i="66"/>
  <c r="D238" i="66" s="1"/>
  <c r="D239" i="66" s="1"/>
  <c r="D240" i="66" s="1"/>
  <c r="D241" i="66" s="1"/>
  <c r="D242" i="66" s="1"/>
  <c r="C237" i="66"/>
  <c r="C238" i="66" s="1"/>
  <c r="C239" i="66" s="1"/>
  <c r="C240" i="66" s="1"/>
  <c r="C241" i="66" s="1"/>
  <c r="C242" i="66" s="1"/>
  <c r="B237" i="66"/>
  <c r="B238" i="66" s="1"/>
  <c r="B239" i="66" s="1"/>
  <c r="B240" i="66" s="1"/>
  <c r="B241" i="66" s="1"/>
  <c r="B242" i="66" s="1"/>
  <c r="D183" i="66"/>
  <c r="D184" i="66" s="1"/>
  <c r="D185" i="66" s="1"/>
  <c r="D186" i="66" s="1"/>
  <c r="D187" i="66" s="1"/>
  <c r="D188" i="66" s="1"/>
  <c r="C183" i="66"/>
  <c r="C184" i="66" s="1"/>
  <c r="C185" i="66" s="1"/>
  <c r="C186" i="66" s="1"/>
  <c r="C187" i="66" s="1"/>
  <c r="C188" i="66" s="1"/>
  <c r="B183" i="66"/>
  <c r="B184" i="66" s="1"/>
  <c r="B185" i="66" s="1"/>
  <c r="B186" i="66" s="1"/>
  <c r="B187" i="66" s="1"/>
  <c r="B188" i="66" s="1"/>
  <c r="D118" i="66"/>
  <c r="D119" i="66" s="1"/>
  <c r="D120" i="66" s="1"/>
  <c r="D121" i="66" s="1"/>
  <c r="D122" i="66" s="1"/>
  <c r="D123" i="66" s="1"/>
  <c r="C118" i="66"/>
  <c r="C119" i="66" s="1"/>
  <c r="C120" i="66" s="1"/>
  <c r="C121" i="66" s="1"/>
  <c r="C122" i="66" s="1"/>
  <c r="C123" i="66" s="1"/>
  <c r="B118" i="66"/>
  <c r="D105" i="66"/>
  <c r="D106" i="66" s="1"/>
  <c r="D107" i="66" s="1"/>
  <c r="D108" i="66" s="1"/>
  <c r="D109" i="66" s="1"/>
  <c r="D110" i="66" s="1"/>
  <c r="C105" i="66"/>
  <c r="C106" i="66" s="1"/>
  <c r="C107" i="66" s="1"/>
  <c r="C108" i="66" s="1"/>
  <c r="C109" i="66" s="1"/>
  <c r="C110" i="66" s="1"/>
  <c r="B105" i="66"/>
  <c r="D82" i="66"/>
  <c r="D83" i="66" s="1"/>
  <c r="D84" i="66" s="1"/>
  <c r="D85" i="66" s="1"/>
  <c r="D86" i="66" s="1"/>
  <c r="D87" i="66" s="1"/>
  <c r="C82" i="66"/>
  <c r="C83" i="66" s="1"/>
  <c r="C84" i="66" s="1"/>
  <c r="C85" i="66" s="1"/>
  <c r="C86" i="66" s="1"/>
  <c r="C87" i="66" s="1"/>
  <c r="B82" i="66"/>
  <c r="B83" i="66" s="1"/>
  <c r="B84" i="66" s="1"/>
  <c r="B46" i="66"/>
  <c r="D9" i="66"/>
  <c r="C9" i="66"/>
  <c r="C10" i="66" s="1"/>
  <c r="C11" i="66" s="1"/>
  <c r="C12" i="66" s="1"/>
  <c r="C13" i="66" s="1"/>
  <c r="C14" i="66" s="1"/>
  <c r="C15" i="66" s="1"/>
  <c r="B9" i="66"/>
  <c r="M4" i="66"/>
  <c r="O3" i="66"/>
  <c r="P4" i="66" s="1"/>
  <c r="M3" i="66"/>
  <c r="H3" i="66"/>
  <c r="H40" i="66" s="1"/>
  <c r="C273" i="52"/>
  <c r="B273" i="52"/>
  <c r="C272" i="52"/>
  <c r="B272" i="52"/>
  <c r="C271" i="52"/>
  <c r="B271" i="52"/>
  <c r="H442" i="66" l="1"/>
  <c r="H592" i="66"/>
  <c r="J571" i="66"/>
  <c r="I571" i="66"/>
  <c r="J423" i="66"/>
  <c r="H84" i="66" a="1"/>
  <c r="H84" i="66" s="1"/>
  <c r="I423" i="66"/>
  <c r="J327" i="66"/>
  <c r="J213" i="66"/>
  <c r="J153" i="66"/>
  <c r="J99" i="66"/>
  <c r="H373" i="66"/>
  <c r="I372" i="66"/>
  <c r="I591" i="66"/>
  <c r="J372" i="66"/>
  <c r="I318" i="66"/>
  <c r="I267" i="66"/>
  <c r="I204" i="66"/>
  <c r="J126" i="66"/>
  <c r="J90" i="66"/>
  <c r="J441" i="66"/>
  <c r="J363" i="66"/>
  <c r="I327" i="66"/>
  <c r="J258" i="66"/>
  <c r="I213" i="66"/>
  <c r="I126" i="66"/>
  <c r="I90" i="66"/>
  <c r="J222" i="66"/>
  <c r="H154" i="66"/>
  <c r="I135" i="66"/>
  <c r="J318" i="66"/>
  <c r="J267" i="66"/>
  <c r="J204" i="66"/>
  <c r="I153" i="66"/>
  <c r="I99" i="66"/>
  <c r="I441" i="66"/>
  <c r="I363" i="66"/>
  <c r="I258" i="66"/>
  <c r="I222" i="66"/>
  <c r="J135" i="66"/>
  <c r="I231" i="66"/>
  <c r="J232" i="66"/>
  <c r="J144" i="66"/>
  <c r="J432" i="66"/>
  <c r="J354" i="66"/>
  <c r="H328" i="66"/>
  <c r="H268" i="66"/>
  <c r="J231" i="66"/>
  <c r="H232" i="66"/>
  <c r="I144" i="66"/>
  <c r="I432" i="66"/>
  <c r="I354" i="66"/>
  <c r="J39" i="66"/>
  <c r="I480" i="66"/>
  <c r="H491" i="66"/>
  <c r="I39" i="66"/>
  <c r="J490" i="66"/>
  <c r="J30" i="66"/>
  <c r="J542" i="66"/>
  <c r="I490" i="66"/>
  <c r="I30" i="66"/>
  <c r="I542" i="66"/>
  <c r="J480" i="66"/>
  <c r="I532" i="66"/>
  <c r="I470" i="66"/>
  <c r="J581" i="66"/>
  <c r="J522" i="66"/>
  <c r="I581" i="66"/>
  <c r="I522" i="66"/>
  <c r="J491" i="66"/>
  <c r="J591" i="66"/>
  <c r="J532" i="66"/>
  <c r="J470" i="66"/>
  <c r="J396" i="68"/>
  <c r="J331" i="68"/>
  <c r="I396" i="68"/>
  <c r="AN54" i="116" s="1" a="1"/>
  <c r="AN54" i="116" s="1"/>
  <c r="I331" i="68"/>
  <c r="J391" i="68"/>
  <c r="J326" i="68"/>
  <c r="I391" i="68"/>
  <c r="I326" i="68"/>
  <c r="I386" i="68"/>
  <c r="AM54" i="116" s="1" a="1"/>
  <c r="AM54" i="116" s="1"/>
  <c r="I336" i="68"/>
  <c r="J336" i="68"/>
  <c r="J386" i="68"/>
  <c r="H362" i="68"/>
  <c r="H367" i="68" s="1"/>
  <c r="J40" i="66"/>
  <c r="J4" i="68"/>
  <c r="I303" i="68"/>
  <c r="J268" i="68"/>
  <c r="I243" i="68"/>
  <c r="I192" i="68"/>
  <c r="J165" i="68"/>
  <c r="J114" i="68"/>
  <c r="J75" i="68"/>
  <c r="J303" i="68"/>
  <c r="I264" i="68"/>
  <c r="J243" i="68"/>
  <c r="J192" i="68"/>
  <c r="H165" i="68"/>
  <c r="I114" i="68"/>
  <c r="I75" i="68"/>
  <c r="AM54" i="108" s="1" a="1"/>
  <c r="AM54" i="108" s="1"/>
  <c r="I299" i="68"/>
  <c r="AM54" i="115" s="1" a="1"/>
  <c r="AM54" i="115" s="1"/>
  <c r="J264" i="68"/>
  <c r="I237" i="68"/>
  <c r="AM54" i="114" s="1" a="1"/>
  <c r="AM54" i="114" s="1"/>
  <c r="H198" i="68"/>
  <c r="I159" i="68"/>
  <c r="J108" i="68"/>
  <c r="J69" i="68"/>
  <c r="J299" i="68"/>
  <c r="I260" i="68"/>
  <c r="J237" i="68"/>
  <c r="H192" i="68"/>
  <c r="J159" i="68"/>
  <c r="I108" i="68"/>
  <c r="I69" i="68"/>
  <c r="AN54" i="108" s="1" a="1"/>
  <c r="AN54" i="108" s="1"/>
  <c r="J307" i="68"/>
  <c r="I268" i="68"/>
  <c r="H260" i="68"/>
  <c r="J198" i="68"/>
  <c r="I165" i="68"/>
  <c r="H153" i="68"/>
  <c r="I96" i="68"/>
  <c r="I24" i="68"/>
  <c r="W54" i="108" s="1" a="1"/>
  <c r="W54" i="108" s="1"/>
  <c r="H303" i="68"/>
  <c r="H268" i="68"/>
  <c r="H237" i="68"/>
  <c r="J171" i="68"/>
  <c r="J153" i="68"/>
  <c r="I102" i="68"/>
  <c r="I30" i="68"/>
  <c r="H307" i="68"/>
  <c r="J260" i="68"/>
  <c r="H243" i="68"/>
  <c r="I171" i="68"/>
  <c r="I153" i="68"/>
  <c r="J102" i="68"/>
  <c r="J30" i="68"/>
  <c r="I307" i="68"/>
  <c r="AN54" i="115" s="1" a="1"/>
  <c r="AN54" i="115" s="1"/>
  <c r="H299" i="68"/>
  <c r="H264" i="68"/>
  <c r="I198" i="68"/>
  <c r="H171" i="68"/>
  <c r="H159" i="68"/>
  <c r="J96" i="68"/>
  <c r="J24" i="68"/>
  <c r="D253" i="68"/>
  <c r="D254" i="68" s="1"/>
  <c r="C253" i="68"/>
  <c r="C254" i="68" s="1"/>
  <c r="C181" i="68"/>
  <c r="C182" i="68" s="1"/>
  <c r="C183" i="68" s="1"/>
  <c r="C184" i="68" s="1"/>
  <c r="D181" i="68"/>
  <c r="D182" i="68" s="1"/>
  <c r="D183" i="68" s="1"/>
  <c r="D184" i="68" s="1"/>
  <c r="C58" i="68"/>
  <c r="C59" i="68" s="1"/>
  <c r="C60" i="68" s="1"/>
  <c r="C61" i="68" s="1"/>
  <c r="C13" i="68"/>
  <c r="C14" i="68" s="1"/>
  <c r="C15" i="68" s="1"/>
  <c r="C16" i="68" s="1"/>
  <c r="B555" i="66"/>
  <c r="B556" i="66" s="1"/>
  <c r="B557" i="66" s="1"/>
  <c r="B558" i="66" s="1"/>
  <c r="B559" i="66" s="1"/>
  <c r="B554" i="66"/>
  <c r="C555" i="66"/>
  <c r="C556" i="66" s="1"/>
  <c r="C557" i="66" s="1"/>
  <c r="C558" i="66" s="1"/>
  <c r="C559" i="66" s="1"/>
  <c r="C554" i="66"/>
  <c r="D555" i="66"/>
  <c r="D556" i="66" s="1"/>
  <c r="D557" i="66" s="1"/>
  <c r="D558" i="66" s="1"/>
  <c r="D559" i="66" s="1"/>
  <c r="D554" i="66"/>
  <c r="D504" i="66"/>
  <c r="D505" i="66" s="1"/>
  <c r="D506" i="66" s="1"/>
  <c r="D507" i="66" s="1"/>
  <c r="D508" i="66" s="1"/>
  <c r="D509" i="66" s="1"/>
  <c r="D503" i="66"/>
  <c r="B504" i="66"/>
  <c r="B505" i="66" s="1"/>
  <c r="B506" i="66" s="1"/>
  <c r="B507" i="66" s="1"/>
  <c r="B508" i="66" s="1"/>
  <c r="B509" i="66" s="1"/>
  <c r="B503" i="66"/>
  <c r="D467" i="66"/>
  <c r="D468" i="66"/>
  <c r="D469" i="66" s="1"/>
  <c r="D470" i="66" s="1"/>
  <c r="D471" i="66" s="1"/>
  <c r="D472" i="66" s="1"/>
  <c r="D473" i="66" s="1"/>
  <c r="D474" i="66" s="1"/>
  <c r="D475" i="66" s="1"/>
  <c r="D476" i="66" s="1"/>
  <c r="C467" i="66"/>
  <c r="C468" i="66"/>
  <c r="C469" i="66" s="1"/>
  <c r="C470" i="66" s="1"/>
  <c r="C471" i="66" s="1"/>
  <c r="C472" i="66" s="1"/>
  <c r="C473" i="66" s="1"/>
  <c r="C474" i="66" s="1"/>
  <c r="C475" i="66" s="1"/>
  <c r="C476" i="66" s="1"/>
  <c r="B454" i="66"/>
  <c r="B455" i="66" s="1"/>
  <c r="B456" i="66" s="1"/>
  <c r="B457" i="66" s="1"/>
  <c r="B458" i="66" s="1"/>
  <c r="B453" i="66"/>
  <c r="C454" i="66"/>
  <c r="C455" i="66" s="1"/>
  <c r="C456" i="66" s="1"/>
  <c r="C457" i="66" s="1"/>
  <c r="C458" i="66" s="1"/>
  <c r="C453" i="66"/>
  <c r="D454" i="66"/>
  <c r="D455" i="66" s="1"/>
  <c r="D456" i="66" s="1"/>
  <c r="D457" i="66" s="1"/>
  <c r="D458" i="66" s="1"/>
  <c r="D453" i="66"/>
  <c r="B440" i="66"/>
  <c r="B441" i="66" s="1"/>
  <c r="B442" i="66" s="1"/>
  <c r="B443" i="66" s="1"/>
  <c r="B444" i="66" s="1"/>
  <c r="B439" i="66"/>
  <c r="C409" i="66"/>
  <c r="C410" i="66" s="1"/>
  <c r="C411" i="66" s="1"/>
  <c r="C412" i="66" s="1"/>
  <c r="C408" i="66"/>
  <c r="B409" i="66"/>
  <c r="B410" i="66" s="1"/>
  <c r="B411" i="66" s="1"/>
  <c r="B412" i="66" s="1"/>
  <c r="B408" i="66"/>
  <c r="D409" i="66"/>
  <c r="D410" i="66" s="1"/>
  <c r="D411" i="66" s="1"/>
  <c r="D412" i="66" s="1"/>
  <c r="D408" i="66"/>
  <c r="B386" i="66"/>
  <c r="B387" i="66" s="1"/>
  <c r="B388" i="66" s="1"/>
  <c r="B389" i="66" s="1"/>
  <c r="B390" i="66" s="1"/>
  <c r="B391" i="66" s="1"/>
  <c r="B392" i="66" s="1"/>
  <c r="B393" i="66" s="1"/>
  <c r="B385" i="66"/>
  <c r="D386" i="66"/>
  <c r="D387" i="66" s="1"/>
  <c r="D388" i="66" s="1"/>
  <c r="D389" i="66" s="1"/>
  <c r="D390" i="66" s="1"/>
  <c r="D391" i="66" s="1"/>
  <c r="D392" i="66" s="1"/>
  <c r="D393" i="66" s="1"/>
  <c r="D385" i="66"/>
  <c r="B340" i="66"/>
  <c r="B341" i="66" s="1"/>
  <c r="B342" i="66" s="1"/>
  <c r="B343" i="66" s="1"/>
  <c r="B339" i="66"/>
  <c r="D340" i="66"/>
  <c r="D341" i="66" s="1"/>
  <c r="D342" i="66" s="1"/>
  <c r="D343" i="66" s="1"/>
  <c r="D339" i="66"/>
  <c r="C340" i="66"/>
  <c r="C341" i="66" s="1"/>
  <c r="C342" i="66" s="1"/>
  <c r="C343" i="66" s="1"/>
  <c r="C339" i="66"/>
  <c r="D257" i="66"/>
  <c r="D258" i="66" s="1"/>
  <c r="D259" i="66" s="1"/>
  <c r="D260" i="66" s="1"/>
  <c r="D261" i="66" s="1"/>
  <c r="D262" i="66" s="1"/>
  <c r="D263" i="66" s="1"/>
  <c r="D264" i="66" s="1"/>
  <c r="D256" i="66"/>
  <c r="B256" i="66"/>
  <c r="B257" i="66"/>
  <c r="C256" i="66"/>
  <c r="C257" i="66"/>
  <c r="C258" i="66" s="1"/>
  <c r="C259" i="66" s="1"/>
  <c r="C260" i="66" s="1"/>
  <c r="C261" i="66" s="1"/>
  <c r="C262" i="66" s="1"/>
  <c r="C263" i="66" s="1"/>
  <c r="C264" i="66" s="1"/>
  <c r="D244" i="66"/>
  <c r="D245" i="66" s="1"/>
  <c r="D246" i="66" s="1"/>
  <c r="D247" i="66" s="1"/>
  <c r="D243" i="66"/>
  <c r="C244" i="66"/>
  <c r="C245" i="66" s="1"/>
  <c r="C246" i="66" s="1"/>
  <c r="C247" i="66" s="1"/>
  <c r="C243" i="66"/>
  <c r="B244" i="66"/>
  <c r="B245" i="66" s="1"/>
  <c r="B246" i="66" s="1"/>
  <c r="B247" i="66" s="1"/>
  <c r="B243" i="66"/>
  <c r="D230" i="66"/>
  <c r="D231" i="66" s="1"/>
  <c r="D232" i="66" s="1"/>
  <c r="D233" i="66" s="1"/>
  <c r="D234" i="66" s="1"/>
  <c r="D229" i="66"/>
  <c r="C230" i="66"/>
  <c r="C231" i="66" s="1"/>
  <c r="C232" i="66" s="1"/>
  <c r="C233" i="66" s="1"/>
  <c r="C234" i="66" s="1"/>
  <c r="C229" i="66"/>
  <c r="B230" i="66"/>
  <c r="B231" i="66" s="1"/>
  <c r="B232" i="66" s="1"/>
  <c r="B233" i="66" s="1"/>
  <c r="B234" i="66" s="1"/>
  <c r="B229" i="66"/>
  <c r="D190" i="66"/>
  <c r="D191" i="66" s="1"/>
  <c r="D192" i="66" s="1"/>
  <c r="D193" i="66" s="1"/>
  <c r="D189" i="66"/>
  <c r="C190" i="66"/>
  <c r="C191" i="66" s="1"/>
  <c r="C192" i="66" s="1"/>
  <c r="C193" i="66" s="1"/>
  <c r="C189" i="66"/>
  <c r="B190" i="66"/>
  <c r="B191" i="66" s="1"/>
  <c r="B192" i="66" s="1"/>
  <c r="B193" i="66" s="1"/>
  <c r="B189" i="66"/>
  <c r="C125" i="66"/>
  <c r="C126" i="66" s="1"/>
  <c r="C127" i="66" s="1"/>
  <c r="C128" i="66" s="1"/>
  <c r="C129" i="66" s="1"/>
  <c r="C130" i="66" s="1"/>
  <c r="C131" i="66" s="1"/>
  <c r="C132" i="66" s="1"/>
  <c r="C124" i="66"/>
  <c r="D125" i="66"/>
  <c r="D126" i="66" s="1"/>
  <c r="D127" i="66" s="1"/>
  <c r="D128" i="66" s="1"/>
  <c r="D129" i="66" s="1"/>
  <c r="D130" i="66" s="1"/>
  <c r="D131" i="66" s="1"/>
  <c r="D132" i="66" s="1"/>
  <c r="D124" i="66"/>
  <c r="D112" i="66"/>
  <c r="D113" i="66" s="1"/>
  <c r="D114" i="66" s="1"/>
  <c r="D115" i="66" s="1"/>
  <c r="D111" i="66"/>
  <c r="C112" i="66"/>
  <c r="C113" i="66" s="1"/>
  <c r="C114" i="66" s="1"/>
  <c r="C115" i="66" s="1"/>
  <c r="C111" i="66"/>
  <c r="D89" i="66"/>
  <c r="D90" i="66" s="1"/>
  <c r="D91" i="66" s="1"/>
  <c r="D92" i="66" s="1"/>
  <c r="D93" i="66" s="1"/>
  <c r="D94" i="66" s="1"/>
  <c r="D95" i="66" s="1"/>
  <c r="D96" i="66" s="1"/>
  <c r="D88" i="66"/>
  <c r="C89" i="66"/>
  <c r="C90" i="66" s="1"/>
  <c r="C91" i="66" s="1"/>
  <c r="C92" i="66" s="1"/>
  <c r="C93" i="66" s="1"/>
  <c r="C94" i="66" s="1"/>
  <c r="C95" i="66" s="1"/>
  <c r="C96" i="66" s="1"/>
  <c r="C88" i="66"/>
  <c r="C16" i="66"/>
  <c r="C17" i="66" s="1"/>
  <c r="C18" i="66" s="1"/>
  <c r="C19" i="66" s="1"/>
  <c r="B311" i="66"/>
  <c r="B312" i="66" s="1"/>
  <c r="B313" i="66" s="1"/>
  <c r="B314" i="66" s="1"/>
  <c r="B315" i="66" s="1"/>
  <c r="C311" i="66"/>
  <c r="C312" i="66" s="1"/>
  <c r="C313" i="66" s="1"/>
  <c r="C314" i="66" s="1"/>
  <c r="C315" i="66" s="1"/>
  <c r="D10" i="68"/>
  <c r="D11" i="68" s="1"/>
  <c r="D12" i="68" s="1"/>
  <c r="B47" i="66"/>
  <c r="B48" i="66" s="1"/>
  <c r="B49" i="66" s="1"/>
  <c r="B50" i="66" s="1"/>
  <c r="B51" i="66" s="1"/>
  <c r="D311" i="66"/>
  <c r="D312" i="66" s="1"/>
  <c r="D313" i="66" s="1"/>
  <c r="D314" i="66" s="1"/>
  <c r="D315" i="66" s="1"/>
  <c r="D10" i="66"/>
  <c r="D11" i="66" s="1"/>
  <c r="D12" i="66" s="1"/>
  <c r="D13" i="66" s="1"/>
  <c r="D14" i="66" s="1"/>
  <c r="D15" i="66" s="1"/>
  <c r="B462" i="66"/>
  <c r="B463" i="66" s="1"/>
  <c r="B464" i="66" s="1"/>
  <c r="B465" i="66" s="1"/>
  <c r="B466" i="66" s="1"/>
  <c r="B85" i="66"/>
  <c r="B86" i="66" s="1"/>
  <c r="B87" i="66" s="1"/>
  <c r="O84" i="66" a="1"/>
  <c r="O84" i="66" s="1"/>
  <c r="B10" i="66"/>
  <c r="B11" i="66" s="1"/>
  <c r="I105" i="66" a="1"/>
  <c r="I105" i="66" s="1"/>
  <c r="B106" i="66"/>
  <c r="B107" i="66" s="1"/>
  <c r="B108" i="66" s="1"/>
  <c r="B109" i="66" s="1"/>
  <c r="B110" i="66" s="1"/>
  <c r="B119" i="66"/>
  <c r="B120" i="66" s="1"/>
  <c r="B121" i="66" s="1"/>
  <c r="B122" i="66" s="1"/>
  <c r="B123" i="66" s="1"/>
  <c r="P9" i="68" a="1"/>
  <c r="P9" i="68" s="1"/>
  <c r="I9" i="68" a="1"/>
  <c r="I9" i="68" s="1"/>
  <c r="P37" i="68" a="1"/>
  <c r="P37" i="68" s="1"/>
  <c r="I37" i="68" a="1"/>
  <c r="I37" i="68" s="1"/>
  <c r="P54" i="68" a="1"/>
  <c r="P54" i="68" s="1"/>
  <c r="I54" i="68" a="1"/>
  <c r="I54" i="68" s="1"/>
  <c r="H278" i="68"/>
  <c r="H282" i="68" s="1"/>
  <c r="P105" i="66" a="1"/>
  <c r="P105" i="66" s="1"/>
  <c r="P183" i="66" a="1"/>
  <c r="P183" i="66" s="1"/>
  <c r="I183" i="66" a="1"/>
  <c r="I183" i="66" s="1"/>
  <c r="I9" i="66" a="1"/>
  <c r="I9" i="66" s="1"/>
  <c r="Q4" i="68"/>
  <c r="R4" i="66"/>
  <c r="F4" i="68"/>
  <c r="I4" i="68"/>
  <c r="K4" i="68"/>
  <c r="O4" i="68"/>
  <c r="O4" i="66"/>
  <c r="Q4" i="66"/>
  <c r="R4" i="68"/>
  <c r="I4" i="66"/>
  <c r="F4" i="66"/>
  <c r="H4" i="66"/>
  <c r="J4" i="66"/>
  <c r="K4" i="66"/>
  <c r="B10" i="68"/>
  <c r="D55" i="68"/>
  <c r="D56" i="68" s="1"/>
  <c r="D57" i="68" s="1"/>
  <c r="C82" i="68"/>
  <c r="C83" i="68" s="1"/>
  <c r="C84" i="68" s="1"/>
  <c r="C85" i="68" s="1"/>
  <c r="C86" i="68" s="1"/>
  <c r="C87" i="68" s="1"/>
  <c r="C88" i="68" s="1"/>
  <c r="B55" i="68"/>
  <c r="B122" i="68"/>
  <c r="B38" i="68"/>
  <c r="B84" i="68"/>
  <c r="B139" i="68"/>
  <c r="H4" i="68"/>
  <c r="B205" i="68"/>
  <c r="B225" i="68"/>
  <c r="B251" i="68"/>
  <c r="B178" i="68"/>
  <c r="B291" i="68"/>
  <c r="B375" i="68"/>
  <c r="B314" i="68"/>
  <c r="C214" i="52"/>
  <c r="B214" i="52"/>
  <c r="C213" i="52"/>
  <c r="B213" i="52"/>
  <c r="C212" i="52"/>
  <c r="B212" i="52"/>
  <c r="C211" i="52"/>
  <c r="B211" i="52"/>
  <c r="I543" i="66" l="1"/>
  <c r="J268" i="66"/>
  <c r="J328" i="66"/>
  <c r="H199" i="68"/>
  <c r="H308" i="68"/>
  <c r="H172" i="68"/>
  <c r="H244" i="68"/>
  <c r="H252" i="68" s="1"/>
  <c r="D58" i="68"/>
  <c r="D59" i="68" s="1"/>
  <c r="D60" i="68" s="1"/>
  <c r="D61" i="68" s="1"/>
  <c r="D13" i="68"/>
  <c r="D14" i="68" s="1"/>
  <c r="D15" i="68" s="1"/>
  <c r="D16" i="68" s="1"/>
  <c r="D478" i="66"/>
  <c r="D479" i="66" s="1"/>
  <c r="D480" i="66" s="1"/>
  <c r="D481" i="66" s="1"/>
  <c r="D482" i="66" s="1"/>
  <c r="D483" i="66" s="1"/>
  <c r="D484" i="66" s="1"/>
  <c r="D485" i="66" s="1"/>
  <c r="D486" i="66" s="1"/>
  <c r="D477" i="66"/>
  <c r="C478" i="66"/>
  <c r="C479" i="66" s="1"/>
  <c r="C480" i="66" s="1"/>
  <c r="C481" i="66" s="1"/>
  <c r="C482" i="66" s="1"/>
  <c r="C483" i="66" s="1"/>
  <c r="C484" i="66" s="1"/>
  <c r="C485" i="66" s="1"/>
  <c r="C486" i="66" s="1"/>
  <c r="C477" i="66"/>
  <c r="B467" i="66"/>
  <c r="B468" i="66"/>
  <c r="B469" i="66" s="1"/>
  <c r="B470" i="66" s="1"/>
  <c r="B471" i="66" s="1"/>
  <c r="B472" i="66" s="1"/>
  <c r="B473" i="66" s="1"/>
  <c r="B474" i="66" s="1"/>
  <c r="B475" i="66" s="1"/>
  <c r="B476" i="66" s="1"/>
  <c r="D395" i="66"/>
  <c r="D396" i="66" s="1"/>
  <c r="D397" i="66" s="1"/>
  <c r="D398" i="66" s="1"/>
  <c r="D399" i="66" s="1"/>
  <c r="D394" i="66"/>
  <c r="B394" i="66"/>
  <c r="B395" i="66"/>
  <c r="D317" i="66"/>
  <c r="D318" i="66" s="1"/>
  <c r="D319" i="66" s="1"/>
  <c r="D320" i="66" s="1"/>
  <c r="D321" i="66" s="1"/>
  <c r="D322" i="66" s="1"/>
  <c r="D323" i="66" s="1"/>
  <c r="D324" i="66" s="1"/>
  <c r="D316" i="66"/>
  <c r="C317" i="66"/>
  <c r="C318" i="66" s="1"/>
  <c r="C319" i="66" s="1"/>
  <c r="C320" i="66" s="1"/>
  <c r="C321" i="66" s="1"/>
  <c r="C322" i="66" s="1"/>
  <c r="C323" i="66" s="1"/>
  <c r="C324" i="66" s="1"/>
  <c r="C316" i="66"/>
  <c r="B317" i="66"/>
  <c r="B318" i="66" s="1"/>
  <c r="B319" i="66" s="1"/>
  <c r="B320" i="66" s="1"/>
  <c r="B321" i="66" s="1"/>
  <c r="B322" i="66" s="1"/>
  <c r="B323" i="66" s="1"/>
  <c r="B324" i="66" s="1"/>
  <c r="B316" i="66"/>
  <c r="C266" i="66"/>
  <c r="C267" i="66" s="1"/>
  <c r="C265" i="66"/>
  <c r="D266" i="66"/>
  <c r="D267" i="66" s="1"/>
  <c r="D265" i="66"/>
  <c r="B258" i="66"/>
  <c r="B259" i="66" s="1"/>
  <c r="B260" i="66" s="1"/>
  <c r="B261" i="66" s="1"/>
  <c r="B262" i="66" s="1"/>
  <c r="B263" i="66" s="1"/>
  <c r="B264" i="66" s="1"/>
  <c r="D134" i="66"/>
  <c r="D135" i="66" s="1"/>
  <c r="D136" i="66" s="1"/>
  <c r="D137" i="66" s="1"/>
  <c r="D138" i="66" s="1"/>
  <c r="D139" i="66" s="1"/>
  <c r="D140" i="66" s="1"/>
  <c r="D141" i="66" s="1"/>
  <c r="D133" i="66"/>
  <c r="C134" i="66"/>
  <c r="C135" i="66" s="1"/>
  <c r="C136" i="66" s="1"/>
  <c r="C137" i="66" s="1"/>
  <c r="C138" i="66" s="1"/>
  <c r="C139" i="66" s="1"/>
  <c r="C140" i="66" s="1"/>
  <c r="C141" i="66" s="1"/>
  <c r="C133" i="66"/>
  <c r="B125" i="66"/>
  <c r="B126" i="66" s="1"/>
  <c r="B127" i="66" s="1"/>
  <c r="B128" i="66" s="1"/>
  <c r="B129" i="66" s="1"/>
  <c r="B130" i="66" s="1"/>
  <c r="B131" i="66" s="1"/>
  <c r="B132" i="66" s="1"/>
  <c r="B124" i="66"/>
  <c r="B112" i="66"/>
  <c r="B113" i="66" s="1"/>
  <c r="B114" i="66" s="1"/>
  <c r="B115" i="66" s="1"/>
  <c r="B111" i="66"/>
  <c r="B89" i="66"/>
  <c r="B90" i="66" s="1"/>
  <c r="B91" i="66" s="1"/>
  <c r="B92" i="66" s="1"/>
  <c r="B93" i="66" s="1"/>
  <c r="B94" i="66" s="1"/>
  <c r="B95" i="66" s="1"/>
  <c r="B96" i="66" s="1"/>
  <c r="B88" i="66"/>
  <c r="C98" i="66"/>
  <c r="C99" i="66" s="1"/>
  <c r="C100" i="66" s="1"/>
  <c r="C101" i="66" s="1"/>
  <c r="C102" i="66" s="1"/>
  <c r="C97" i="66"/>
  <c r="D98" i="66"/>
  <c r="D99" i="66" s="1"/>
  <c r="D100" i="66" s="1"/>
  <c r="D101" i="66" s="1"/>
  <c r="D102" i="66" s="1"/>
  <c r="D97" i="66"/>
  <c r="B53" i="66"/>
  <c r="B54" i="66" s="1"/>
  <c r="B55" i="66" s="1"/>
  <c r="B56" i="66" s="1"/>
  <c r="B57" i="66" s="1"/>
  <c r="B58" i="66" s="1"/>
  <c r="B59" i="66" s="1"/>
  <c r="B60" i="66" s="1"/>
  <c r="B52" i="66"/>
  <c r="D16" i="66"/>
  <c r="P120" i="66" a="1"/>
  <c r="P120" i="66" s="1"/>
  <c r="B12" i="66"/>
  <c r="H11" i="66" a="1"/>
  <c r="H11" i="66" s="1"/>
  <c r="H17" i="66" s="1"/>
  <c r="P38" i="68" a="1"/>
  <c r="P38" i="68" s="1"/>
  <c r="I38" i="68" a="1"/>
  <c r="I38" i="68" s="1"/>
  <c r="I55" i="68" a="1"/>
  <c r="I55" i="68" s="1"/>
  <c r="P55" i="68" a="1"/>
  <c r="P55" i="68" s="1"/>
  <c r="P10" i="68" a="1"/>
  <c r="P10" i="68" s="1"/>
  <c r="I10" i="68" a="1"/>
  <c r="I10" i="68" s="1"/>
  <c r="I24" i="66" a="1"/>
  <c r="I24" i="66" s="1"/>
  <c r="I120" i="66" a="1"/>
  <c r="I120" i="66" s="1"/>
  <c r="B292" i="68"/>
  <c r="B293" i="68" s="1"/>
  <c r="B376" i="68"/>
  <c r="B11" i="68"/>
  <c r="B206" i="68"/>
  <c r="B123" i="68"/>
  <c r="B179" i="68"/>
  <c r="B226" i="68"/>
  <c r="B85" i="68"/>
  <c r="B39" i="68"/>
  <c r="B56" i="68"/>
  <c r="B315" i="68"/>
  <c r="B252" i="68"/>
  <c r="B140" i="68"/>
  <c r="C153" i="52"/>
  <c r="B153" i="52"/>
  <c r="J3" i="58"/>
  <c r="I3" i="58"/>
  <c r="D17" i="66" l="1"/>
  <c r="D18" i="66" s="1"/>
  <c r="D19" i="66" s="1"/>
  <c r="H269" i="68"/>
  <c r="C488" i="66"/>
  <c r="C489" i="66" s="1"/>
  <c r="C490" i="66" s="1"/>
  <c r="C491" i="66" s="1"/>
  <c r="C492" i="66" s="1"/>
  <c r="C493" i="66" s="1"/>
  <c r="C487" i="66"/>
  <c r="D488" i="66"/>
  <c r="D489" i="66" s="1"/>
  <c r="D490" i="66" s="1"/>
  <c r="D491" i="66" s="1"/>
  <c r="D492" i="66" s="1"/>
  <c r="D493" i="66" s="1"/>
  <c r="D487" i="66"/>
  <c r="B478" i="66"/>
  <c r="B479" i="66" s="1"/>
  <c r="B480" i="66" s="1"/>
  <c r="B481" i="66" s="1"/>
  <c r="B482" i="66" s="1"/>
  <c r="B483" i="66" s="1"/>
  <c r="B484" i="66" s="1"/>
  <c r="B485" i="66" s="1"/>
  <c r="B486" i="66" s="1"/>
  <c r="B477" i="66"/>
  <c r="B396" i="66"/>
  <c r="B397" i="66" s="1"/>
  <c r="B398" i="66" s="1"/>
  <c r="B399" i="66" s="1"/>
  <c r="B326" i="66"/>
  <c r="B327" i="66" s="1"/>
  <c r="B328" i="66" s="1"/>
  <c r="B329" i="66" s="1"/>
  <c r="B330" i="66" s="1"/>
  <c r="B325" i="66"/>
  <c r="C326" i="66"/>
  <c r="C327" i="66" s="1"/>
  <c r="C328" i="66" s="1"/>
  <c r="C329" i="66" s="1"/>
  <c r="C330" i="66" s="1"/>
  <c r="C325" i="66"/>
  <c r="D326" i="66"/>
  <c r="D327" i="66" s="1"/>
  <c r="D328" i="66" s="1"/>
  <c r="D329" i="66" s="1"/>
  <c r="D330" i="66" s="1"/>
  <c r="D325" i="66"/>
  <c r="B266" i="66"/>
  <c r="B267" i="66" s="1"/>
  <c r="B265" i="66"/>
  <c r="C142" i="66"/>
  <c r="C143" i="66"/>
  <c r="C144" i="66" s="1"/>
  <c r="C145" i="66" s="1"/>
  <c r="C146" i="66" s="1"/>
  <c r="C147" i="66" s="1"/>
  <c r="C148" i="66" s="1"/>
  <c r="C149" i="66" s="1"/>
  <c r="C150" i="66" s="1"/>
  <c r="D143" i="66"/>
  <c r="D144" i="66" s="1"/>
  <c r="D145" i="66" s="1"/>
  <c r="D146" i="66" s="1"/>
  <c r="D147" i="66" s="1"/>
  <c r="D148" i="66" s="1"/>
  <c r="D149" i="66" s="1"/>
  <c r="D150" i="66" s="1"/>
  <c r="D142" i="66"/>
  <c r="B134" i="66"/>
  <c r="B135" i="66" s="1"/>
  <c r="B136" i="66" s="1"/>
  <c r="B137" i="66" s="1"/>
  <c r="B138" i="66" s="1"/>
  <c r="B139" i="66" s="1"/>
  <c r="B140" i="66" s="1"/>
  <c r="B141" i="66" s="1"/>
  <c r="B133" i="66"/>
  <c r="B98" i="66"/>
  <c r="B99" i="66" s="1"/>
  <c r="B100" i="66" s="1"/>
  <c r="B101" i="66" s="1"/>
  <c r="B102" i="66" s="1"/>
  <c r="B97" i="66"/>
  <c r="B62" i="66"/>
  <c r="B63" i="66" s="1"/>
  <c r="B64" i="66" s="1"/>
  <c r="B65" i="66" s="1"/>
  <c r="B66" i="66" s="1"/>
  <c r="B61" i="66"/>
  <c r="B13" i="66"/>
  <c r="P56" i="68" a="1"/>
  <c r="P56" i="68" s="1"/>
  <c r="I56" i="68" a="1"/>
  <c r="I56" i="68" s="1"/>
  <c r="P39" i="68" a="1"/>
  <c r="P39" i="68" s="1"/>
  <c r="I39" i="68" a="1"/>
  <c r="I39" i="68" s="1"/>
  <c r="P11" i="68" a="1"/>
  <c r="P11" i="68" s="1"/>
  <c r="I11" i="68" a="1"/>
  <c r="I11" i="68" s="1"/>
  <c r="O77" i="66"/>
  <c r="P185" i="66" a="1"/>
  <c r="P185" i="66" s="1"/>
  <c r="I185" i="66" a="1"/>
  <c r="I185" i="66" s="1"/>
  <c r="I107" i="66" a="1"/>
  <c r="I107" i="66" s="1"/>
  <c r="P107" i="66" a="1"/>
  <c r="P107" i="66" s="1"/>
  <c r="I48" i="66" a="1"/>
  <c r="I48" i="66" s="1"/>
  <c r="P48" i="66" a="1"/>
  <c r="P48" i="66" s="1"/>
  <c r="I11" i="66" a="1"/>
  <c r="I11" i="66" s="1"/>
  <c r="P84" i="66" a="1"/>
  <c r="P84" i="66" s="1"/>
  <c r="O100" i="66"/>
  <c r="I84" i="66" a="1"/>
  <c r="I84" i="66" s="1"/>
  <c r="H100" i="66"/>
  <c r="B40" i="68"/>
  <c r="B180" i="68"/>
  <c r="B207" i="68"/>
  <c r="B253" i="68"/>
  <c r="B254" i="68" s="1"/>
  <c r="B57" i="68"/>
  <c r="B377" i="68"/>
  <c r="B141" i="68"/>
  <c r="B86" i="68"/>
  <c r="B12" i="68"/>
  <c r="B316" i="68"/>
  <c r="B124" i="68"/>
  <c r="B227" i="68"/>
  <c r="C276" i="52"/>
  <c r="B276" i="52"/>
  <c r="C275" i="52"/>
  <c r="B275" i="52"/>
  <c r="C274" i="52"/>
  <c r="B274" i="52"/>
  <c r="C270" i="52"/>
  <c r="B270" i="52"/>
  <c r="C216" i="52"/>
  <c r="B216" i="52"/>
  <c r="C215" i="52"/>
  <c r="B215" i="52"/>
  <c r="C210" i="52"/>
  <c r="B210" i="52"/>
  <c r="C157" i="52"/>
  <c r="B157" i="52"/>
  <c r="C156" i="52"/>
  <c r="B156" i="52"/>
  <c r="C155" i="52"/>
  <c r="B155" i="52"/>
  <c r="C154" i="52"/>
  <c r="B154" i="52"/>
  <c r="C152" i="52"/>
  <c r="B152" i="52"/>
  <c r="P64" i="68" l="1" a="1"/>
  <c r="P64" i="68" s="1"/>
  <c r="I64" i="68" a="1"/>
  <c r="I64" i="68" s="1"/>
  <c r="B487" i="66"/>
  <c r="B488" i="66"/>
  <c r="D152" i="66"/>
  <c r="D153" i="66" s="1"/>
  <c r="D154" i="66" s="1"/>
  <c r="D155" i="66" s="1"/>
  <c r="D156" i="66" s="1"/>
  <c r="D151" i="66"/>
  <c r="C152" i="66"/>
  <c r="C153" i="66" s="1"/>
  <c r="C154" i="66" s="1"/>
  <c r="C155" i="66" s="1"/>
  <c r="C156" i="66" s="1"/>
  <c r="C151" i="66"/>
  <c r="B142" i="66"/>
  <c r="B143" i="66"/>
  <c r="B14" i="66"/>
  <c r="P12" i="68" a="1"/>
  <c r="P12" i="68" s="1"/>
  <c r="P13" i="68" s="1" a="1"/>
  <c r="P13" i="68" s="1"/>
  <c r="I12" i="68" a="1"/>
  <c r="I12" i="68" s="1"/>
  <c r="P57" i="68" a="1"/>
  <c r="P57" i="68" s="1"/>
  <c r="I57" i="68" a="1"/>
  <c r="I57" i="68" s="1"/>
  <c r="P40" i="68" a="1"/>
  <c r="P40" i="68" s="1"/>
  <c r="I40" i="68" a="1"/>
  <c r="I40" i="68" s="1"/>
  <c r="I162" i="66" a="1"/>
  <c r="I162" i="66" s="1"/>
  <c r="P162" i="66" a="1"/>
  <c r="P162" i="66" s="1"/>
  <c r="I207" i="66" a="1"/>
  <c r="I207" i="66" s="1"/>
  <c r="P207" i="66" a="1"/>
  <c r="P207" i="66" s="1"/>
  <c r="I27" i="66" a="1"/>
  <c r="I27" i="66" s="1"/>
  <c r="O17" i="66"/>
  <c r="B317" i="68"/>
  <c r="B87" i="68"/>
  <c r="B88" i="68" s="1"/>
  <c r="B378" i="68"/>
  <c r="B379" i="68" s="1"/>
  <c r="B58" i="68"/>
  <c r="B181" i="68"/>
  <c r="B125" i="68"/>
  <c r="B142" i="68"/>
  <c r="B228" i="68"/>
  <c r="B229" i="68" s="1"/>
  <c r="B13" i="68"/>
  <c r="B41" i="68"/>
  <c r="B208" i="68"/>
  <c r="C80" i="52"/>
  <c r="B80" i="52"/>
  <c r="C79" i="52"/>
  <c r="B79" i="52"/>
  <c r="C78" i="52"/>
  <c r="B78" i="52"/>
  <c r="C77" i="52"/>
  <c r="B77" i="52"/>
  <c r="C76" i="52"/>
  <c r="B76" i="52"/>
  <c r="C75" i="52"/>
  <c r="B75" i="52"/>
  <c r="C58" i="52"/>
  <c r="B58" i="52"/>
  <c r="B82" i="52"/>
  <c r="B81" i="52"/>
  <c r="C57" i="52"/>
  <c r="B57" i="52"/>
  <c r="P14" i="66" l="1" a="1"/>
  <c r="P14" i="66" s="1"/>
  <c r="I65" i="68" a="1"/>
  <c r="I65" i="68" s="1"/>
  <c r="P65" i="68" a="1"/>
  <c r="P65" i="68" s="1"/>
  <c r="I13" i="68" a="1"/>
  <c r="I13" i="68" s="1"/>
  <c r="I14" i="68" s="1"/>
  <c r="B489" i="66"/>
  <c r="B490" i="66" s="1"/>
  <c r="B491" i="66" s="1"/>
  <c r="B492" i="66" s="1"/>
  <c r="B493" i="66" s="1"/>
  <c r="B144" i="66"/>
  <c r="B145" i="66" s="1"/>
  <c r="B146" i="66" s="1"/>
  <c r="B15" i="66"/>
  <c r="P14" i="68"/>
  <c r="Q54" i="108" s="1" a="1"/>
  <c r="Q54" i="108" s="1"/>
  <c r="I14" i="66" a="1"/>
  <c r="I14" i="66" s="1"/>
  <c r="P27" i="66" a="1"/>
  <c r="P27" i="66" s="1"/>
  <c r="B42" i="68"/>
  <c r="B209" i="68"/>
  <c r="B14" i="68"/>
  <c r="B182" i="68"/>
  <c r="B318" i="68"/>
  <c r="B319" i="68" s="1"/>
  <c r="B126" i="68"/>
  <c r="B59" i="68"/>
  <c r="B143" i="68"/>
  <c r="I66" i="68" l="1" a="1"/>
  <c r="I66" i="68" s="1"/>
  <c r="P66" i="68" a="1"/>
  <c r="P66" i="68" s="1"/>
  <c r="P67" i="108"/>
  <c r="L67" i="108"/>
  <c r="B147" i="66"/>
  <c r="B16" i="66"/>
  <c r="M54" i="108" a="1"/>
  <c r="M54" i="108" s="1"/>
  <c r="I51" i="66" a="1"/>
  <c r="I51" i="66" s="1"/>
  <c r="P51" i="66" a="1"/>
  <c r="P51" i="66" s="1"/>
  <c r="P87" i="66" a="1"/>
  <c r="P87" i="66" s="1"/>
  <c r="I87" i="66" a="1"/>
  <c r="I87" i="66" s="1"/>
  <c r="B144" i="68"/>
  <c r="B145" i="68" s="1"/>
  <c r="B60" i="68"/>
  <c r="B61" i="68" s="1"/>
  <c r="B127" i="68"/>
  <c r="B183" i="68"/>
  <c r="B184" i="68" s="1"/>
  <c r="B15" i="68"/>
  <c r="B210" i="68"/>
  <c r="B43" i="68"/>
  <c r="B17" i="66" l="1"/>
  <c r="P67" i="68" a="1"/>
  <c r="P67" i="68" s="1"/>
  <c r="P68" i="68" s="1" a="1"/>
  <c r="P68" i="68" s="1"/>
  <c r="I67" i="68" a="1"/>
  <c r="I67" i="68" s="1"/>
  <c r="I68" i="68" s="1" a="1"/>
  <c r="I68" i="68" s="1"/>
  <c r="B16" i="68"/>
  <c r="B148" i="66"/>
  <c r="B149" i="66" s="1"/>
  <c r="B150" i="66" s="1"/>
  <c r="P147" i="66" a="1"/>
  <c r="P147" i="66" s="1"/>
  <c r="P43" i="68" a="1"/>
  <c r="P43" i="68" s="1"/>
  <c r="I43" i="68" a="1"/>
  <c r="I43" i="68" s="1"/>
  <c r="B44" i="68"/>
  <c r="B211" i="68"/>
  <c r="B128" i="68"/>
  <c r="C82" i="52"/>
  <c r="C81" i="52"/>
  <c r="L52" i="108" l="1" a="1"/>
  <c r="L52" i="108" s="1"/>
  <c r="L65" i="108" s="1"/>
  <c r="P52" i="108" a="1"/>
  <c r="P52" i="108" s="1"/>
  <c r="P65" i="108" s="1"/>
  <c r="K27" i="135" a="1"/>
  <c r="K27" i="135" s="1"/>
  <c r="B18" i="66"/>
  <c r="B152" i="66"/>
  <c r="B153" i="66" s="1"/>
  <c r="B154" i="66" s="1"/>
  <c r="B155" i="66" s="1"/>
  <c r="B156" i="66" s="1"/>
  <c r="B151" i="66"/>
  <c r="P44" i="68" a="1"/>
  <c r="P44" i="68" s="1"/>
  <c r="I44" i="68" a="1"/>
  <c r="I44" i="68" s="1"/>
  <c r="P129" i="66" a="1"/>
  <c r="P129" i="66" s="1"/>
  <c r="B129" i="68"/>
  <c r="B212" i="68"/>
  <c r="B45" i="68"/>
  <c r="C18" i="52"/>
  <c r="B17" i="52"/>
  <c r="B18" i="52"/>
  <c r="AN52" i="108" l="1" a="1"/>
  <c r="AN52" i="108" s="1"/>
  <c r="F105" i="135" a="1"/>
  <c r="F105" i="135" s="1"/>
  <c r="B19" i="66"/>
  <c r="T52" i="115" s="1" a="1"/>
  <c r="T52" i="115" s="1"/>
  <c r="P69" i="68"/>
  <c r="P45" i="68" a="1"/>
  <c r="P45" i="68" s="1"/>
  <c r="I45" i="68" a="1"/>
  <c r="I45" i="68" s="1"/>
  <c r="I129" i="66" a="1"/>
  <c r="I129" i="66" s="1"/>
  <c r="I33" i="66" a="1"/>
  <c r="I33" i="66" s="1"/>
  <c r="B46" i="68"/>
  <c r="B213" i="68"/>
  <c r="B130" i="68"/>
  <c r="C21" i="52"/>
  <c r="B21" i="52"/>
  <c r="C20" i="52"/>
  <c r="B20" i="52"/>
  <c r="C19" i="52"/>
  <c r="B19" i="52"/>
  <c r="C17" i="52"/>
  <c r="C16" i="52"/>
  <c r="B16" i="52"/>
  <c r="F96" i="135" l="1" a="1"/>
  <c r="F96" i="135" s="1"/>
  <c r="F136" i="135" a="1"/>
  <c r="F136" i="135" s="1"/>
  <c r="F47" i="135" a="1"/>
  <c r="F47" i="135" s="1"/>
  <c r="V52" i="115" a="1"/>
  <c r="V52" i="115" s="1"/>
  <c r="AT52" i="113" a="1"/>
  <c r="AT52" i="113" s="1"/>
  <c r="AM52" i="114" a="1"/>
  <c r="AM52" i="114" s="1"/>
  <c r="U52" i="115" a="1"/>
  <c r="U52" i="115" s="1"/>
  <c r="K25" i="135" a="1"/>
  <c r="K25" i="135" s="1"/>
  <c r="K56" i="135" a="1"/>
  <c r="K56" i="135" s="1"/>
  <c r="F87" i="135" a="1"/>
  <c r="F87" i="135" s="1"/>
  <c r="K73" i="135" a="1"/>
  <c r="K73" i="135" s="1"/>
  <c r="F167" i="135" a="1"/>
  <c r="F167" i="135" s="1"/>
  <c r="K47" i="135" a="1"/>
  <c r="K47" i="135" s="1"/>
  <c r="V52" i="114" a="1"/>
  <c r="V52" i="114" s="1"/>
  <c r="AV52" i="113" a="1"/>
  <c r="AV52" i="113" s="1"/>
  <c r="U52" i="113" a="1"/>
  <c r="U52" i="113" s="1"/>
  <c r="F25" i="135" a="1"/>
  <c r="F25" i="135" s="1"/>
  <c r="K167" i="135" a="1"/>
  <c r="K167" i="135" s="1"/>
  <c r="F65" i="135" a="1"/>
  <c r="F65" i="135" s="1"/>
  <c r="AD52" i="108" a="1"/>
  <c r="AD52" i="108" s="1"/>
  <c r="AD65" i="108" s="1"/>
  <c r="AN52" i="115" a="1"/>
  <c r="AN52" i="115" s="1"/>
  <c r="Y52" i="113" a="1"/>
  <c r="Y52" i="113" s="1"/>
  <c r="AK52" i="114" a="1"/>
  <c r="AK52" i="114" s="1"/>
  <c r="AU52" i="113" a="1"/>
  <c r="AU52" i="113" s="1"/>
  <c r="U52" i="108" a="1"/>
  <c r="U52" i="108" s="1"/>
  <c r="V52" i="108" a="1"/>
  <c r="V52" i="108" s="1"/>
  <c r="K145" i="135" a="1"/>
  <c r="K145" i="135" s="1"/>
  <c r="K87" i="135" a="1"/>
  <c r="K87" i="135" s="1"/>
  <c r="V52" i="113" a="1"/>
  <c r="V52" i="113" s="1"/>
  <c r="T52" i="113" a="1"/>
  <c r="T52" i="113" s="1"/>
  <c r="K96" i="135" a="1"/>
  <c r="K96" i="135" s="1"/>
  <c r="AM52" i="115" a="1"/>
  <c r="AM52" i="115" s="1"/>
  <c r="K136" i="135" a="1"/>
  <c r="K136" i="135" s="1"/>
  <c r="F16" i="135" a="1"/>
  <c r="F16" i="135" s="1"/>
  <c r="F7" i="135" a="1"/>
  <c r="F7" i="135" s="1"/>
  <c r="F145" i="135" a="1"/>
  <c r="F145" i="135" s="1"/>
  <c r="S52" i="115" a="1"/>
  <c r="S52" i="115" s="1"/>
  <c r="X52" i="113" a="1"/>
  <c r="X52" i="113" s="1"/>
  <c r="AL52" i="115" a="1"/>
  <c r="AL52" i="115" s="1"/>
  <c r="K105" i="135" a="1"/>
  <c r="K105" i="135" s="1"/>
  <c r="F113" i="135" a="1"/>
  <c r="F113" i="135" s="1"/>
  <c r="F127" i="135" a="1"/>
  <c r="F127" i="135" s="1"/>
  <c r="AL52" i="108" a="1"/>
  <c r="AL52" i="108" s="1"/>
  <c r="K65" i="135" a="1"/>
  <c r="K65" i="135" s="1"/>
  <c r="AX52" i="113" a="1"/>
  <c r="AX52" i="113" s="1"/>
  <c r="F73" i="135" a="1"/>
  <c r="F73" i="135" s="1"/>
  <c r="AL52" i="114" a="1"/>
  <c r="AL52" i="114" s="1"/>
  <c r="W52" i="113" a="1"/>
  <c r="W52" i="113" s="1"/>
  <c r="F153" i="135" a="1"/>
  <c r="F153" i="135" s="1"/>
  <c r="K127" i="135" a="1"/>
  <c r="K127" i="135" s="1"/>
  <c r="K7" i="135" a="1"/>
  <c r="K7" i="135" s="1"/>
  <c r="AZ52" i="108" a="1"/>
  <c r="AZ52" i="108" s="1"/>
  <c r="AK52" i="115" a="1"/>
  <c r="AK52" i="115" s="1"/>
  <c r="AW52" i="113" a="1"/>
  <c r="AW52" i="113" s="1"/>
  <c r="W52" i="108" a="1"/>
  <c r="W52" i="108" s="1"/>
  <c r="Y52" i="108" a="1"/>
  <c r="Y52" i="108" s="1"/>
  <c r="U52" i="114" a="1"/>
  <c r="U52" i="114" s="1"/>
  <c r="K16" i="135" a="1"/>
  <c r="K16" i="135" s="1"/>
  <c r="F33" i="135" a="1"/>
  <c r="F33" i="135" s="1"/>
  <c r="K113" i="135" a="1"/>
  <c r="K113" i="135" s="1"/>
  <c r="AM52" i="108" a="1"/>
  <c r="AM52" i="108" s="1"/>
  <c r="F56" i="135" a="1"/>
  <c r="F56" i="135" s="1"/>
  <c r="T52" i="114" a="1"/>
  <c r="T52" i="114" s="1"/>
  <c r="K33" i="135" a="1"/>
  <c r="K33" i="135" s="1"/>
  <c r="K153" i="135" a="1"/>
  <c r="K153" i="135" s="1"/>
  <c r="T53" i="116" a="1"/>
  <c r="T53" i="116" s="1"/>
  <c r="AH52" i="108" a="1"/>
  <c r="AH52" i="108" s="1"/>
  <c r="AH65" i="108" s="1"/>
  <c r="AQ52" i="108" a="1"/>
  <c r="AQ52" i="108" s="1"/>
  <c r="T60" i="114" a="1"/>
  <c r="T60" i="114" s="1"/>
  <c r="AA60" i="114" a="1"/>
  <c r="AA60" i="114" s="1"/>
  <c r="AA61" i="114" s="1"/>
  <c r="P46" i="68" a="1"/>
  <c r="P46" i="68" s="1"/>
  <c r="I46" i="68" a="1"/>
  <c r="I46" i="68" s="1"/>
  <c r="I57" i="66" a="1"/>
  <c r="I57" i="66" s="1"/>
  <c r="P57" i="66" a="1"/>
  <c r="P57" i="66" s="1"/>
  <c r="P93" i="66" a="1"/>
  <c r="P93" i="66" s="1"/>
  <c r="I93" i="66" a="1"/>
  <c r="I93" i="66" s="1"/>
  <c r="P33" i="66" a="1"/>
  <c r="P33" i="66" s="1"/>
  <c r="B131" i="68"/>
  <c r="B214" i="68"/>
  <c r="B47" i="68"/>
  <c r="P216" i="66" l="1" a="1"/>
  <c r="P216" i="66" s="1"/>
  <c r="I216" i="66" a="1"/>
  <c r="I216" i="66" s="1"/>
  <c r="B48" i="68"/>
  <c r="B215" i="68"/>
  <c r="B132" i="68"/>
  <c r="I171" i="66" l="1" a="1"/>
  <c r="I171" i="66" s="1"/>
  <c r="P171" i="66" a="1"/>
  <c r="P171" i="66" s="1"/>
  <c r="P36" i="66" a="1"/>
  <c r="P36" i="66" s="1"/>
  <c r="I36" i="66" a="1"/>
  <c r="I36" i="66" s="1"/>
  <c r="B133" i="68"/>
  <c r="B216" i="68"/>
  <c r="B49" i="68"/>
  <c r="P60" i="66" l="1" a="1"/>
  <c r="P60" i="66" s="1"/>
  <c r="I60" i="66" a="1"/>
  <c r="I60" i="66" s="1"/>
  <c r="I96" i="66" a="1"/>
  <c r="I96" i="66" s="1"/>
  <c r="P96" i="66" a="1"/>
  <c r="P96" i="66" s="1"/>
  <c r="B50" i="68"/>
  <c r="B217" i="68"/>
  <c r="B134" i="68"/>
  <c r="B135" i="68" s="1"/>
  <c r="B51" i="68" l="1"/>
  <c r="AS54" i="108" s="1" a="1"/>
  <c r="AS54" i="108" s="1"/>
  <c r="I138" i="66" a="1"/>
  <c r="I138" i="66" s="1"/>
  <c r="P138" i="66" a="1"/>
  <c r="P138" i="66" s="1"/>
  <c r="B218" i="68"/>
  <c r="B219" i="68" s="1"/>
  <c r="B9" i="52"/>
  <c r="B10" i="52"/>
  <c r="B11" i="52"/>
  <c r="B12" i="52"/>
  <c r="K75" i="135" l="1" a="1"/>
  <c r="K75" i="135" s="1"/>
  <c r="AG54" i="114" a="1"/>
  <c r="AG54" i="114" s="1"/>
  <c r="AK54" i="116" a="1"/>
  <c r="AK54" i="116" s="1"/>
  <c r="X54" i="116" a="1"/>
  <c r="X54" i="116" s="1"/>
  <c r="F169" i="135" a="1"/>
  <c r="F169" i="135" s="1"/>
  <c r="F9" i="135" a="1"/>
  <c r="F9" i="135" s="1"/>
  <c r="K58" i="135" a="1"/>
  <c r="K58" i="135" s="1"/>
  <c r="K129" i="135" a="1"/>
  <c r="K129" i="135" s="1"/>
  <c r="AP54" i="114" a="1"/>
  <c r="AP54" i="114" s="1"/>
  <c r="AX54" i="116" a="1"/>
  <c r="AX54" i="116" s="1"/>
  <c r="K35" i="135" a="1"/>
  <c r="K35" i="135" s="1"/>
  <c r="K155" i="135" a="1"/>
  <c r="K155" i="135" s="1"/>
  <c r="F115" i="135" a="1"/>
  <c r="F115" i="135" s="1"/>
  <c r="F27" i="135" a="1"/>
  <c r="F27" i="135" s="1"/>
  <c r="F18" i="135" a="1"/>
  <c r="F18" i="135" s="1"/>
  <c r="AP54" i="116" a="1"/>
  <c r="AP54" i="116" s="1"/>
  <c r="F58" i="135" a="1"/>
  <c r="F58" i="135" s="1"/>
  <c r="F67" i="135" a="1"/>
  <c r="F67" i="135" s="1"/>
  <c r="F35" i="135" a="1"/>
  <c r="F35" i="135" s="1"/>
  <c r="AC54" i="116" a="1"/>
  <c r="AC54" i="116" s="1"/>
  <c r="AG54" i="115" a="1"/>
  <c r="AG54" i="115" s="1"/>
  <c r="F75" i="135" a="1"/>
  <c r="F75" i="135" s="1"/>
  <c r="T54" i="114" a="1"/>
  <c r="T54" i="114" s="1"/>
  <c r="K9" i="135" a="1"/>
  <c r="K9" i="135" s="1"/>
  <c r="K54" i="115" a="1"/>
  <c r="K54" i="115" s="1"/>
  <c r="K67" i="115" s="1"/>
  <c r="F98" i="135" a="1"/>
  <c r="F98" i="135" s="1"/>
  <c r="K98" i="135" a="1"/>
  <c r="K98" i="135" s="1"/>
  <c r="K107" i="135" a="1"/>
  <c r="K107" i="135" s="1"/>
  <c r="K89" i="135" a="1"/>
  <c r="K89" i="135" s="1"/>
  <c r="F155" i="135" a="1"/>
  <c r="F155" i="135" s="1"/>
  <c r="F138" i="135" a="1"/>
  <c r="F138" i="135" s="1"/>
  <c r="AR54" i="108" a="1"/>
  <c r="AR54" i="108" s="1"/>
  <c r="AK54" i="114" a="1"/>
  <c r="AK54" i="114" s="1"/>
  <c r="AK54" i="115" a="1"/>
  <c r="AK54" i="115" s="1"/>
  <c r="AY54" i="115" a="1"/>
  <c r="AY54" i="115" s="1"/>
  <c r="K67" i="135" a="1"/>
  <c r="K67" i="135" s="1"/>
  <c r="F147" i="135" a="1"/>
  <c r="F147" i="135" s="1"/>
  <c r="AY54" i="114" a="1"/>
  <c r="AY54" i="114" s="1"/>
  <c r="AD67" i="108"/>
  <c r="K138" i="135" a="1"/>
  <c r="K138" i="135" s="1"/>
  <c r="S54" i="116" a="1"/>
  <c r="S54" i="116" s="1"/>
  <c r="AP54" i="115" a="1"/>
  <c r="AP54" i="115" s="1"/>
  <c r="AH67" i="108"/>
  <c r="BK54" i="113" a="1"/>
  <c r="BK54" i="113" s="1"/>
  <c r="AC54" i="114" a="1"/>
  <c r="AC54" i="114" s="1"/>
  <c r="K54" i="116" a="1"/>
  <c r="K54" i="116" s="1"/>
  <c r="K18" i="135" a="1"/>
  <c r="K18" i="135" s="1"/>
  <c r="X54" i="115" a="1"/>
  <c r="X54" i="115" s="1"/>
  <c r="AG54" i="116" a="1"/>
  <c r="AG54" i="116" s="1"/>
  <c r="K147" i="135" a="1"/>
  <c r="K147" i="135" s="1"/>
  <c r="K54" i="114" a="1"/>
  <c r="K54" i="114" s="1"/>
  <c r="K49" i="135" a="1"/>
  <c r="K49" i="135" s="1"/>
  <c r="F107" i="135" a="1"/>
  <c r="F107" i="135" s="1"/>
  <c r="K169" i="135" a="1"/>
  <c r="K169" i="135" s="1"/>
  <c r="F49" i="135" a="1"/>
  <c r="F49" i="135" s="1"/>
  <c r="O54" i="116" a="1"/>
  <c r="O54" i="116" s="1"/>
  <c r="F89" i="135" a="1"/>
  <c r="F89" i="135" s="1"/>
  <c r="S54" i="115" a="1"/>
  <c r="S54" i="115" s="1"/>
  <c r="K115" i="135" a="1"/>
  <c r="K115" i="135" s="1"/>
  <c r="AA54" i="113" a="1"/>
  <c r="AA54" i="113" s="1"/>
  <c r="O54" i="114" a="1"/>
  <c r="O54" i="114" s="1"/>
  <c r="F129" i="135" a="1"/>
  <c r="F129" i="135" s="1"/>
  <c r="X54" i="114" a="1"/>
  <c r="X54" i="114" s="1"/>
  <c r="O54" i="115" a="1"/>
  <c r="O54" i="115" s="1"/>
  <c r="O67" i="115" s="1"/>
  <c r="AC54" i="115" a="1"/>
  <c r="AC54" i="115" s="1"/>
  <c r="I225" i="66" l="1" a="1"/>
  <c r="I225" i="66" s="1"/>
  <c r="P225" i="66" a="1"/>
  <c r="P225" i="66" s="1"/>
  <c r="AH5" i="121" l="1"/>
  <c r="AW5" i="121" s="1"/>
  <c r="Y5" i="121"/>
  <c r="AN5" i="121" s="1"/>
  <c r="BC5" i="121" s="1"/>
  <c r="B13" i="122" l="1"/>
  <c r="I147" i="66" l="1" a="1"/>
  <c r="I147" i="66" s="1"/>
  <c r="A2" i="121"/>
  <c r="B14" i="122" l="1"/>
  <c r="I243" i="98" l="1"/>
  <c r="P243" i="98"/>
  <c r="P233" i="98"/>
  <c r="I233" i="98"/>
  <c r="P213" i="98"/>
  <c r="I213" i="98"/>
  <c r="P193" i="98"/>
  <c r="I193" i="98"/>
  <c r="P163" i="98"/>
  <c r="I163" i="98"/>
  <c r="I143" i="98"/>
  <c r="P143" i="98"/>
  <c r="P113" i="98"/>
  <c r="I113" i="98"/>
  <c r="P93" i="98"/>
  <c r="I93" i="98"/>
  <c r="P63" i="98"/>
  <c r="I63" i="98"/>
  <c r="P43" i="98"/>
  <c r="I43" i="98"/>
  <c r="P13" i="98"/>
  <c r="I13" i="98"/>
  <c r="B22" i="61" l="1"/>
  <c r="C27" i="61"/>
  <c r="C16" i="61" s="1"/>
  <c r="B33" i="61"/>
  <c r="M41" i="61" l="1"/>
  <c r="K40" i="61"/>
  <c r="C39" i="61"/>
  <c r="E38" i="61"/>
  <c r="M38" i="61"/>
  <c r="E39" i="61"/>
  <c r="M42" i="61"/>
  <c r="E42" i="61"/>
  <c r="H41" i="61"/>
  <c r="H42" i="61"/>
  <c r="I40" i="61"/>
  <c r="K39" i="61"/>
  <c r="E40" i="61"/>
  <c r="I38" i="61"/>
  <c r="K41" i="61"/>
  <c r="C38" i="61"/>
  <c r="E41" i="61"/>
  <c r="I39" i="61"/>
  <c r="K42" i="61"/>
  <c r="C40" i="61"/>
  <c r="H38" i="61"/>
  <c r="I41" i="61"/>
  <c r="M39" i="61"/>
  <c r="C41" i="61"/>
  <c r="H39" i="61"/>
  <c r="I42" i="61"/>
  <c r="M40" i="61"/>
  <c r="C42" i="61"/>
  <c r="H40" i="61"/>
  <c r="K38" i="61"/>
  <c r="B12" i="122"/>
  <c r="B11" i="122"/>
  <c r="B10" i="122"/>
  <c r="C17" i="121"/>
  <c r="C23" i="121" s="1"/>
  <c r="C29" i="121" s="1"/>
  <c r="C35" i="121" s="1"/>
  <c r="N136" i="58"/>
  <c r="N137" i="58"/>
  <c r="N78" i="58"/>
  <c r="N49" i="58"/>
  <c r="N50" i="58"/>
  <c r="N156" i="58"/>
  <c r="N155" i="58"/>
  <c r="N154" i="58"/>
  <c r="N153" i="58"/>
  <c r="N152" i="58"/>
  <c r="N127" i="58"/>
  <c r="N126" i="58"/>
  <c r="N125" i="58"/>
  <c r="N124" i="58"/>
  <c r="N123" i="58"/>
  <c r="N99" i="58"/>
  <c r="N98" i="58"/>
  <c r="N97" i="58"/>
  <c r="N96" i="58"/>
  <c r="N95" i="58"/>
  <c r="N68" i="58"/>
  <c r="N67" i="58"/>
  <c r="N66" i="58"/>
  <c r="N65" i="58"/>
  <c r="N64" i="58"/>
  <c r="N38" i="58"/>
  <c r="N39" i="58"/>
  <c r="N19" i="58"/>
  <c r="N20" i="58"/>
  <c r="N21" i="58"/>
  <c r="N135" i="58" l="1"/>
  <c r="N108" i="58"/>
  <c r="N77" i="58"/>
  <c r="N48" i="58"/>
  <c r="N18" i="58"/>
  <c r="B135" i="58" l="1"/>
  <c r="B48" i="58"/>
  <c r="B77" i="58" s="1"/>
  <c r="B108" i="58" s="1"/>
  <c r="C18" i="58"/>
  <c r="I149" i="68" l="1" a="1"/>
  <c r="I149" i="68" s="1"/>
  <c r="P151" i="68" a="1"/>
  <c r="P151" i="68" s="1"/>
  <c r="P154" i="68" a="1"/>
  <c r="P154" i="68" s="1"/>
  <c r="P97" i="68" a="1"/>
  <c r="P97" i="68" s="1"/>
  <c r="I155" i="68" a="1"/>
  <c r="I155" i="68" s="1"/>
  <c r="P100" i="68" a="1"/>
  <c r="P100" i="68" s="1"/>
  <c r="P161" i="68" a="1"/>
  <c r="P161" i="68" s="1"/>
  <c r="I106" i="68" a="1"/>
  <c r="I106" i="68" s="1"/>
  <c r="I100" i="68" a="1"/>
  <c r="I100" i="68" s="1"/>
  <c r="I161" i="68" a="1"/>
  <c r="I161" i="68" s="1"/>
  <c r="I162" i="68" a="1"/>
  <c r="I162" i="68" s="1"/>
  <c r="I92" i="68" a="1"/>
  <c r="I92" i="68" s="1"/>
  <c r="I150" i="68" a="1"/>
  <c r="I150" i="68" s="1"/>
  <c r="I97" i="68" a="1"/>
  <c r="I97" i="68" s="1"/>
  <c r="P106" i="68" a="1"/>
  <c r="P106" i="68" s="1"/>
  <c r="P157" i="68" a="1"/>
  <c r="P157" i="68" s="1"/>
  <c r="P104" i="68" a="1"/>
  <c r="P104" i="68" s="1"/>
  <c r="I98" i="68" a="1"/>
  <c r="I98" i="68" s="1"/>
  <c r="I103" i="68" a="1"/>
  <c r="I103" i="68" s="1"/>
  <c r="P148" i="68" a="1"/>
  <c r="P148" i="68" s="1"/>
  <c r="P150" i="68" a="1"/>
  <c r="P150" i="68" s="1"/>
  <c r="I93" i="68" a="1"/>
  <c r="I93" i="68" s="1"/>
  <c r="I154" i="68" a="1"/>
  <c r="I154" i="68" s="1"/>
  <c r="P156" i="68" a="1"/>
  <c r="P156" i="68" s="1"/>
  <c r="I157" i="68" a="1"/>
  <c r="I157" i="68" s="1"/>
  <c r="P103" i="68" a="1"/>
  <c r="P103" i="68" s="1"/>
  <c r="I105" i="68" a="1"/>
  <c r="I105" i="68" s="1"/>
  <c r="P93" i="68" a="1"/>
  <c r="P93" i="68" s="1"/>
  <c r="I156" i="68" a="1"/>
  <c r="I156" i="68" s="1"/>
  <c r="I160" i="68" a="1"/>
  <c r="I160" i="68" s="1"/>
  <c r="P162" i="68" a="1"/>
  <c r="P162" i="68" s="1"/>
  <c r="I94" i="68" a="1"/>
  <c r="I94" i="68" s="1"/>
  <c r="P99" i="68" a="1"/>
  <c r="P99" i="68" s="1"/>
  <c r="P91" i="68" a="1"/>
  <c r="P91" i="68" s="1"/>
  <c r="I91" i="68" a="1"/>
  <c r="I91" i="68" s="1"/>
  <c r="P149" i="68" a="1"/>
  <c r="P149" i="68" s="1"/>
  <c r="P94" i="68" a="1"/>
  <c r="P94" i="68" s="1"/>
  <c r="P160" i="68" a="1"/>
  <c r="P160" i="68" s="1"/>
  <c r="P105" i="68" a="1"/>
  <c r="P105" i="68" s="1"/>
  <c r="P92" i="68" a="1"/>
  <c r="P92" i="68" s="1"/>
  <c r="I151" i="68" a="1"/>
  <c r="I151" i="68" s="1"/>
  <c r="P98" i="68" a="1"/>
  <c r="P98" i="68" s="1"/>
  <c r="I99" i="68" a="1"/>
  <c r="I99" i="68" s="1"/>
  <c r="I104" i="68" a="1"/>
  <c r="I104" i="68" s="1"/>
  <c r="I163" i="68" a="1"/>
  <c r="I163" i="68" s="1"/>
  <c r="I148" i="68" a="1"/>
  <c r="I148" i="68" s="1"/>
  <c r="P155" i="68" a="1"/>
  <c r="P155" i="68" s="1"/>
  <c r="P163" i="68" a="1"/>
  <c r="P163" i="68" s="1"/>
  <c r="I166" i="68" a="1"/>
  <c r="I166" i="68" s="1"/>
  <c r="P109" i="68" a="1"/>
  <c r="P109" i="68" s="1"/>
  <c r="H99" i="98" a="1"/>
  <c r="H99" i="98" s="1"/>
  <c r="I168" i="68" a="1"/>
  <c r="I168" i="68" s="1"/>
  <c r="I167" i="68" a="1"/>
  <c r="I167" i="68" s="1"/>
  <c r="P166" i="68" a="1"/>
  <c r="P166" i="68" s="1"/>
  <c r="O99" i="98" a="1"/>
  <c r="O99" i="98" s="1"/>
  <c r="H69" i="98" a="1"/>
  <c r="H69" i="98" s="1"/>
  <c r="P168" i="68" a="1"/>
  <c r="P168" i="68" s="1"/>
  <c r="P167" i="68" a="1"/>
  <c r="P167" i="68" s="1"/>
  <c r="O69" i="98" a="1"/>
  <c r="O69" i="98" s="1"/>
  <c r="I109" i="68" a="1"/>
  <c r="I109" i="68" s="1"/>
  <c r="H70" i="98" a="1"/>
  <c r="H70" i="98" s="1"/>
  <c r="O100" i="98" a="1"/>
  <c r="O100" i="98" s="1"/>
  <c r="O70" i="98" a="1"/>
  <c r="O70" i="98" s="1"/>
  <c r="H100" i="98" a="1"/>
  <c r="H100" i="98" s="1"/>
  <c r="I169" i="68" a="1"/>
  <c r="I169" i="68" s="1"/>
  <c r="I110" i="68" a="1"/>
  <c r="I110" i="68" s="1"/>
  <c r="P169" i="68" a="1"/>
  <c r="P169" i="68" s="1"/>
  <c r="P110" i="68" a="1"/>
  <c r="P110" i="68" s="1"/>
  <c r="H71" i="98" a="1"/>
  <c r="H71" i="98" s="1"/>
  <c r="H101" i="98" a="1"/>
  <c r="H101" i="98" s="1"/>
  <c r="O101" i="98" a="1"/>
  <c r="O101" i="98" s="1"/>
  <c r="P111" i="68" a="1"/>
  <c r="P111" i="68" s="1"/>
  <c r="O71" i="98" a="1"/>
  <c r="O71" i="98" s="1"/>
  <c r="I111" i="68" a="1"/>
  <c r="I111" i="68" s="1"/>
  <c r="O102" i="98" a="1"/>
  <c r="O102" i="98" s="1"/>
  <c r="I112" i="68" a="1"/>
  <c r="I112" i="68" s="1"/>
  <c r="H102" i="98" a="1"/>
  <c r="H102" i="98" s="1"/>
  <c r="O72" i="98" a="1"/>
  <c r="O72" i="98" s="1"/>
  <c r="P112" i="68" a="1"/>
  <c r="P112" i="68" s="1"/>
  <c r="H72" i="98" a="1"/>
  <c r="H72" i="98" s="1"/>
  <c r="P139" i="68" a="1"/>
  <c r="P139" i="68" s="1"/>
  <c r="I141" i="68" a="1"/>
  <c r="I141" i="68" s="1"/>
  <c r="I140" i="68" a="1"/>
  <c r="I140" i="68" s="1"/>
  <c r="P138" i="68" a="1"/>
  <c r="P138" i="68" s="1"/>
  <c r="I139" i="68" a="1"/>
  <c r="I139" i="68" s="1"/>
  <c r="I138" i="68" a="1"/>
  <c r="I138" i="68" s="1"/>
  <c r="P141" i="68" a="1"/>
  <c r="P141" i="68" s="1"/>
  <c r="P140" i="68" a="1"/>
  <c r="P140" i="68" s="1"/>
  <c r="P122" i="68" a="1"/>
  <c r="P122" i="68" s="1"/>
  <c r="I128" i="68" a="1"/>
  <c r="I128" i="68" s="1"/>
  <c r="P83" i="68" a="1"/>
  <c r="P83" i="68" s="1"/>
  <c r="P129" i="68" a="1"/>
  <c r="P129" i="68" s="1"/>
  <c r="I124" i="68" a="1"/>
  <c r="I124" i="68" s="1"/>
  <c r="I84" i="68" a="1"/>
  <c r="I84" i="68" s="1"/>
  <c r="P121" i="68" a="1"/>
  <c r="P121" i="68" s="1"/>
  <c r="I127" i="68" a="1"/>
  <c r="I127" i="68" s="1"/>
  <c r="P82" i="68" a="1"/>
  <c r="P82" i="68" s="1"/>
  <c r="P128" i="68" a="1"/>
  <c r="P128" i="68" s="1"/>
  <c r="I123" i="68" a="1"/>
  <c r="I123" i="68" s="1"/>
  <c r="I83" i="68" a="1"/>
  <c r="I83" i="68" s="1"/>
  <c r="P124" i="68" a="1"/>
  <c r="P124" i="68" s="1"/>
  <c r="I130" i="68" a="1"/>
  <c r="I130" i="68" s="1"/>
  <c r="P81" i="68" a="1"/>
  <c r="P81" i="68" s="1"/>
  <c r="P127" i="68" a="1"/>
  <c r="P127" i="68" s="1"/>
  <c r="I122" i="68" a="1"/>
  <c r="I122" i="68" s="1"/>
  <c r="I82" i="68" a="1"/>
  <c r="I82" i="68" s="1"/>
  <c r="P123" i="68" a="1"/>
  <c r="P123" i="68" s="1"/>
  <c r="I129" i="68" a="1"/>
  <c r="I129" i="68" s="1"/>
  <c r="P84" i="68" a="1"/>
  <c r="P84" i="68" s="1"/>
  <c r="P130" i="68" a="1"/>
  <c r="P130" i="68" s="1"/>
  <c r="I121" i="68" a="1"/>
  <c r="I121" i="68" s="1"/>
  <c r="I81" i="68" a="1"/>
  <c r="I81" i="68" s="1"/>
  <c r="P150" i="66" a="1"/>
  <c r="P150" i="66" s="1"/>
  <c r="P297" i="66" a="1"/>
  <c r="P297" i="66" s="1"/>
  <c r="I297" i="66" a="1"/>
  <c r="I297" i="66" s="1"/>
  <c r="P299" i="66" a="1"/>
  <c r="P299" i="66" s="1"/>
  <c r="I299" i="66" a="1"/>
  <c r="I299" i="66" s="1"/>
  <c r="I237" i="66" a="1"/>
  <c r="I237" i="66" s="1"/>
  <c r="P276" i="66" a="1"/>
  <c r="P276" i="66" s="1"/>
  <c r="I239" i="66" a="1"/>
  <c r="I239" i="66" s="1"/>
  <c r="I276" i="66" a="1"/>
  <c r="I276" i="66" s="1"/>
  <c r="P110" i="66" a="1"/>
  <c r="P110" i="66" s="1"/>
  <c r="I110" i="66" a="1"/>
  <c r="I110" i="66" s="1"/>
  <c r="I188" i="66" a="1"/>
  <c r="I188" i="66" s="1"/>
  <c r="P188" i="66" a="1"/>
  <c r="P188" i="66" s="1"/>
  <c r="P165" i="66" a="1"/>
  <c r="P165" i="66" s="1"/>
  <c r="I165" i="66" a="1"/>
  <c r="I165" i="66" s="1"/>
  <c r="P285" i="66" a="1"/>
  <c r="P285" i="66" s="1"/>
  <c r="I285" i="66" a="1"/>
  <c r="I285" i="66" s="1"/>
  <c r="I174" i="66" a="1"/>
  <c r="I174" i="66" s="1"/>
  <c r="P174" i="66" a="1"/>
  <c r="P174" i="66" s="1"/>
  <c r="P312" i="66" a="1"/>
  <c r="P312" i="66" s="1"/>
  <c r="I312" i="66" a="1"/>
  <c r="I312" i="66" s="1"/>
  <c r="P252" i="66" a="1"/>
  <c r="P252" i="66" s="1"/>
  <c r="I252" i="66" a="1"/>
  <c r="I252" i="66" s="1"/>
  <c r="P261" i="66" a="1"/>
  <c r="P261" i="66" s="1"/>
  <c r="I261" i="66" a="1"/>
  <c r="I261" i="66" s="1"/>
  <c r="I201" i="66" a="1"/>
  <c r="I201" i="66" s="1"/>
  <c r="P228" i="66" a="1"/>
  <c r="P228" i="66" s="1"/>
  <c r="P219" i="66" a="1"/>
  <c r="P219" i="66" s="1"/>
  <c r="P210" i="66" a="1"/>
  <c r="P210" i="66" s="1"/>
  <c r="P201" i="66" a="1"/>
  <c r="P201" i="66" s="1"/>
  <c r="I228" i="66" a="1"/>
  <c r="I228" i="66" s="1"/>
  <c r="I219" i="66" a="1"/>
  <c r="I219" i="66" s="1"/>
  <c r="I210" i="66" a="1"/>
  <c r="I210" i="66" s="1"/>
  <c r="P141" i="66" a="1"/>
  <c r="P141" i="66" s="1"/>
  <c r="P123" i="66" a="1"/>
  <c r="P123" i="66" s="1"/>
  <c r="I123" i="66" a="1"/>
  <c r="I123" i="66" s="1"/>
  <c r="I132" i="66" a="1"/>
  <c r="I132" i="66" s="1"/>
  <c r="P132" i="66" a="1"/>
  <c r="P132" i="66" s="1"/>
  <c r="I141" i="66" a="1"/>
  <c r="I141" i="66" s="1"/>
  <c r="P239" i="66" a="1"/>
  <c r="P239" i="66" s="1"/>
  <c r="P237" i="66" a="1"/>
  <c r="P237" i="66" s="1"/>
  <c r="I150" i="66" a="1"/>
  <c r="I150" i="66" s="1"/>
  <c r="P107" i="68" l="1" a="1"/>
  <c r="P107" i="68" s="1"/>
  <c r="I95" i="68" a="1"/>
  <c r="I95" i="68" s="1"/>
  <c r="P95" i="68" a="1"/>
  <c r="P95" i="68" s="1"/>
  <c r="I101" i="68" a="1"/>
  <c r="I101" i="68" s="1"/>
  <c r="I113" i="68" a="1"/>
  <c r="I113" i="68" s="1"/>
  <c r="P101" i="68" a="1"/>
  <c r="P101" i="68" s="1"/>
  <c r="I107" i="68" a="1"/>
  <c r="I107" i="68" s="1"/>
  <c r="P113" i="68" a="1"/>
  <c r="P113" i="68" s="1"/>
  <c r="O73" i="98"/>
  <c r="O103" i="98"/>
  <c r="C17" i="57" l="1"/>
  <c r="C23" i="57" s="1"/>
  <c r="C29" i="57" s="1"/>
  <c r="C35" i="57" s="1"/>
  <c r="B183" i="52" l="1"/>
  <c r="C183" i="52"/>
  <c r="B109" i="52"/>
  <c r="C109" i="52"/>
  <c r="C29" i="61" l="1"/>
  <c r="C18" i="61" s="1"/>
  <c r="K27" i="61"/>
  <c r="G16" i="61"/>
  <c r="G17" i="61"/>
  <c r="G18" i="61"/>
  <c r="G19" i="61"/>
  <c r="G20" i="61"/>
  <c r="F17" i="61"/>
  <c r="F18" i="61"/>
  <c r="F19" i="61"/>
  <c r="F20" i="61"/>
  <c r="F16" i="61"/>
  <c r="M31" i="61"/>
  <c r="M20" i="61" s="1"/>
  <c r="M30" i="61"/>
  <c r="M29" i="61"/>
  <c r="M18" i="61" s="1"/>
  <c r="M28" i="61"/>
  <c r="M27" i="61"/>
  <c r="K31" i="61"/>
  <c r="K20" i="61" s="1"/>
  <c r="K30" i="61"/>
  <c r="K29" i="61"/>
  <c r="K18" i="61" s="1"/>
  <c r="K28" i="61"/>
  <c r="J31" i="61"/>
  <c r="J30" i="61"/>
  <c r="J19" i="61" s="1"/>
  <c r="J29" i="61"/>
  <c r="J28" i="61"/>
  <c r="J27" i="61"/>
  <c r="I31" i="61"/>
  <c r="I20" i="61" s="1"/>
  <c r="I30" i="61"/>
  <c r="I19" i="61" s="1"/>
  <c r="I29" i="61"/>
  <c r="I18" i="61" s="1"/>
  <c r="I28" i="61"/>
  <c r="I17" i="61" s="1"/>
  <c r="I27" i="61"/>
  <c r="I16" i="61" s="1"/>
  <c r="H31" i="61"/>
  <c r="H20" i="61" s="1"/>
  <c r="H30" i="61"/>
  <c r="H19" i="61" s="1"/>
  <c r="H29" i="61"/>
  <c r="H18" i="61" s="1"/>
  <c r="H28" i="61"/>
  <c r="H17" i="61" s="1"/>
  <c r="H27" i="61"/>
  <c r="H16" i="61" s="1"/>
  <c r="E31" i="61"/>
  <c r="E20" i="61" s="1"/>
  <c r="E30" i="61"/>
  <c r="E19" i="61" s="1"/>
  <c r="E29" i="61"/>
  <c r="E18" i="61" s="1"/>
  <c r="E28" i="61"/>
  <c r="E17" i="61" s="1"/>
  <c r="E27" i="61"/>
  <c r="E16" i="61" s="1"/>
  <c r="C28" i="61"/>
  <c r="C30" i="61"/>
  <c r="C19" i="61" s="1"/>
  <c r="C31" i="61"/>
  <c r="C20" i="61" s="1"/>
  <c r="J41" i="61"/>
  <c r="J38" i="61"/>
  <c r="J42" i="61"/>
  <c r="J40" i="61"/>
  <c r="J39" i="61"/>
  <c r="B54" i="61"/>
  <c r="B53" i="61"/>
  <c r="B52" i="61"/>
  <c r="B51" i="61"/>
  <c r="B50" i="61"/>
  <c r="J20" i="61" l="1"/>
  <c r="J18" i="61"/>
  <c r="J16" i="61"/>
  <c r="J17" i="61"/>
  <c r="K16" i="61"/>
  <c r="M19" i="61"/>
  <c r="K17" i="61"/>
  <c r="K19" i="61"/>
  <c r="C17" i="61"/>
  <c r="M16" i="61"/>
  <c r="M17" i="61"/>
  <c r="L3" i="58" l="1"/>
  <c r="M3" i="58"/>
  <c r="N12" i="58"/>
  <c r="N13" i="58"/>
  <c r="N14" i="58"/>
  <c r="N15" i="58"/>
  <c r="N16" i="58"/>
  <c r="N17" i="58"/>
  <c r="N22" i="58"/>
  <c r="N23" i="58"/>
  <c r="N24" i="58"/>
  <c r="N25" i="58"/>
  <c r="N26" i="58"/>
  <c r="N28" i="58"/>
  <c r="N29" i="58"/>
  <c r="N30" i="58"/>
  <c r="N32" i="58"/>
  <c r="N33" i="58"/>
  <c r="N34" i="58"/>
  <c r="N35" i="58"/>
  <c r="N36" i="58"/>
  <c r="N37" i="58"/>
  <c r="N40" i="58"/>
  <c r="N41" i="58"/>
  <c r="N42" i="58"/>
  <c r="N43" i="58"/>
  <c r="N46" i="58"/>
  <c r="N47" i="58"/>
  <c r="N51" i="58"/>
  <c r="N52" i="58"/>
  <c r="N53" i="58"/>
  <c r="N54" i="58"/>
  <c r="N55" i="58"/>
  <c r="N56" i="58"/>
  <c r="N58" i="58"/>
  <c r="N59" i="58"/>
  <c r="N60" i="58"/>
  <c r="N61" i="58"/>
  <c r="N62" i="58"/>
  <c r="N63" i="58"/>
  <c r="N69" i="58"/>
  <c r="N70" i="58"/>
  <c r="N71" i="58"/>
  <c r="N72" i="58"/>
  <c r="N75" i="58"/>
  <c r="N76" i="58"/>
  <c r="N79" i="58"/>
  <c r="N80" i="58"/>
  <c r="N81" i="58"/>
  <c r="N82" i="58"/>
  <c r="N83" i="58"/>
  <c r="N84" i="58"/>
  <c r="N87" i="58"/>
  <c r="N88" i="58"/>
  <c r="N89" i="58"/>
  <c r="N91" i="58"/>
  <c r="N92" i="58"/>
  <c r="N93" i="58"/>
  <c r="N94" i="58"/>
  <c r="N100" i="58"/>
  <c r="N101" i="58"/>
  <c r="N102" i="58"/>
  <c r="N103" i="58"/>
  <c r="N104" i="58"/>
  <c r="N106" i="58"/>
  <c r="N107" i="58"/>
  <c r="N110" i="58"/>
  <c r="N111" i="58"/>
  <c r="N112" i="58"/>
  <c r="N113" i="58"/>
  <c r="N115" i="58"/>
  <c r="N116" i="58"/>
  <c r="N117" i="58"/>
  <c r="N119" i="58"/>
  <c r="N120" i="58"/>
  <c r="N121" i="58"/>
  <c r="N122" i="58"/>
  <c r="N128" i="58"/>
  <c r="N129" i="58"/>
  <c r="N130" i="58"/>
  <c r="N131" i="58"/>
  <c r="N133" i="58"/>
  <c r="N134" i="58"/>
  <c r="N138" i="58"/>
  <c r="N139" i="58"/>
  <c r="N140" i="58"/>
  <c r="N141" i="58"/>
  <c r="N142" i="58"/>
  <c r="N143" i="58"/>
  <c r="N144" i="58"/>
  <c r="N148" i="58"/>
  <c r="N149" i="58"/>
  <c r="N150" i="58"/>
  <c r="N151" i="58"/>
  <c r="N157" i="58"/>
  <c r="N158" i="58"/>
  <c r="B39" i="61" l="1"/>
  <c r="B40" i="61"/>
  <c r="B41" i="61"/>
  <c r="B42" i="61"/>
  <c r="B38" i="61"/>
  <c r="N132" i="58" l="1"/>
  <c r="N105" i="58"/>
  <c r="N73" i="58"/>
  <c r="N74" i="58"/>
  <c r="N45" i="58"/>
  <c r="N44" i="58"/>
  <c r="B158" i="58" l="1"/>
  <c r="B129" i="58"/>
  <c r="B101" i="58"/>
  <c r="P10" i="66" l="1" a="1"/>
  <c r="P10" i="66" s="1"/>
  <c r="P73" i="66" a="1"/>
  <c r="P73" i="66" s="1"/>
  <c r="P83" i="66" a="1"/>
  <c r="P83" i="66" s="1"/>
  <c r="P206" i="66" a="1"/>
  <c r="P206" i="66" s="1"/>
  <c r="P26" i="66" a="1"/>
  <c r="P26" i="66" s="1"/>
  <c r="I13" i="66" a="1"/>
  <c r="I13" i="66" s="1"/>
  <c r="P56" i="66" a="1"/>
  <c r="P56" i="66" s="1"/>
  <c r="I170" i="66" a="1"/>
  <c r="I170" i="66" s="1"/>
  <c r="I59" i="66" a="1"/>
  <c r="I59" i="66" s="1"/>
  <c r="I238" i="66" a="1"/>
  <c r="I238" i="66" s="1"/>
  <c r="I240" i="66" a="1"/>
  <c r="I240" i="66" s="1"/>
  <c r="I109" i="66" a="1"/>
  <c r="I109" i="66" s="1"/>
  <c r="P172" i="66" a="1"/>
  <c r="P172" i="66" s="1"/>
  <c r="P251" i="66" a="1"/>
  <c r="P251" i="66" s="1"/>
  <c r="P260" i="66" a="1"/>
  <c r="P260" i="66" s="1"/>
  <c r="P139" i="66" a="1"/>
  <c r="P139" i="66" s="1"/>
  <c r="I130" i="66" a="1"/>
  <c r="I130" i="66" s="1"/>
  <c r="I260" i="66" a="1"/>
  <c r="I260" i="66" s="1"/>
  <c r="P23" i="66" a="1"/>
  <c r="P23" i="66" s="1"/>
  <c r="I23" i="66" a="1"/>
  <c r="I23" i="66" s="1"/>
  <c r="I83" i="66" a="1"/>
  <c r="I83" i="66" s="1"/>
  <c r="I26" i="66" a="1"/>
  <c r="I26" i="66" s="1"/>
  <c r="I12" i="66" a="1"/>
  <c r="I12" i="66" s="1"/>
  <c r="P13" i="66" a="1"/>
  <c r="P13" i="66" s="1"/>
  <c r="I92" i="66" a="1"/>
  <c r="I92" i="66" s="1"/>
  <c r="P35" i="66" a="1"/>
  <c r="P35" i="66" s="1"/>
  <c r="I95" i="66" a="1"/>
  <c r="I95" i="66" s="1"/>
  <c r="P149" i="66" a="1"/>
  <c r="P149" i="66" s="1"/>
  <c r="I298" i="66" a="1"/>
  <c r="I298" i="66" s="1"/>
  <c r="P275" i="66" a="1"/>
  <c r="P275" i="66" s="1"/>
  <c r="P186" i="66" a="1"/>
  <c r="P186" i="66" s="1"/>
  <c r="P163" i="66" a="1"/>
  <c r="P163" i="66" s="1"/>
  <c r="I173" i="66" a="1"/>
  <c r="I173" i="66" s="1"/>
  <c r="P313" i="66" a="1"/>
  <c r="P313" i="66" s="1"/>
  <c r="P131" i="66" a="1"/>
  <c r="P131" i="66" s="1"/>
  <c r="P240" i="66" a="1"/>
  <c r="P240" i="66" s="1"/>
  <c r="I149" i="66" a="1"/>
  <c r="I149" i="66" s="1"/>
  <c r="I70" i="66" a="1"/>
  <c r="I70" i="66" s="1"/>
  <c r="I73" i="66" a="1"/>
  <c r="I73" i="66" s="1"/>
  <c r="I184" i="66" a="1"/>
  <c r="I184" i="66" s="1"/>
  <c r="I161" i="66" a="1"/>
  <c r="I161" i="66" s="1"/>
  <c r="P12" i="66" a="1"/>
  <c r="P12" i="66" s="1"/>
  <c r="P146" i="66" a="1"/>
  <c r="P146" i="66" s="1"/>
  <c r="I56" i="66" a="1"/>
  <c r="I56" i="66" s="1"/>
  <c r="I58" i="66" a="1"/>
  <c r="I58" i="66" s="1"/>
  <c r="P95" i="66" a="1"/>
  <c r="P95" i="66" s="1"/>
  <c r="P148" i="66" a="1"/>
  <c r="P148" i="66" s="1"/>
  <c r="P298" i="66" a="1"/>
  <c r="P298" i="66" s="1"/>
  <c r="I275" i="66" a="1"/>
  <c r="I275" i="66" s="1"/>
  <c r="I186" i="66" a="1"/>
  <c r="I186" i="66" s="1"/>
  <c r="P109" i="66" a="1"/>
  <c r="P109" i="66" s="1"/>
  <c r="P173" i="66" a="1"/>
  <c r="P173" i="66" s="1"/>
  <c r="I313" i="66" a="1"/>
  <c r="I313" i="66" s="1"/>
  <c r="P217" i="66" a="1"/>
  <c r="P217" i="66" s="1"/>
  <c r="I226" i="66" a="1"/>
  <c r="I226" i="66" s="1"/>
  <c r="I208" i="66" a="1"/>
  <c r="I208" i="66" s="1"/>
  <c r="P199" i="66" a="1"/>
  <c r="P199" i="66" s="1"/>
  <c r="P121" i="66" a="1"/>
  <c r="P121" i="66" s="1"/>
  <c r="P130" i="66" a="1"/>
  <c r="P130" i="66" s="1"/>
  <c r="P218" i="66" a="1"/>
  <c r="P218" i="66" s="1"/>
  <c r="P70" i="66" a="1"/>
  <c r="P70" i="66" s="1"/>
  <c r="P47" i="66" a="1"/>
  <c r="P47" i="66" s="1"/>
  <c r="P184" i="66" a="1"/>
  <c r="P184" i="66" s="1"/>
  <c r="P25" i="66" a="1"/>
  <c r="P25" i="66" s="1"/>
  <c r="P85" i="66" a="1"/>
  <c r="P85" i="66" s="1"/>
  <c r="I32" i="66" a="1"/>
  <c r="I32" i="66" s="1"/>
  <c r="I34" i="66" a="1"/>
  <c r="I34" i="66" s="1"/>
  <c r="P58" i="66" a="1"/>
  <c r="P58" i="66" s="1"/>
  <c r="P137" i="66" a="1"/>
  <c r="P137" i="66" s="1"/>
  <c r="I108" i="66" a="1"/>
  <c r="I108" i="66" s="1"/>
  <c r="P284" i="66" a="1"/>
  <c r="P284" i="66" s="1"/>
  <c r="I217" i="66" a="1"/>
  <c r="I217" i="66" s="1"/>
  <c r="P209" i="66" a="1"/>
  <c r="P209" i="66" s="1"/>
  <c r="I121" i="66" a="1"/>
  <c r="I121" i="66" s="1"/>
  <c r="I131" i="66" a="1"/>
  <c r="I131" i="66" s="1"/>
  <c r="P238" i="66" a="1"/>
  <c r="P238" i="66" s="1"/>
  <c r="I218" i="66" a="1"/>
  <c r="I218" i="66" s="1"/>
  <c r="I139" i="66" a="1"/>
  <c r="I139" i="66" s="1"/>
  <c r="I197" i="66" a="1"/>
  <c r="I197" i="66" s="1"/>
  <c r="P119" i="66" a="1"/>
  <c r="P119" i="66" s="1"/>
  <c r="P106" i="66" a="1"/>
  <c r="P106" i="66" s="1"/>
  <c r="P161" i="66" a="1"/>
  <c r="P161" i="66" s="1"/>
  <c r="I50" i="66" a="1"/>
  <c r="I50" i="66" s="1"/>
  <c r="I128" i="66" a="1"/>
  <c r="I128" i="66" s="1"/>
  <c r="P215" i="66" a="1"/>
  <c r="P215" i="66" s="1"/>
  <c r="I94" i="66" a="1"/>
  <c r="I94" i="66" s="1"/>
  <c r="I137" i="66" a="1"/>
  <c r="I137" i="66" s="1"/>
  <c r="P108" i="66" a="1"/>
  <c r="P108" i="66" s="1"/>
  <c r="I284" i="66" a="1"/>
  <c r="I284" i="66" s="1"/>
  <c r="I253" i="66" a="1"/>
  <c r="I253" i="66" s="1"/>
  <c r="I262" i="66" a="1"/>
  <c r="I262" i="66" s="1"/>
  <c r="P208" i="66" a="1"/>
  <c r="P208" i="66" s="1"/>
  <c r="I200" i="66" a="1"/>
  <c r="I200" i="66" s="1"/>
  <c r="I199" i="66" a="1"/>
  <c r="I199" i="66" s="1"/>
  <c r="I122" i="66" a="1"/>
  <c r="I122" i="66" s="1"/>
  <c r="P197" i="66" a="1"/>
  <c r="P197" i="66" s="1"/>
  <c r="I47" i="66" a="1"/>
  <c r="I47" i="66" s="1"/>
  <c r="I25" i="66" a="1"/>
  <c r="I25" i="66" s="1"/>
  <c r="I85" i="66" a="1"/>
  <c r="I85" i="66" s="1"/>
  <c r="P50" i="66" a="1"/>
  <c r="P50" i="66" s="1"/>
  <c r="P128" i="66" a="1"/>
  <c r="P128" i="66" s="1"/>
  <c r="I215" i="66" a="1"/>
  <c r="I215" i="66" s="1"/>
  <c r="P94" i="66" a="1"/>
  <c r="P94" i="66" s="1"/>
  <c r="I224" i="66" a="1"/>
  <c r="I224" i="66" s="1"/>
  <c r="I300" i="66" a="1"/>
  <c r="I300" i="66" s="1"/>
  <c r="I187" i="66" a="1"/>
  <c r="I187" i="66" s="1"/>
  <c r="P164" i="66" a="1"/>
  <c r="P164" i="66" s="1"/>
  <c r="I227" i="66" a="1"/>
  <c r="I227" i="66" s="1"/>
  <c r="I251" i="66" a="1"/>
  <c r="I251" i="66" s="1"/>
  <c r="P253" i="66" a="1"/>
  <c r="P253" i="66" s="1"/>
  <c r="P122" i="66" a="1"/>
  <c r="P122" i="66" s="1"/>
  <c r="I148" i="66" a="1"/>
  <c r="I148" i="66" s="1"/>
  <c r="P226" i="66" a="1"/>
  <c r="P226" i="66" s="1"/>
  <c r="P72" i="66" a="1"/>
  <c r="P72" i="66" s="1"/>
  <c r="I10" i="66" a="1"/>
  <c r="I10" i="66" s="1"/>
  <c r="I119" i="66" a="1"/>
  <c r="I119" i="66" s="1"/>
  <c r="P49" i="66" a="1"/>
  <c r="P49" i="66" s="1"/>
  <c r="I86" i="66" a="1"/>
  <c r="I86" i="66" s="1"/>
  <c r="P92" i="66" a="1"/>
  <c r="P92" i="66" s="1"/>
  <c r="P170" i="66" a="1"/>
  <c r="P170" i="66" s="1"/>
  <c r="I35" i="66" a="1"/>
  <c r="I35" i="66" s="1"/>
  <c r="P224" i="66" a="1"/>
  <c r="P224" i="66" s="1"/>
  <c r="P300" i="66" a="1"/>
  <c r="P300" i="66" s="1"/>
  <c r="I277" i="66" a="1"/>
  <c r="I277" i="66" s="1"/>
  <c r="P187" i="66" a="1"/>
  <c r="P187" i="66" s="1"/>
  <c r="I164" i="66" a="1"/>
  <c r="I164" i="66" s="1"/>
  <c r="P311" i="66" a="1"/>
  <c r="P311" i="66" s="1"/>
  <c r="P200" i="66" a="1"/>
  <c r="P200" i="66" s="1"/>
  <c r="I72" i="66" a="1"/>
  <c r="I72" i="66" s="1"/>
  <c r="I106" i="66" a="1"/>
  <c r="I106" i="66" s="1"/>
  <c r="I206" i="66" a="1"/>
  <c r="I206" i="66" s="1"/>
  <c r="I49" i="66" a="1"/>
  <c r="I49" i="66" s="1"/>
  <c r="P86" i="66" a="1"/>
  <c r="P86" i="66" s="1"/>
  <c r="P32" i="66" a="1"/>
  <c r="P32" i="66" s="1"/>
  <c r="P34" i="66" a="1"/>
  <c r="P34" i="66" s="1"/>
  <c r="P59" i="66" a="1"/>
  <c r="P59" i="66" s="1"/>
  <c r="I146" i="66" a="1"/>
  <c r="I146" i="66" s="1"/>
  <c r="P277" i="66" a="1"/>
  <c r="P277" i="66" s="1"/>
  <c r="I163" i="66" a="1"/>
  <c r="I163" i="66" s="1"/>
  <c r="I172" i="66" a="1"/>
  <c r="I172" i="66" s="1"/>
  <c r="I311" i="66" a="1"/>
  <c r="I311" i="66" s="1"/>
  <c r="P262" i="66" a="1"/>
  <c r="P262" i="66" s="1"/>
  <c r="I209" i="66" a="1"/>
  <c r="I209" i="66" s="1"/>
  <c r="P227" i="66" a="1"/>
  <c r="P227" i="66" s="1"/>
  <c r="P140" i="66" a="1"/>
  <c r="P140" i="66" s="1"/>
  <c r="I140" i="66" a="1"/>
  <c r="I140" i="66" s="1"/>
  <c r="N98" i="52"/>
  <c r="I112" i="66" l="1" a="1"/>
  <c r="I112" i="66" s="1"/>
  <c r="I113" i="66" s="1"/>
  <c r="L52" i="113" s="1" a="1"/>
  <c r="L52" i="113" s="1"/>
  <c r="I16" i="66" a="1"/>
  <c r="I16" i="66" s="1"/>
  <c r="I17" i="66" s="1"/>
  <c r="M52" i="108" s="1" a="1"/>
  <c r="M52" i="108" s="1"/>
  <c r="I190" i="66" a="1"/>
  <c r="I190" i="66" s="1"/>
  <c r="I76" i="66" a="1"/>
  <c r="I76" i="66" s="1"/>
  <c r="I77" i="66" s="1"/>
  <c r="AE52" i="108" s="1" a="1"/>
  <c r="AE52" i="108" s="1"/>
  <c r="G79" i="58"/>
  <c r="C20" i="58"/>
  <c r="I170" i="68" l="1" a="1"/>
  <c r="I170" i="68" s="1"/>
  <c r="P170" i="68" a="1"/>
  <c r="P170" i="68" s="1"/>
  <c r="P164" i="68" a="1"/>
  <c r="P164" i="68" s="1"/>
  <c r="I164" i="68" a="1"/>
  <c r="I164" i="68" s="1"/>
  <c r="I152" i="68" a="1"/>
  <c r="I152" i="68" s="1"/>
  <c r="P158" i="68" a="1"/>
  <c r="P158" i="68" s="1"/>
  <c r="I158" i="68" a="1"/>
  <c r="I158" i="68" s="1"/>
  <c r="P152" i="68" a="1"/>
  <c r="P152" i="68" s="1"/>
  <c r="P234" i="68" a="1"/>
  <c r="P234" i="68" s="1"/>
  <c r="P189" i="68" a="1"/>
  <c r="P189" i="68" s="1"/>
  <c r="I190" i="68" a="1"/>
  <c r="I190" i="68" s="1"/>
  <c r="P232" i="68" a="1"/>
  <c r="P232" i="68" s="1"/>
  <c r="I233" i="68" a="1"/>
  <c r="I233" i="68" s="1"/>
  <c r="I189" i="68" a="1"/>
  <c r="I189" i="68" s="1"/>
  <c r="P233" i="68" a="1"/>
  <c r="P233" i="68" s="1"/>
  <c r="I235" i="68" a="1"/>
  <c r="I235" i="68" s="1"/>
  <c r="P190" i="68" a="1"/>
  <c r="P190" i="68" s="1"/>
  <c r="P188" i="68" a="1"/>
  <c r="P188" i="68" s="1"/>
  <c r="I187" i="68" a="1"/>
  <c r="I187" i="68" s="1"/>
  <c r="I188" i="68" a="1"/>
  <c r="I188" i="68" s="1"/>
  <c r="P235" i="68" a="1"/>
  <c r="P235" i="68" s="1"/>
  <c r="I232" i="68" a="1"/>
  <c r="I232" i="68" s="1"/>
  <c r="P187" i="68" a="1"/>
  <c r="P187" i="68" s="1"/>
  <c r="I234" i="68" a="1"/>
  <c r="I234" i="68" s="1"/>
  <c r="I193" i="68" a="1"/>
  <c r="I193" i="68" s="1"/>
  <c r="H120" i="98" a="1"/>
  <c r="H120" i="98" s="1"/>
  <c r="O150" i="98" a="1"/>
  <c r="O150" i="98" s="1"/>
  <c r="P194" i="68" a="1"/>
  <c r="P194" i="68" s="1"/>
  <c r="O149" i="98" a="1"/>
  <c r="O149" i="98" s="1"/>
  <c r="I195" i="68" a="1"/>
  <c r="I195" i="68" s="1"/>
  <c r="I196" i="68" a="1"/>
  <c r="I196" i="68" s="1"/>
  <c r="O152" i="98" a="1"/>
  <c r="O152" i="98" s="1"/>
  <c r="I241" i="68" a="1"/>
  <c r="I241" i="68" s="1"/>
  <c r="H149" i="98" a="1"/>
  <c r="H149" i="98" s="1"/>
  <c r="H150" i="98" a="1"/>
  <c r="H150" i="98" s="1"/>
  <c r="P238" i="68" a="1"/>
  <c r="P238" i="68" s="1"/>
  <c r="I238" i="68" a="1"/>
  <c r="I238" i="68" s="1"/>
  <c r="H121" i="98" a="1"/>
  <c r="H121" i="98" s="1"/>
  <c r="O151" i="98" a="1"/>
  <c r="O151" i="98" s="1"/>
  <c r="H151" i="98" a="1"/>
  <c r="H151" i="98" s="1"/>
  <c r="I239" i="68" a="1"/>
  <c r="I239" i="68" s="1"/>
  <c r="P195" i="68" a="1"/>
  <c r="P195" i="68" s="1"/>
  <c r="P239" i="68" a="1"/>
  <c r="P239" i="68" s="1"/>
  <c r="H152" i="98" a="1"/>
  <c r="H152" i="98" s="1"/>
  <c r="H122" i="98" a="1"/>
  <c r="H122" i="98" s="1"/>
  <c r="P240" i="68" a="1"/>
  <c r="P240" i="68" s="1"/>
  <c r="P196" i="68" a="1"/>
  <c r="P196" i="68" s="1"/>
  <c r="I240" i="68" a="1"/>
  <c r="I240" i="68" s="1"/>
  <c r="P241" i="68" a="1"/>
  <c r="P241" i="68" s="1"/>
  <c r="P193" i="68" a="1"/>
  <c r="P193" i="68" s="1"/>
  <c r="H119" i="98" a="1"/>
  <c r="H119" i="98" s="1"/>
  <c r="O119" i="98" a="1"/>
  <c r="O119" i="98" s="1"/>
  <c r="O120" i="98" a="1"/>
  <c r="O120" i="98" s="1"/>
  <c r="I194" i="68" a="1"/>
  <c r="I194" i="68" s="1"/>
  <c r="O121" i="98" a="1"/>
  <c r="O121" i="98" s="1"/>
  <c r="O122" i="98" a="1"/>
  <c r="O122" i="98" s="1"/>
  <c r="P206" i="68" a="1"/>
  <c r="P206" i="68" s="1"/>
  <c r="I214" i="68" a="1"/>
  <c r="I214" i="68" s="1"/>
  <c r="P180" i="68" a="1"/>
  <c r="P180" i="68" s="1"/>
  <c r="P224" i="68" a="1"/>
  <c r="P224" i="68" s="1"/>
  <c r="I211" i="68" a="1"/>
  <c r="I211" i="68" s="1"/>
  <c r="P223" i="68" a="1"/>
  <c r="P223" i="68" s="1"/>
  <c r="P214" i="68" a="1"/>
  <c r="P214" i="68" s="1"/>
  <c r="I224" i="68" a="1"/>
  <c r="I224" i="68" s="1"/>
  <c r="I177" i="68" a="1"/>
  <c r="I177" i="68" s="1"/>
  <c r="P205" i="68" a="1"/>
  <c r="P205" i="68" s="1"/>
  <c r="I213" i="68" a="1"/>
  <c r="I213" i="68" s="1"/>
  <c r="P179" i="68" a="1"/>
  <c r="P179" i="68" s="1"/>
  <c r="I208" i="68" a="1"/>
  <c r="I208" i="68" s="1"/>
  <c r="P222" i="68" a="1"/>
  <c r="P222" i="68" s="1"/>
  <c r="I207" i="68" a="1"/>
  <c r="I207" i="68" s="1"/>
  <c r="P178" i="68" a="1"/>
  <c r="P178" i="68" s="1"/>
  <c r="I206" i="68" a="1"/>
  <c r="I206" i="68" s="1"/>
  <c r="P213" i="68" a="1"/>
  <c r="P213" i="68" s="1"/>
  <c r="I205" i="68" a="1"/>
  <c r="I205" i="68" s="1"/>
  <c r="P212" i="68" a="1"/>
  <c r="P212" i="68" s="1"/>
  <c r="I225" i="68" a="1"/>
  <c r="I225" i="68" s="1"/>
  <c r="P211" i="68" a="1"/>
  <c r="P211" i="68" s="1"/>
  <c r="I179" i="68" a="1"/>
  <c r="I179" i="68" s="1"/>
  <c r="P225" i="68" a="1"/>
  <c r="P225" i="68" s="1"/>
  <c r="I212" i="68" a="1"/>
  <c r="I212" i="68" s="1"/>
  <c r="P177" i="68" a="1"/>
  <c r="P177" i="68" s="1"/>
  <c r="I180" i="68" a="1"/>
  <c r="I180" i="68" s="1"/>
  <c r="I223" i="68" a="1"/>
  <c r="I223" i="68" s="1"/>
  <c r="P208" i="68" a="1"/>
  <c r="P208" i="68" s="1"/>
  <c r="I178" i="68" a="1"/>
  <c r="I178" i="68" s="1"/>
  <c r="P207" i="68" a="1"/>
  <c r="P207" i="68" s="1"/>
  <c r="I222" i="68" a="1"/>
  <c r="I222" i="68" s="1"/>
  <c r="O417" i="66" a="1"/>
  <c r="O417" i="66" s="1"/>
  <c r="H417" i="66" a="1"/>
  <c r="H417" i="66" s="1"/>
  <c r="I333" i="66" a="1"/>
  <c r="I333" i="66" s="1"/>
  <c r="I279" i="66" a="1"/>
  <c r="I279" i="66" s="1"/>
  <c r="P302" i="66" a="1"/>
  <c r="P302" i="66" s="1"/>
  <c r="I405" i="66" a="1"/>
  <c r="I405" i="66" s="1"/>
  <c r="I404" i="66" a="1"/>
  <c r="I404" i="66" s="1"/>
  <c r="I403" i="66" a="1"/>
  <c r="I403" i="66" s="1"/>
  <c r="I302" i="66" a="1"/>
  <c r="I302" i="66" s="1"/>
  <c r="P279" i="66" a="1"/>
  <c r="P279" i="66" s="1"/>
  <c r="I242" i="66" a="1"/>
  <c r="I242" i="66" s="1"/>
  <c r="I402" i="66" a="1"/>
  <c r="I402" i="66" s="1"/>
  <c r="P402" i="66" a="1"/>
  <c r="P402" i="66" s="1"/>
  <c r="P333" i="66" a="1"/>
  <c r="P333" i="66" s="1"/>
  <c r="P403" i="66" a="1"/>
  <c r="P403" i="66" s="1"/>
  <c r="P404" i="66" a="1"/>
  <c r="P404" i="66" s="1"/>
  <c r="P405" i="66" a="1"/>
  <c r="P405" i="66" s="1"/>
  <c r="P255" i="66" a="1"/>
  <c r="P255" i="66" s="1"/>
  <c r="I255" i="66" a="1"/>
  <c r="I255" i="66" s="1"/>
  <c r="P264" i="66" a="1"/>
  <c r="P264" i="66" s="1"/>
  <c r="I264" i="66" a="1"/>
  <c r="I264" i="66" s="1"/>
  <c r="P242" i="66" a="1"/>
  <c r="P242" i="66" s="1"/>
  <c r="G110" i="58"/>
  <c r="I525" i="66" l="1" a="1"/>
  <c r="I525" i="66" s="1"/>
  <c r="P536" i="66" a="1"/>
  <c r="P536" i="66" s="1"/>
  <c r="I535" i="66" a="1"/>
  <c r="I535" i="66" s="1"/>
  <c r="P525" i="66" a="1"/>
  <c r="P525" i="66" s="1"/>
  <c r="I513" i="66" a="1"/>
  <c r="I513" i="66" s="1"/>
  <c r="I526" i="66" a="1"/>
  <c r="I526" i="66" s="1"/>
  <c r="P534" i="66" a="1"/>
  <c r="P534" i="66" s="1"/>
  <c r="P524" i="66" a="1"/>
  <c r="P524" i="66" s="1"/>
  <c r="P526" i="66" a="1"/>
  <c r="P526" i="66" s="1"/>
  <c r="I524" i="66" a="1"/>
  <c r="I524" i="66" s="1"/>
  <c r="I534" i="66" a="1"/>
  <c r="I534" i="66" s="1"/>
  <c r="I533" i="66" a="1"/>
  <c r="I533" i="66" s="1"/>
  <c r="P535" i="66" a="1"/>
  <c r="P535" i="66" s="1"/>
  <c r="I523" i="66" a="1"/>
  <c r="I523" i="66" s="1"/>
  <c r="I536" i="66" a="1"/>
  <c r="I536" i="66" s="1"/>
  <c r="I516" i="66" a="1"/>
  <c r="I516" i="66" s="1"/>
  <c r="I514" i="66" a="1"/>
  <c r="I514" i="66" s="1"/>
  <c r="I515" i="66" a="1"/>
  <c r="I515" i="66" s="1"/>
  <c r="P516" i="66" a="1"/>
  <c r="P516" i="66" s="1"/>
  <c r="P514" i="66" a="1"/>
  <c r="P514" i="66" s="1"/>
  <c r="P515" i="66" a="1"/>
  <c r="P515" i="66" s="1"/>
  <c r="P191" i="68" a="1"/>
  <c r="P191" i="68" s="1"/>
  <c r="P236" i="68" a="1"/>
  <c r="P236" i="68" s="1"/>
  <c r="I191" i="68" a="1"/>
  <c r="I191" i="68" s="1"/>
  <c r="I236" i="68" a="1"/>
  <c r="I236" i="68" s="1"/>
  <c r="P226" i="68" a="1"/>
  <c r="P226" i="68" s="1"/>
  <c r="I242" i="68" a="1"/>
  <c r="I242" i="68" s="1"/>
  <c r="P242" i="68" a="1"/>
  <c r="P242" i="68" s="1"/>
  <c r="P197" i="68" a="1"/>
  <c r="P197" i="68" s="1"/>
  <c r="I197" i="68" a="1"/>
  <c r="I197" i="68" s="1"/>
  <c r="I261" i="68" a="1"/>
  <c r="I261" i="68" s="1"/>
  <c r="I297" i="68" a="1"/>
  <c r="I297" i="68" s="1"/>
  <c r="P301" i="68" a="1"/>
  <c r="P301" i="68" s="1"/>
  <c r="P261" i="68" a="1"/>
  <c r="P261" i="68" s="1"/>
  <c r="I300" i="68" a="1"/>
  <c r="I300" i="68" s="1"/>
  <c r="I258" i="68" a="1"/>
  <c r="I258" i="68" s="1"/>
  <c r="I262" i="68" a="1"/>
  <c r="I262" i="68" s="1"/>
  <c r="I257" i="68" a="1"/>
  <c r="I257" i="68" s="1"/>
  <c r="P257" i="68" a="1"/>
  <c r="P257" i="68" s="1"/>
  <c r="P300" i="68" a="1"/>
  <c r="P300" i="68" s="1"/>
  <c r="I296" i="68" a="1"/>
  <c r="I296" i="68" s="1"/>
  <c r="P297" i="68" a="1"/>
  <c r="P297" i="68" s="1"/>
  <c r="I301" i="68" a="1"/>
  <c r="I301" i="68" s="1"/>
  <c r="P258" i="68" a="1"/>
  <c r="P258" i="68" s="1"/>
  <c r="P296" i="68" a="1"/>
  <c r="P296" i="68" s="1"/>
  <c r="P262" i="68" a="1"/>
  <c r="P262" i="68" s="1"/>
  <c r="I420" i="66" a="1"/>
  <c r="I420" i="66" s="1"/>
  <c r="P548" i="66" a="1"/>
  <c r="P548" i="66" s="1"/>
  <c r="H200" i="98" a="1"/>
  <c r="H200" i="98" s="1"/>
  <c r="I304" i="68" a="1"/>
  <c r="I304" i="68" s="1"/>
  <c r="H172" i="98" a="1"/>
  <c r="H172" i="98" s="1"/>
  <c r="H171" i="98" a="1"/>
  <c r="H171" i="98" s="1"/>
  <c r="H170" i="98" a="1"/>
  <c r="H170" i="98" s="1"/>
  <c r="H169" i="98" a="1"/>
  <c r="H169" i="98" s="1"/>
  <c r="O199" i="98" a="1"/>
  <c r="O199" i="98" s="1"/>
  <c r="O200" i="98" a="1"/>
  <c r="O200" i="98" s="1"/>
  <c r="P266" i="68" a="1"/>
  <c r="P266" i="68" s="1"/>
  <c r="H201" i="98" a="1"/>
  <c r="H201" i="98" s="1"/>
  <c r="P305" i="68" a="1"/>
  <c r="P305" i="68" s="1"/>
  <c r="I266" i="68" a="1"/>
  <c r="I266" i="68" s="1"/>
  <c r="O170" i="98" a="1"/>
  <c r="O170" i="98" s="1"/>
  <c r="O201" i="98" a="1"/>
  <c r="O201" i="98" s="1"/>
  <c r="H202" i="98" a="1"/>
  <c r="H202" i="98" s="1"/>
  <c r="O171" i="98" a="1"/>
  <c r="O171" i="98" s="1"/>
  <c r="I265" i="68" a="1"/>
  <c r="I265" i="68" s="1"/>
  <c r="O123" i="98"/>
  <c r="O169" i="98" a="1"/>
  <c r="O169" i="98" s="1"/>
  <c r="O202" i="98" a="1"/>
  <c r="O202" i="98" s="1"/>
  <c r="I305" i="68" a="1"/>
  <c r="I305" i="68" s="1"/>
  <c r="H199" i="98" a="1"/>
  <c r="H199" i="98" s="1"/>
  <c r="O172" i="98" a="1"/>
  <c r="O172" i="98" s="1"/>
  <c r="P304" i="68" a="1"/>
  <c r="P304" i="68" s="1"/>
  <c r="O153" i="98"/>
  <c r="P265" i="68" a="1"/>
  <c r="P265" i="68" s="1"/>
  <c r="P249" i="68" a="1"/>
  <c r="P249" i="68" s="1"/>
  <c r="P250" i="68" a="1"/>
  <c r="P250" i="68" s="1"/>
  <c r="P279" i="68" a="1"/>
  <c r="P279" i="68" s="1"/>
  <c r="I275" i="68" a="1"/>
  <c r="I275" i="68" s="1"/>
  <c r="I279" i="68" a="1"/>
  <c r="I279" i="68" s="1"/>
  <c r="P276" i="68" a="1"/>
  <c r="P276" i="68" s="1"/>
  <c r="I250" i="68" a="1"/>
  <c r="I250" i="68" s="1"/>
  <c r="P280" i="68" a="1"/>
  <c r="P280" i="68" s="1"/>
  <c r="I288" i="68" a="1"/>
  <c r="I288" i="68" s="1"/>
  <c r="P288" i="68" a="1"/>
  <c r="P288" i="68" s="1"/>
  <c r="I289" i="68" a="1"/>
  <c r="I289" i="68" s="1"/>
  <c r="P275" i="68" a="1"/>
  <c r="P275" i="68" s="1"/>
  <c r="I280" i="68" a="1"/>
  <c r="I280" i="68" s="1"/>
  <c r="I249" i="68" a="1"/>
  <c r="I249" i="68" s="1"/>
  <c r="I276" i="68" a="1"/>
  <c r="I276" i="68" s="1"/>
  <c r="P289" i="68" a="1"/>
  <c r="P289" i="68" s="1"/>
  <c r="I548" i="66" a="1"/>
  <c r="I548" i="66" s="1"/>
  <c r="P447" i="66" a="1"/>
  <c r="P447" i="66" s="1"/>
  <c r="I447" i="66" a="1"/>
  <c r="I447" i="66" s="1"/>
  <c r="O442" i="66"/>
  <c r="AP52" i="115" s="1" a="1"/>
  <c r="AP52" i="115" s="1"/>
  <c r="P463" i="66" a="1"/>
  <c r="P463" i="66" s="1"/>
  <c r="I463" i="66" a="1"/>
  <c r="I463" i="66" s="1"/>
  <c r="P462" i="66" a="1"/>
  <c r="P462" i="66" s="1"/>
  <c r="I464" i="66" a="1"/>
  <c r="I464" i="66" s="1"/>
  <c r="P464" i="66" a="1"/>
  <c r="P464" i="66" s="1"/>
  <c r="I462" i="66" a="1"/>
  <c r="I462" i="66" s="1"/>
  <c r="G137" i="58"/>
  <c r="H239" i="66" s="1" a="1"/>
  <c r="H239" i="66" s="1"/>
  <c r="H245" i="66" s="1"/>
  <c r="K52" i="114" s="1" a="1"/>
  <c r="K52" i="114" s="1"/>
  <c r="O185" i="66" l="1" a="1"/>
  <c r="O185" i="66" s="1"/>
  <c r="O191" i="66" s="1"/>
  <c r="AN52" i="113" s="1" a="1"/>
  <c r="AN52" i="113" s="1"/>
  <c r="O252" i="66" a="1"/>
  <c r="O252" i="66" s="1"/>
  <c r="O268" i="66" s="1"/>
  <c r="P406" i="66" a="1"/>
  <c r="P406" i="66" s="1"/>
  <c r="O550" i="66" a="1"/>
  <c r="O550" i="66" s="1"/>
  <c r="P278" i="66" a="1"/>
  <c r="P278" i="66" s="1"/>
  <c r="H252" i="66" a="1"/>
  <c r="H252" i="66" s="1"/>
  <c r="H564" i="66" a="1"/>
  <c r="H564" i="66" s="1"/>
  <c r="AK53" i="116" s="1" a="1"/>
  <c r="AK53" i="116" s="1"/>
  <c r="O239" i="66" a="1"/>
  <c r="O239" i="66" s="1"/>
  <c r="O245" i="66" s="1"/>
  <c r="O52" i="114" s="1" a="1"/>
  <c r="O52" i="114" s="1"/>
  <c r="I301" i="66" a="1"/>
  <c r="I301" i="66" s="1"/>
  <c r="I304" i="66" s="1" a="1"/>
  <c r="I304" i="66" s="1"/>
  <c r="I305" i="66" s="1"/>
  <c r="AD52" i="114" s="1" a="1"/>
  <c r="AD52" i="114" s="1"/>
  <c r="O564" i="66" a="1"/>
  <c r="O564" i="66" s="1"/>
  <c r="O198" i="66" a="1"/>
  <c r="O198" i="66" s="1"/>
  <c r="O232" i="66" s="1"/>
  <c r="BA52" i="113" s="1" a="1"/>
  <c r="BA52" i="113" s="1"/>
  <c r="O449" i="66" a="1"/>
  <c r="O449" i="66" s="1"/>
  <c r="O456" i="66" s="1"/>
  <c r="O52" i="116" s="1" a="1"/>
  <c r="O52" i="116" s="1"/>
  <c r="H550" i="66" a="1"/>
  <c r="H550" i="66" s="1"/>
  <c r="H185" i="66" a="1"/>
  <c r="H185" i="66" s="1"/>
  <c r="H191" i="66" s="1"/>
  <c r="AJ52" i="113" s="1" a="1"/>
  <c r="AJ52" i="113" s="1"/>
  <c r="P263" i="66" a="1"/>
  <c r="P263" i="66" s="1"/>
  <c r="I406" i="66" a="1"/>
  <c r="I406" i="66" s="1"/>
  <c r="O107" i="66" a="1"/>
  <c r="O107" i="66" s="1"/>
  <c r="O113" i="66" s="1"/>
  <c r="O52" i="113" s="1" a="1"/>
  <c r="O52" i="113" s="1"/>
  <c r="O120" i="66" a="1"/>
  <c r="O120" i="66" s="1"/>
  <c r="O154" i="66" s="1"/>
  <c r="I278" i="66" a="1"/>
  <c r="I278" i="66" s="1"/>
  <c r="P254" i="66" a="1"/>
  <c r="P254" i="66" s="1"/>
  <c r="I263" i="66" a="1"/>
  <c r="I263" i="66" s="1"/>
  <c r="P241" i="66" a="1"/>
  <c r="P241" i="66" s="1"/>
  <c r="I241" i="66" a="1"/>
  <c r="I241" i="66" s="1"/>
  <c r="I244" i="66" s="1" a="1"/>
  <c r="I244" i="66" s="1"/>
  <c r="P301" i="66" a="1"/>
  <c r="P301" i="66" s="1"/>
  <c r="I254" i="66" a="1"/>
  <c r="I254" i="66" s="1"/>
  <c r="H449" i="66" a="1"/>
  <c r="H449" i="66" s="1"/>
  <c r="H107" i="66" a="1"/>
  <c r="H107" i="66" s="1"/>
  <c r="H113" i="66" s="1"/>
  <c r="K52" i="113" s="1" a="1"/>
  <c r="K52" i="113" s="1"/>
  <c r="H120" i="66" a="1"/>
  <c r="H120" i="66" s="1"/>
  <c r="H198" i="66" a="1"/>
  <c r="H198" i="66" s="1"/>
  <c r="P15" i="66" a="1"/>
  <c r="P15" i="66" s="1"/>
  <c r="P16" i="66" s="1" a="1"/>
  <c r="P16" i="66" s="1"/>
  <c r="O311" i="52" a="1"/>
  <c r="O311" i="52" s="1"/>
  <c r="O310" i="52" a="1"/>
  <c r="O310" i="52" s="1"/>
  <c r="O309" i="52" a="1"/>
  <c r="O309" i="52" s="1"/>
  <c r="P408" i="66" a="1"/>
  <c r="P408" i="66" s="1"/>
  <c r="P430" i="66" a="1"/>
  <c r="P430" i="66" s="1"/>
  <c r="P421" i="66" a="1"/>
  <c r="P421" i="66" s="1"/>
  <c r="P439" i="66" a="1"/>
  <c r="P439" i="66" s="1"/>
  <c r="P361" i="66" a="1"/>
  <c r="P361" i="66" s="1"/>
  <c r="P352" i="66" a="1"/>
  <c r="P352" i="66" s="1"/>
  <c r="P211" i="66" a="1"/>
  <c r="P211" i="66" s="1"/>
  <c r="P477" i="66" a="1"/>
  <c r="P477" i="66" s="1"/>
  <c r="P265" i="66" a="1"/>
  <c r="P265" i="66" s="1"/>
  <c r="P487" i="66" a="1"/>
  <c r="P487" i="66" s="1"/>
  <c r="P568" i="66" a="1"/>
  <c r="P568" i="66" s="1"/>
  <c r="P588" i="66" a="1"/>
  <c r="P588" i="66" s="1"/>
  <c r="P202" i="66" a="1"/>
  <c r="P202" i="66" s="1"/>
  <c r="P229" i="66" a="1"/>
  <c r="P229" i="66" s="1"/>
  <c r="P578" i="66" a="1"/>
  <c r="P578" i="66" s="1"/>
  <c r="P133" i="66" a="1"/>
  <c r="P133" i="66" s="1"/>
  <c r="P28" i="66" a="1"/>
  <c r="P28" i="66" s="1"/>
  <c r="P325" i="66" a="1"/>
  <c r="P325" i="66" s="1"/>
  <c r="P97" i="66" a="1"/>
  <c r="P97" i="66" s="1"/>
  <c r="P467" i="66" a="1"/>
  <c r="P467" i="66" s="1"/>
  <c r="P151" i="66" a="1"/>
  <c r="P151" i="66" s="1"/>
  <c r="P88" i="66" a="1"/>
  <c r="P88" i="66" s="1"/>
  <c r="P142" i="66" a="1"/>
  <c r="P142" i="66" s="1"/>
  <c r="P316" i="66" a="1"/>
  <c r="P316" i="66" s="1"/>
  <c r="P124" i="66" a="1"/>
  <c r="P124" i="66" s="1"/>
  <c r="P220" i="66" a="1"/>
  <c r="P220" i="66" s="1"/>
  <c r="P256" i="66" a="1"/>
  <c r="P256" i="66" s="1"/>
  <c r="P370" i="66" a="1"/>
  <c r="P370" i="66" s="1"/>
  <c r="P339" i="66" a="1"/>
  <c r="P339" i="66" s="1"/>
  <c r="P75" i="66" a="1"/>
  <c r="P75" i="66" s="1"/>
  <c r="P243" i="66" a="1"/>
  <c r="P243" i="66" s="1"/>
  <c r="P244" i="66" s="1" a="1"/>
  <c r="P244" i="66" s="1"/>
  <c r="P303" i="66" a="1"/>
  <c r="P303" i="66" s="1"/>
  <c r="P539" i="66" a="1"/>
  <c r="P539" i="66" s="1"/>
  <c r="P529" i="66" a="1"/>
  <c r="P529" i="66" s="1"/>
  <c r="P554" i="66" a="1"/>
  <c r="P554" i="66" s="1"/>
  <c r="P453" i="66" a="1"/>
  <c r="P453" i="66" s="1"/>
  <c r="P37" i="66" a="1"/>
  <c r="P37" i="66" s="1"/>
  <c r="P503" i="66" a="1"/>
  <c r="P503" i="66" s="1"/>
  <c r="P189" i="66" a="1"/>
  <c r="P189" i="66" s="1"/>
  <c r="P111" i="66" a="1"/>
  <c r="P111" i="66" s="1"/>
  <c r="I197" i="52" a="1"/>
  <c r="I197" i="52" s="1"/>
  <c r="P36" i="52" a="1"/>
  <c r="P36" i="52" s="1"/>
  <c r="P513" i="66" a="1"/>
  <c r="P513" i="66" s="1"/>
  <c r="O229" i="52" a="1"/>
  <c r="O229" i="52" s="1"/>
  <c r="P114" i="52" a="1"/>
  <c r="P114" i="52" s="1"/>
  <c r="O115" i="52" a="1"/>
  <c r="O115" i="52" s="1"/>
  <c r="O232" i="52" a="1"/>
  <c r="O232" i="52" s="1"/>
  <c r="F114" i="52" a="1"/>
  <c r="F114" i="52" s="1"/>
  <c r="H139" i="52" a="1"/>
  <c r="H139" i="52" s="1"/>
  <c r="F138" i="52" a="1"/>
  <c r="F138" i="52" s="1"/>
  <c r="P523" i="66" a="1"/>
  <c r="P523" i="66" s="1"/>
  <c r="P115" i="52" a="1"/>
  <c r="P115" i="52" s="1"/>
  <c r="F115" i="52" a="1"/>
  <c r="F115" i="52" s="1"/>
  <c r="F139" i="52" a="1"/>
  <c r="F139" i="52" s="1"/>
  <c r="F140" i="52" s="1"/>
  <c r="F116" i="52" a="1"/>
  <c r="F116" i="52" s="1"/>
  <c r="H114" i="52" a="1"/>
  <c r="H114" i="52" s="1"/>
  <c r="O114" i="52" a="1"/>
  <c r="O114" i="52" s="1"/>
  <c r="O285" i="52" a="1"/>
  <c r="O285" i="52" s="1"/>
  <c r="H138" i="52" a="1"/>
  <c r="H138" i="52" s="1"/>
  <c r="I139" i="52" a="1"/>
  <c r="I139" i="52" s="1"/>
  <c r="I138" i="52" a="1"/>
  <c r="I138" i="52" s="1"/>
  <c r="O230" i="52" a="1"/>
  <c r="O230" i="52" s="1"/>
  <c r="H115" i="52" a="1"/>
  <c r="H115" i="52" s="1"/>
  <c r="P533" i="66" a="1"/>
  <c r="P533" i="66" s="1"/>
  <c r="O233" i="52" a="1"/>
  <c r="O233" i="52" s="1"/>
  <c r="I115" i="52" a="1"/>
  <c r="I115" i="52" s="1"/>
  <c r="I114" i="52" a="1"/>
  <c r="I114" i="52" s="1"/>
  <c r="I116" i="52" s="1"/>
  <c r="H196" i="52" a="1"/>
  <c r="H196" i="52" s="1"/>
  <c r="I89" i="52" a="1"/>
  <c r="I89" i="52" s="1"/>
  <c r="H89" i="52" a="1"/>
  <c r="H89" i="52" s="1"/>
  <c r="F279" i="52" a="1"/>
  <c r="F279" i="52" s="1"/>
  <c r="H319" i="52" a="1"/>
  <c r="H319" i="52" s="1"/>
  <c r="H165" i="52" a="1"/>
  <c r="H165" i="52" s="1"/>
  <c r="H280" i="52" a="1"/>
  <c r="H280" i="52" s="1"/>
  <c r="I264" i="52" a="1"/>
  <c r="I264" i="52" s="1"/>
  <c r="F281" i="52" a="1"/>
  <c r="F281" i="52" s="1"/>
  <c r="F132" i="52" a="1"/>
  <c r="F132" i="52" s="1"/>
  <c r="F133" i="52" s="1"/>
  <c r="H256" i="52" a="1"/>
  <c r="H256" i="52" s="1"/>
  <c r="F196" i="52" a="1"/>
  <c r="F196" i="52" s="1"/>
  <c r="O264" i="52" a="1"/>
  <c r="O264" i="52" s="1"/>
  <c r="H132" i="52" a="1"/>
  <c r="H132" i="52" s="1"/>
  <c r="F61" i="52" a="1"/>
  <c r="F61" i="52" s="1"/>
  <c r="I223" i="52" a="1"/>
  <c r="I223" i="52" s="1"/>
  <c r="H61" i="52" a="1"/>
  <c r="H61" i="52" s="1"/>
  <c r="I61" i="52" a="1"/>
  <c r="I61" i="52" s="1"/>
  <c r="F90" i="52" a="1"/>
  <c r="F90" i="52" s="1"/>
  <c r="F91" i="52" s="1"/>
  <c r="H164" i="52" a="1"/>
  <c r="H164" i="52" s="1"/>
  <c r="I224" i="52" a="1"/>
  <c r="I224" i="52" s="1"/>
  <c r="I196" i="52" a="1"/>
  <c r="I196" i="52" s="1"/>
  <c r="I198" i="52" s="1"/>
  <c r="I131" i="52" a="1"/>
  <c r="I131" i="52" s="1"/>
  <c r="I279" i="52" a="1"/>
  <c r="I279" i="52" s="1"/>
  <c r="I62" i="52" a="1"/>
  <c r="I62" i="52" s="1"/>
  <c r="H62" i="52" a="1"/>
  <c r="H62" i="52" s="1"/>
  <c r="F197" i="52" a="1"/>
  <c r="F197" i="52" s="1"/>
  <c r="F198" i="52" s="1"/>
  <c r="H223" i="52" a="1"/>
  <c r="H223" i="52" s="1"/>
  <c r="O16" i="52" a="1"/>
  <c r="O16" i="52" s="1"/>
  <c r="I164" i="52" a="1"/>
  <c r="I164" i="52" s="1"/>
  <c r="F223" i="52" a="1"/>
  <c r="F223" i="52" s="1"/>
  <c r="F265" i="52" a="1"/>
  <c r="F265" i="52" s="1"/>
  <c r="H264" i="52" a="1"/>
  <c r="H264" i="52" s="1"/>
  <c r="F62" i="52" a="1"/>
  <c r="F62" i="52" s="1"/>
  <c r="F63" i="52" s="1"/>
  <c r="F318" i="52" a="1"/>
  <c r="F318" i="52" s="1"/>
  <c r="F319" i="52" a="1"/>
  <c r="F319" i="52" s="1"/>
  <c r="I132" i="52" a="1"/>
  <c r="I132" i="52" s="1"/>
  <c r="F264" i="52" a="1"/>
  <c r="F264" i="52" s="1"/>
  <c r="P264" i="52" a="1"/>
  <c r="P264" i="52" s="1"/>
  <c r="F263" i="52" a="1"/>
  <c r="F263" i="52" s="1"/>
  <c r="F258" i="52" a="1"/>
  <c r="F258" i="52" s="1"/>
  <c r="I263" i="52" a="1"/>
  <c r="I263" i="52" s="1"/>
  <c r="H279" i="52" a="1"/>
  <c r="H279" i="52" s="1"/>
  <c r="I257" i="52" a="1"/>
  <c r="I257" i="52" s="1"/>
  <c r="F131" i="52" a="1"/>
  <c r="F131" i="52" s="1"/>
  <c r="H318" i="52" a="1"/>
  <c r="H318" i="52" s="1"/>
  <c r="P263" i="52" a="1"/>
  <c r="P263" i="52" s="1"/>
  <c r="F165" i="52" a="1"/>
  <c r="F165" i="52" s="1"/>
  <c r="F166" i="52" s="1"/>
  <c r="F256" i="52" a="1"/>
  <c r="F256" i="52" s="1"/>
  <c r="H131" i="52" a="1"/>
  <c r="H131" i="52" s="1"/>
  <c r="F224" i="52" a="1"/>
  <c r="F224" i="52" s="1"/>
  <c r="F225" i="52" s="1"/>
  <c r="I280" i="52" a="1"/>
  <c r="I280" i="52" s="1"/>
  <c r="I90" i="52" a="1"/>
  <c r="I90" i="52" s="1"/>
  <c r="F257" i="52" a="1"/>
  <c r="F257" i="52" s="1"/>
  <c r="H90" i="52" a="1"/>
  <c r="H90" i="52" s="1"/>
  <c r="O100" i="52" a="1"/>
  <c r="O100" i="52" s="1"/>
  <c r="I319" i="52" a="1"/>
  <c r="I319" i="52" s="1"/>
  <c r="I256" i="52" a="1"/>
  <c r="I256" i="52" s="1"/>
  <c r="I318" i="52" a="1"/>
  <c r="I318" i="52" s="1"/>
  <c r="F320" i="52" a="1"/>
  <c r="F320" i="52" s="1"/>
  <c r="O263" i="52" a="1"/>
  <c r="O263" i="52" s="1"/>
  <c r="F280" i="52" a="1"/>
  <c r="F280" i="52" s="1"/>
  <c r="H263" i="52" a="1"/>
  <c r="H263" i="52" s="1"/>
  <c r="I165" i="52" a="1"/>
  <c r="I165" i="52" s="1"/>
  <c r="F164" i="52" a="1"/>
  <c r="F164" i="52" s="1"/>
  <c r="H257" i="52" a="1"/>
  <c r="H257" i="52" s="1"/>
  <c r="F89" i="52" a="1"/>
  <c r="F89" i="52" s="1"/>
  <c r="H224" i="52" a="1"/>
  <c r="H224" i="52" s="1"/>
  <c r="H197" i="52" a="1"/>
  <c r="H197" i="52" s="1"/>
  <c r="I29" i="52" a="1"/>
  <c r="I29" i="52" s="1"/>
  <c r="F28" i="52" a="1"/>
  <c r="F28" i="52" s="1"/>
  <c r="H29" i="52" a="1"/>
  <c r="H29" i="52" s="1"/>
  <c r="H28" i="52" a="1"/>
  <c r="H28" i="52" s="1"/>
  <c r="I28" i="52" a="1"/>
  <c r="I28" i="52" s="1"/>
  <c r="F29" i="52" a="1"/>
  <c r="F29" i="52" s="1"/>
  <c r="F30" i="52" s="1"/>
  <c r="H76" i="52" a="1"/>
  <c r="H76" i="52" s="1"/>
  <c r="O97" i="52" a="1"/>
  <c r="O97" i="52" s="1"/>
  <c r="O171" i="52" a="1"/>
  <c r="O171" i="52" s="1"/>
  <c r="O270" i="52" a="1"/>
  <c r="O270" i="52" s="1"/>
  <c r="O39" i="52" a="1"/>
  <c r="O39" i="52" s="1"/>
  <c r="O174" i="52" a="1"/>
  <c r="O174" i="52" s="1"/>
  <c r="O99" i="52" a="1"/>
  <c r="O99" i="52" s="1"/>
  <c r="O173" i="52" a="1"/>
  <c r="O173" i="52" s="1"/>
  <c r="O96" i="52" a="1"/>
  <c r="O96" i="52" s="1"/>
  <c r="E7" i="135" a="1"/>
  <c r="E7" i="135" s="1"/>
  <c r="O38" i="52" a="1"/>
  <c r="O38" i="52" s="1"/>
  <c r="O36" i="52" a="1"/>
  <c r="O36" i="52" s="1"/>
  <c r="O170" i="52" a="1"/>
  <c r="O170" i="52" s="1"/>
  <c r="O35" i="52" a="1"/>
  <c r="O35" i="52" s="1"/>
  <c r="E8" i="135" a="1"/>
  <c r="E8" i="135" s="1"/>
  <c r="E9" i="135" s="1"/>
  <c r="E10" i="135" s="1"/>
  <c r="E11" i="135" s="1"/>
  <c r="E12" i="135" s="1"/>
  <c r="E13" i="135" s="1"/>
  <c r="T12" i="57" a="1"/>
  <c r="T12" i="57" s="1"/>
  <c r="U12" i="57" a="1"/>
  <c r="U12" i="57" s="1"/>
  <c r="F76" i="52" a="1"/>
  <c r="F76" i="52" s="1"/>
  <c r="P267" i="68" a="1"/>
  <c r="P267" i="68" s="1"/>
  <c r="P353" i="68" a="1"/>
  <c r="P353" i="68" s="1"/>
  <c r="P363" i="68" a="1"/>
  <c r="P363" i="68" s="1"/>
  <c r="P358" i="68" a="1"/>
  <c r="P358" i="68" s="1"/>
  <c r="F363" i="68" a="1"/>
  <c r="F363" i="68" s="1"/>
  <c r="I363" i="68" a="1"/>
  <c r="I363" i="68" s="1"/>
  <c r="F533" i="66" a="1"/>
  <c r="F533" i="66" s="1"/>
  <c r="P187" i="135" s="1" a="1"/>
  <c r="P187" i="135" s="1"/>
  <c r="I187" i="135" s="1"/>
  <c r="Y37" i="57" s="1"/>
  <c r="I358" i="68" a="1"/>
  <c r="I358" i="68" s="1"/>
  <c r="I353" i="68" a="1"/>
  <c r="I353" i="68" s="1"/>
  <c r="F358" i="68" a="1"/>
  <c r="F358" i="68" s="1"/>
  <c r="F359" i="68" s="1"/>
  <c r="F360" i="68" s="1"/>
  <c r="F361" i="68" s="1"/>
  <c r="F362" i="68" s="1"/>
  <c r="P364" i="68" a="1"/>
  <c r="P364" i="68" s="1"/>
  <c r="I364" i="68" a="1"/>
  <c r="I364" i="68" s="1"/>
  <c r="I359" i="68" a="1"/>
  <c r="I359" i="68" s="1"/>
  <c r="P359" i="68" a="1"/>
  <c r="P359" i="68" s="1"/>
  <c r="F353" i="68" a="1"/>
  <c r="F353" i="68" s="1"/>
  <c r="F354" i="68" s="1"/>
  <c r="F355" i="68" s="1"/>
  <c r="F356" i="68" s="1"/>
  <c r="F357" i="68" s="1"/>
  <c r="I365" i="68" a="1"/>
  <c r="I365" i="68" s="1"/>
  <c r="P537" i="66" a="1"/>
  <c r="P537" i="66" s="1"/>
  <c r="P360" i="68" a="1"/>
  <c r="P360" i="68" s="1"/>
  <c r="I360" i="68" a="1"/>
  <c r="I360" i="68" s="1"/>
  <c r="I537" i="66" a="1"/>
  <c r="I537" i="66" s="1"/>
  <c r="I354" i="68" a="1"/>
  <c r="I354" i="68" s="1"/>
  <c r="P538" i="66" a="1"/>
  <c r="P538" i="66" s="1"/>
  <c r="I538" i="66" a="1"/>
  <c r="I538" i="66" s="1"/>
  <c r="F513" i="66" a="1"/>
  <c r="F513" i="66" s="1"/>
  <c r="P540" i="66" a="1"/>
  <c r="P540" i="66" s="1"/>
  <c r="P354" i="68" a="1"/>
  <c r="P354" i="68" s="1"/>
  <c r="F523" i="66" a="1"/>
  <c r="F523" i="66" s="1"/>
  <c r="I540" i="66" a="1"/>
  <c r="I540" i="66" s="1"/>
  <c r="P530" i="66" a="1"/>
  <c r="P530" i="66" s="1"/>
  <c r="P355" i="68" a="1"/>
  <c r="P355" i="68" s="1"/>
  <c r="I527" i="66" a="1"/>
  <c r="I527" i="66" s="1"/>
  <c r="P527" i="66" a="1"/>
  <c r="P527" i="66" s="1"/>
  <c r="P528" i="66" a="1"/>
  <c r="P528" i="66" s="1"/>
  <c r="I528" i="66" a="1"/>
  <c r="I528" i="66" s="1"/>
  <c r="I355" i="68" a="1"/>
  <c r="I355" i="68" s="1"/>
  <c r="P365" i="68" a="1"/>
  <c r="P365" i="68" s="1"/>
  <c r="I530" i="66" a="1"/>
  <c r="I530" i="66" s="1"/>
  <c r="I259" i="68" a="1"/>
  <c r="I259" i="68" s="1"/>
  <c r="I517" i="66" a="1"/>
  <c r="I517" i="66" s="1"/>
  <c r="P520" i="66" a="1"/>
  <c r="P520" i="66" s="1"/>
  <c r="P519" i="66" a="1"/>
  <c r="P519" i="66" s="1"/>
  <c r="I518" i="66" a="1"/>
  <c r="I518" i="66" s="1"/>
  <c r="P306" i="68" a="1"/>
  <c r="P306" i="68" s="1"/>
  <c r="G14" i="108" a="1"/>
  <c r="G14" i="108" s="1"/>
  <c r="G13" i="108" s="1"/>
  <c r="P518" i="66" a="1"/>
  <c r="P518" i="66" s="1"/>
  <c r="F14" i="108" a="1"/>
  <c r="F14" i="108" s="1"/>
  <c r="F13" i="108" s="1"/>
  <c r="I520" i="66" a="1"/>
  <c r="I520" i="66" s="1"/>
  <c r="P517" i="66" a="1"/>
  <c r="P517" i="66" s="1"/>
  <c r="E179" i="135" a="1"/>
  <c r="E179" i="135" s="1"/>
  <c r="E180" i="135" s="1"/>
  <c r="E181" i="135" s="1"/>
  <c r="E182" i="135" s="1"/>
  <c r="U18" i="57" a="1"/>
  <c r="U18" i="57" s="1"/>
  <c r="Q9" i="57" a="1"/>
  <c r="Q9" i="57" s="1"/>
  <c r="R15" i="57" a="1"/>
  <c r="R15" i="57" s="1"/>
  <c r="R21" i="57" a="1"/>
  <c r="R21" i="57" s="1"/>
  <c r="R27" i="57" a="1"/>
  <c r="R27" i="57" s="1"/>
  <c r="Q27" i="57" a="1"/>
  <c r="Q27" i="57" s="1"/>
  <c r="Q21" i="57" a="1"/>
  <c r="Q21" i="57" s="1"/>
  <c r="Q33" i="57" a="1"/>
  <c r="Q33" i="57" s="1"/>
  <c r="Q15" i="57" a="1"/>
  <c r="Q15" i="57" s="1"/>
  <c r="R9" i="57" a="1"/>
  <c r="R9" i="57" s="1"/>
  <c r="R33" i="57" a="1"/>
  <c r="R33" i="57" s="1"/>
  <c r="V9" i="57" a="1"/>
  <c r="V9" i="57" s="1"/>
  <c r="T30" i="57" a="1"/>
  <c r="T30" i="57" s="1"/>
  <c r="E167" i="135" a="1"/>
  <c r="E167" i="135" s="1"/>
  <c r="E168" i="135" s="1"/>
  <c r="E169" i="135" s="1"/>
  <c r="E170" i="135" s="1"/>
  <c r="E145" i="135" a="1"/>
  <c r="E145" i="135" s="1"/>
  <c r="E146" i="135" s="1"/>
  <c r="E147" i="135" s="1"/>
  <c r="E148" i="135" s="1"/>
  <c r="V21" i="57" a="1"/>
  <c r="V21" i="57" s="1"/>
  <c r="U24" i="57" a="1"/>
  <c r="U24" i="57" s="1"/>
  <c r="E65" i="135" a="1"/>
  <c r="E65" i="135" s="1"/>
  <c r="E66" i="135" s="1"/>
  <c r="E67" i="135" s="1"/>
  <c r="E68" i="135" s="1"/>
  <c r="V15" i="57" a="1"/>
  <c r="V15" i="57" s="1"/>
  <c r="E96" i="135" a="1"/>
  <c r="E96" i="135" s="1"/>
  <c r="E97" i="135" s="1"/>
  <c r="E98" i="135" s="1"/>
  <c r="E99" i="135" s="1"/>
  <c r="W27" i="57" a="1"/>
  <c r="W27" i="57" s="1"/>
  <c r="V33" i="57" a="1"/>
  <c r="V33" i="57" s="1"/>
  <c r="E153" i="135" a="1"/>
  <c r="E153" i="135" s="1"/>
  <c r="E161" i="135" s="1"/>
  <c r="W9" i="57" a="1"/>
  <c r="W9" i="57" s="1"/>
  <c r="W15" i="57" a="1"/>
  <c r="W15" i="57" s="1"/>
  <c r="E136" i="135" a="1"/>
  <c r="E136" i="135" s="1"/>
  <c r="E137" i="135" s="1"/>
  <c r="E138" i="135" s="1"/>
  <c r="E139" i="135" s="1"/>
  <c r="E73" i="135" a="1"/>
  <c r="E73" i="135" s="1"/>
  <c r="T18" i="57" a="1"/>
  <c r="T18" i="57" s="1"/>
  <c r="E87" i="135" a="1"/>
  <c r="E87" i="135" s="1"/>
  <c r="E88" i="135" s="1"/>
  <c r="E89" i="135" s="1"/>
  <c r="E90" i="135" s="1"/>
  <c r="V27" i="57" a="1"/>
  <c r="V27" i="57" s="1"/>
  <c r="U30" i="57" a="1"/>
  <c r="U30" i="57" s="1"/>
  <c r="E16" i="135" a="1"/>
  <c r="E16" i="135" s="1"/>
  <c r="E17" i="135" s="1"/>
  <c r="E18" i="135" s="1"/>
  <c r="E19" i="135" s="1"/>
  <c r="E20" i="135" s="1"/>
  <c r="E21" i="135" s="1"/>
  <c r="E22" i="135" s="1"/>
  <c r="T24" i="57" a="1"/>
  <c r="T24" i="57" s="1"/>
  <c r="E113" i="135" a="1"/>
  <c r="E113" i="135" s="1"/>
  <c r="W21" i="57" a="1"/>
  <c r="W21" i="57" s="1"/>
  <c r="E127" i="135" a="1"/>
  <c r="E127" i="135" s="1"/>
  <c r="E128" i="135" s="1"/>
  <c r="E129" i="135" s="1"/>
  <c r="E130" i="135" s="1"/>
  <c r="E105" i="135" a="1"/>
  <c r="E105" i="135" s="1"/>
  <c r="E106" i="135" s="1"/>
  <c r="E107" i="135" s="1"/>
  <c r="E108" i="135" s="1"/>
  <c r="E56" i="135" a="1"/>
  <c r="E56" i="135" s="1"/>
  <c r="E57" i="135" s="1"/>
  <c r="E58" i="135" s="1"/>
  <c r="E59" i="135" s="1"/>
  <c r="E47" i="135" a="1"/>
  <c r="E47" i="135" s="1"/>
  <c r="E48" i="135" s="1"/>
  <c r="E49" i="135" s="1"/>
  <c r="E50" i="135" s="1"/>
  <c r="F21" i="133" a="1"/>
  <c r="F21" i="133" s="1"/>
  <c r="F23" i="133" a="1"/>
  <c r="F23" i="133" s="1"/>
  <c r="F22" i="133" a="1"/>
  <c r="F22" i="133" s="1"/>
  <c r="F25" i="133" a="1"/>
  <c r="F25" i="133" s="1"/>
  <c r="F18" i="133" a="1"/>
  <c r="F18" i="133" s="1"/>
  <c r="F29" i="133" a="1"/>
  <c r="F29" i="133" s="1"/>
  <c r="F11" i="133" a="1"/>
  <c r="F11" i="133" s="1"/>
  <c r="F38" i="133" a="1"/>
  <c r="F38" i="133" s="1"/>
  <c r="F31" i="133" a="1"/>
  <c r="F31" i="133" s="1"/>
  <c r="F35" i="133" a="1"/>
  <c r="F35" i="133" s="1"/>
  <c r="E25" i="135" a="1"/>
  <c r="E25" i="135" s="1"/>
  <c r="E26" i="135" s="1"/>
  <c r="E27" i="135" s="1"/>
  <c r="E28" i="135" s="1"/>
  <c r="F17" i="133" a="1"/>
  <c r="F17" i="133" s="1"/>
  <c r="F8" i="133" a="1"/>
  <c r="F8" i="133" s="1"/>
  <c r="F28" i="133" a="1"/>
  <c r="F28" i="133" s="1"/>
  <c r="F16" i="133" a="1"/>
  <c r="F16" i="133" s="1"/>
  <c r="F39" i="133" a="1"/>
  <c r="F39" i="133" s="1"/>
  <c r="F14" i="133" a="1"/>
  <c r="F14" i="133" s="1"/>
  <c r="F37" i="133" a="1"/>
  <c r="F37" i="133" s="1"/>
  <c r="F10" i="133" a="1"/>
  <c r="F10" i="133" s="1"/>
  <c r="F32" i="133" a="1"/>
  <c r="F32" i="133" s="1"/>
  <c r="F30" i="133" a="1"/>
  <c r="F30" i="133" s="1"/>
  <c r="F36" i="133" a="1"/>
  <c r="F36" i="133" s="1"/>
  <c r="F15" i="133" a="1"/>
  <c r="F15" i="133" s="1"/>
  <c r="F24" i="133" a="1"/>
  <c r="F24" i="133" s="1"/>
  <c r="F9" i="133" a="1"/>
  <c r="F9" i="133" s="1"/>
  <c r="E33" i="135" a="1"/>
  <c r="E33" i="135" s="1"/>
  <c r="I267" i="68" a="1"/>
  <c r="I267" i="68" s="1"/>
  <c r="I298" i="68" a="1"/>
  <c r="I298" i="68" s="1"/>
  <c r="P302" i="68" a="1"/>
  <c r="P302" i="68" s="1"/>
  <c r="P259" i="68" a="1"/>
  <c r="P259" i="68" s="1"/>
  <c r="P260" i="68" s="1"/>
  <c r="I263" i="68" a="1"/>
  <c r="I263" i="68" s="1"/>
  <c r="U54" i="115" s="1" a="1"/>
  <c r="U54" i="115" s="1"/>
  <c r="P298" i="68" a="1"/>
  <c r="P298" i="68" s="1"/>
  <c r="P299" i="68" s="1"/>
  <c r="P263" i="68" a="1"/>
  <c r="P263" i="68" s="1"/>
  <c r="I306" i="68" a="1"/>
  <c r="I306" i="68" s="1"/>
  <c r="I302" i="68" a="1"/>
  <c r="I302" i="68" s="1"/>
  <c r="P327" i="68" a="1"/>
  <c r="P327" i="68" s="1"/>
  <c r="F300" i="68" a="1"/>
  <c r="F300" i="68" s="1"/>
  <c r="F301" i="68" s="1"/>
  <c r="F302" i="68" s="1"/>
  <c r="F303" i="68" s="1"/>
  <c r="F382" i="68" a="1"/>
  <c r="F382" i="68" s="1"/>
  <c r="F383" i="68" s="1"/>
  <c r="F384" i="68" s="1"/>
  <c r="F385" i="68" s="1"/>
  <c r="F386" i="68" s="1"/>
  <c r="F187" i="68" a="1"/>
  <c r="F187" i="68" s="1"/>
  <c r="F188" i="68" s="1"/>
  <c r="F189" i="68" s="1"/>
  <c r="F190" i="68" s="1"/>
  <c r="F191" i="68" s="1"/>
  <c r="F192" i="68" s="1"/>
  <c r="F166" i="68" a="1"/>
  <c r="F166" i="68" s="1"/>
  <c r="F70" i="68" a="1"/>
  <c r="F70" i="68" s="1"/>
  <c r="F322" i="68" a="1"/>
  <c r="F322" i="68" s="1"/>
  <c r="F323" i="68" s="1"/>
  <c r="F324" i="68" s="1"/>
  <c r="F325" i="68" s="1"/>
  <c r="F326" i="68" s="1"/>
  <c r="I327" i="68" a="1"/>
  <c r="I327" i="68" s="1"/>
  <c r="F327" i="68" a="1"/>
  <c r="F327" i="68" s="1"/>
  <c r="F328" i="68" s="1"/>
  <c r="F329" i="68" s="1"/>
  <c r="F330" i="68" s="1"/>
  <c r="F331" i="68" s="1"/>
  <c r="F148" i="68" a="1"/>
  <c r="F148" i="68" s="1"/>
  <c r="P389" i="68" a="1"/>
  <c r="P389" i="68" s="1"/>
  <c r="I383" i="68" a="1"/>
  <c r="I383" i="68" s="1"/>
  <c r="F238" i="68" a="1"/>
  <c r="F238" i="68" s="1"/>
  <c r="P329" i="68" a="1"/>
  <c r="P329" i="68" s="1"/>
  <c r="F265" i="68" a="1"/>
  <c r="F265" i="68" s="1"/>
  <c r="F266" i="68" s="1"/>
  <c r="F267" i="68" s="1"/>
  <c r="F268" i="68" s="1"/>
  <c r="P388" i="68" a="1"/>
  <c r="P388" i="68" s="1"/>
  <c r="P328" i="68" a="1"/>
  <c r="P328" i="68" s="1"/>
  <c r="P387" i="68" a="1"/>
  <c r="P387" i="68" s="1"/>
  <c r="P382" i="68" a="1"/>
  <c r="P382" i="68" s="1"/>
  <c r="I322" i="68" a="1"/>
  <c r="I322" i="68" s="1"/>
  <c r="F296" i="68" a="1"/>
  <c r="F296" i="68" s="1"/>
  <c r="F297" i="68" s="1"/>
  <c r="F298" i="68" s="1"/>
  <c r="F299" i="68" s="1"/>
  <c r="F103" i="68" a="1"/>
  <c r="F103" i="68" s="1"/>
  <c r="F91" i="68" a="1"/>
  <c r="F91" i="68" s="1"/>
  <c r="I323" i="68" a="1"/>
  <c r="I323" i="68" s="1"/>
  <c r="F304" i="68" a="1"/>
  <c r="F304" i="68" s="1"/>
  <c r="F25" i="68" a="1"/>
  <c r="F25" i="68" s="1"/>
  <c r="P114" i="68"/>
  <c r="BN54" i="113" s="1" a="1"/>
  <c r="BN54" i="113" s="1"/>
  <c r="F232" i="68" a="1"/>
  <c r="F232" i="68" s="1"/>
  <c r="P383" i="68" a="1"/>
  <c r="P383" i="68" s="1"/>
  <c r="I329" i="68" a="1"/>
  <c r="I329" i="68" s="1"/>
  <c r="F97" i="68" a="1"/>
  <c r="F97" i="68" s="1"/>
  <c r="I382" i="68" a="1"/>
  <c r="I382" i="68" s="1"/>
  <c r="F392" i="68" a="1"/>
  <c r="F392" i="68" s="1"/>
  <c r="F393" i="68" s="1"/>
  <c r="F394" i="68" s="1"/>
  <c r="F395" i="68" s="1"/>
  <c r="F396" i="68" s="1"/>
  <c r="F257" i="68" a="1"/>
  <c r="F257" i="68" s="1"/>
  <c r="F258" i="68" s="1"/>
  <c r="F259" i="68" s="1"/>
  <c r="F260" i="68" s="1"/>
  <c r="P324" i="68" a="1"/>
  <c r="P324" i="68" s="1"/>
  <c r="I388" i="68" a="1"/>
  <c r="I388" i="68" s="1"/>
  <c r="F154" i="68" a="1"/>
  <c r="F154" i="68" s="1"/>
  <c r="F387" i="68" a="1"/>
  <c r="F387" i="68" s="1"/>
  <c r="F388" i="68" s="1"/>
  <c r="F389" i="68" s="1"/>
  <c r="F390" i="68" s="1"/>
  <c r="F391" i="68" s="1"/>
  <c r="F64" i="68" a="1"/>
  <c r="F64" i="68" s="1"/>
  <c r="P384" i="68" a="1"/>
  <c r="P384" i="68" s="1"/>
  <c r="F160" i="68" a="1"/>
  <c r="F160" i="68" s="1"/>
  <c r="P322" i="68" a="1"/>
  <c r="P322" i="68" s="1"/>
  <c r="F193" i="68" a="1"/>
  <c r="F193" i="68" s="1"/>
  <c r="I324" i="68" a="1"/>
  <c r="I324" i="68" s="1"/>
  <c r="F261" i="68" a="1"/>
  <c r="F261" i="68" s="1"/>
  <c r="F262" i="68" s="1"/>
  <c r="F263" i="68" s="1"/>
  <c r="F264" i="68" s="1"/>
  <c r="I389" i="68" a="1"/>
  <c r="I389" i="68" s="1"/>
  <c r="I384" i="68" a="1"/>
  <c r="I384" i="68" s="1"/>
  <c r="P323" i="68" a="1"/>
  <c r="P323" i="68" s="1"/>
  <c r="I387" i="68" a="1"/>
  <c r="I387" i="68" s="1"/>
  <c r="F332" i="68" a="1"/>
  <c r="F332" i="68" s="1"/>
  <c r="F333" i="68" s="1"/>
  <c r="F334" i="68" s="1"/>
  <c r="F335" i="68" s="1"/>
  <c r="F336" i="68" s="1"/>
  <c r="F109" i="68" a="1"/>
  <c r="F109" i="68" s="1"/>
  <c r="I328" i="68" a="1"/>
  <c r="I328" i="68" s="1"/>
  <c r="F361" i="66" a="1"/>
  <c r="F361" i="66" s="1"/>
  <c r="F211" i="66" a="1"/>
  <c r="F211" i="66" s="1"/>
  <c r="I488" i="66" a="1"/>
  <c r="I488" i="66" s="1"/>
  <c r="F439" i="66" a="1"/>
  <c r="F439" i="66" s="1"/>
  <c r="F202" i="66" a="1"/>
  <c r="F202" i="66" s="1"/>
  <c r="F133" i="66" a="1"/>
  <c r="F133" i="66" s="1"/>
  <c r="F124" i="66" a="1"/>
  <c r="F124" i="66" s="1"/>
  <c r="I189" i="66" a="1"/>
  <c r="I189" i="66" s="1"/>
  <c r="I191" i="66" s="1"/>
  <c r="AK52" i="113" s="1" a="1"/>
  <c r="AK52" i="113" s="1"/>
  <c r="I352" i="66" a="1"/>
  <c r="I352" i="66" s="1"/>
  <c r="F220" i="66" a="1"/>
  <c r="F220" i="66" s="1"/>
  <c r="F588" i="66" a="1"/>
  <c r="F588" i="66" s="1"/>
  <c r="F488" i="66" a="1"/>
  <c r="F488" i="66" s="1"/>
  <c r="F468" i="66" a="1"/>
  <c r="F468" i="66" s="1"/>
  <c r="F316" i="66" a="1"/>
  <c r="F316" i="66" s="1"/>
  <c r="F477" i="66" a="1"/>
  <c r="F477" i="66" s="1"/>
  <c r="P488" i="66" a="1"/>
  <c r="P488" i="66" s="1"/>
  <c r="P385" i="66" a="1"/>
  <c r="P385" i="66" s="1"/>
  <c r="F421" i="66" a="1"/>
  <c r="F421" i="66" s="1"/>
  <c r="P52" i="66" a="1"/>
  <c r="P52" i="66" s="1"/>
  <c r="F256" i="66" a="1"/>
  <c r="F256" i="66" s="1"/>
  <c r="F568" i="66" a="1"/>
  <c r="F568" i="66" s="1"/>
  <c r="F487" i="66" a="1"/>
  <c r="F487" i="66" s="1"/>
  <c r="P289" i="66" a="1"/>
  <c r="P289" i="66" s="1"/>
  <c r="F430" i="66" a="1"/>
  <c r="F430" i="66" s="1"/>
  <c r="F151" i="66" a="1"/>
  <c r="F151" i="66" s="1"/>
  <c r="P394" i="66" a="1"/>
  <c r="P394" i="66" s="1"/>
  <c r="P61" i="66" a="1"/>
  <c r="P61" i="66" s="1"/>
  <c r="P280" i="66" a="1"/>
  <c r="P280" i="66" s="1"/>
  <c r="F265" i="66" a="1"/>
  <c r="F265" i="66" s="1"/>
  <c r="P468" i="66" a="1"/>
  <c r="P468" i="66" s="1"/>
  <c r="F142" i="66" a="1"/>
  <c r="F142" i="66" s="1"/>
  <c r="F422" i="66" a="1"/>
  <c r="F422" i="66" s="1"/>
  <c r="F229" i="66" a="1"/>
  <c r="F229" i="66" s="1"/>
  <c r="F143" i="66" a="1"/>
  <c r="F143" i="66" s="1"/>
  <c r="F370" i="66" a="1"/>
  <c r="F370" i="66" s="1"/>
  <c r="F257" i="66" a="1"/>
  <c r="F257" i="66" s="1"/>
  <c r="P175" i="66" a="1"/>
  <c r="P175" i="66" s="1"/>
  <c r="I468" i="66" a="1"/>
  <c r="I468" i="66" s="1"/>
  <c r="F325" i="66" a="1"/>
  <c r="F325" i="66" s="1"/>
  <c r="F352" i="66" a="1"/>
  <c r="F352" i="66" s="1"/>
  <c r="P166" i="66" a="1"/>
  <c r="P166" i="66" s="1"/>
  <c r="F578" i="66" a="1"/>
  <c r="F578" i="66" s="1"/>
  <c r="F88" i="66" a="1"/>
  <c r="F88" i="66" s="1"/>
  <c r="F97" i="66" a="1"/>
  <c r="F97" i="66" s="1"/>
  <c r="F467" i="66" a="1"/>
  <c r="F467" i="66" s="1"/>
  <c r="F28" i="66" a="1"/>
  <c r="F28" i="66" s="1"/>
  <c r="F37" i="66" a="1"/>
  <c r="F37" i="66" s="1"/>
  <c r="P145" i="66" a="1"/>
  <c r="P145" i="66" s="1"/>
  <c r="P152" i="66" s="1" a="1"/>
  <c r="P152" i="66" s="1"/>
  <c r="P250" i="66" a="1"/>
  <c r="P250" i="66" s="1"/>
  <c r="P257" i="66" s="1" a="1"/>
  <c r="P257" i="66" s="1"/>
  <c r="P433" i="66" a="1"/>
  <c r="P433" i="66" s="1"/>
  <c r="P82" i="66" a="1"/>
  <c r="P82" i="66" s="1"/>
  <c r="P89" i="66" s="1" a="1"/>
  <c r="P89" i="66" s="1"/>
  <c r="P127" i="66" a="1"/>
  <c r="P127" i="66" s="1"/>
  <c r="P134" i="66" s="1" a="1"/>
  <c r="P134" i="66" s="1"/>
  <c r="P118" i="66" a="1"/>
  <c r="P118" i="66" s="1"/>
  <c r="P125" i="66" s="1" a="1"/>
  <c r="P125" i="66" s="1"/>
  <c r="P461" i="66" a="1"/>
  <c r="P461" i="66" s="1"/>
  <c r="P572" i="66" a="1"/>
  <c r="P572" i="66" s="1"/>
  <c r="P310" i="66" a="1"/>
  <c r="P310" i="66" s="1"/>
  <c r="P582" i="66" a="1"/>
  <c r="P582" i="66" s="1"/>
  <c r="P91" i="66" a="1"/>
  <c r="P91" i="66" s="1"/>
  <c r="P98" i="66" s="1" a="1"/>
  <c r="P98" i="66" s="1"/>
  <c r="P562" i="66" a="1"/>
  <c r="P562" i="66" s="1"/>
  <c r="P481" i="66" a="1"/>
  <c r="P481" i="66" s="1"/>
  <c r="P471" i="66" a="1"/>
  <c r="P471" i="66" s="1"/>
  <c r="P364" i="66" a="1"/>
  <c r="P364" i="66" s="1"/>
  <c r="P259" i="66" a="1"/>
  <c r="P259" i="66" s="1"/>
  <c r="P266" i="66" s="1" a="1"/>
  <c r="P266" i="66" s="1"/>
  <c r="P214" i="66" a="1"/>
  <c r="P214" i="66" s="1"/>
  <c r="P221" i="66" s="1" a="1"/>
  <c r="P221" i="66" s="1"/>
  <c r="P22" i="66" a="1"/>
  <c r="P22" i="66" s="1"/>
  <c r="P29" i="66" s="1" a="1"/>
  <c r="P29" i="66" s="1"/>
  <c r="P319" i="66" a="1"/>
  <c r="P319" i="66" s="1"/>
  <c r="P355" i="66" a="1"/>
  <c r="P355" i="66" s="1"/>
  <c r="P196" i="66" a="1"/>
  <c r="P196" i="66" s="1"/>
  <c r="P203" i="66" s="1" a="1"/>
  <c r="P203" i="66" s="1"/>
  <c r="P223" i="66" a="1"/>
  <c r="P223" i="66" s="1"/>
  <c r="P230" i="66" s="1" a="1"/>
  <c r="P230" i="66" s="1"/>
  <c r="P424" i="66" a="1"/>
  <c r="P424" i="66" s="1"/>
  <c r="P415" i="66" a="1"/>
  <c r="P415" i="66" s="1"/>
  <c r="P205" i="66" a="1"/>
  <c r="P205" i="66" s="1"/>
  <c r="P212" i="66" s="1" a="1"/>
  <c r="P212" i="66" s="1"/>
  <c r="P31" i="66" a="1"/>
  <c r="P31" i="66" s="1"/>
  <c r="P38" i="66" s="1" a="1"/>
  <c r="P38" i="66" s="1"/>
  <c r="P136" i="66" a="1"/>
  <c r="P136" i="66" s="1"/>
  <c r="P143" i="66" s="1" a="1"/>
  <c r="P143" i="66" s="1"/>
  <c r="P346" i="66" a="1"/>
  <c r="P346" i="66" s="1"/>
  <c r="L9" i="57" a="1"/>
  <c r="L9" i="57" s="1"/>
  <c r="I196" i="66" a="1"/>
  <c r="I196" i="66" s="1"/>
  <c r="I203" i="66" s="1" a="1"/>
  <c r="I203" i="66" s="1"/>
  <c r="H96" i="52" a="1"/>
  <c r="H96" i="52" s="1"/>
  <c r="F98" i="52" a="1"/>
  <c r="F98" i="52" s="1"/>
  <c r="F100" i="52" a="1"/>
  <c r="F100" i="52" s="1"/>
  <c r="F99" i="52" a="1"/>
  <c r="F99" i="52" s="1"/>
  <c r="F97" i="52" a="1"/>
  <c r="F97" i="52" s="1"/>
  <c r="H99" i="52" a="1"/>
  <c r="H99" i="52" s="1"/>
  <c r="P170" i="52" a="1"/>
  <c r="P170" i="52" s="1"/>
  <c r="I22" i="66" a="1"/>
  <c r="I22" i="66" s="1"/>
  <c r="I29" i="66" s="1" a="1"/>
  <c r="I29" i="66" s="1"/>
  <c r="I100" i="52" a="1"/>
  <c r="I100" i="52" s="1"/>
  <c r="I96" i="52" a="1"/>
  <c r="I96" i="52" s="1"/>
  <c r="I97" i="52" a="1"/>
  <c r="I97" i="52" s="1"/>
  <c r="P171" i="52" a="1"/>
  <c r="P171" i="52" s="1"/>
  <c r="I205" i="66" a="1"/>
  <c r="I205" i="66" s="1"/>
  <c r="I212" i="66" s="1" a="1"/>
  <c r="I212" i="66" s="1"/>
  <c r="I223" i="66" a="1"/>
  <c r="I223" i="66" s="1"/>
  <c r="I230" i="66" s="1" a="1"/>
  <c r="I230" i="66" s="1"/>
  <c r="F172" i="52" a="1"/>
  <c r="F172" i="52" s="1"/>
  <c r="F96" i="52" a="1"/>
  <c r="F96" i="52" s="1"/>
  <c r="F101" i="52" a="1"/>
  <c r="F101" i="52" s="1"/>
  <c r="H170" i="52" a="1"/>
  <c r="H170" i="52" s="1"/>
  <c r="H97" i="52" a="1"/>
  <c r="H97" i="52" s="1"/>
  <c r="I99" i="52" a="1"/>
  <c r="I99" i="52" s="1"/>
  <c r="H229" i="52" a="1"/>
  <c r="H229" i="52" s="1"/>
  <c r="F171" i="52" a="1"/>
  <c r="F171" i="52" s="1"/>
  <c r="F174" i="52" a="1"/>
  <c r="F174" i="52" s="1"/>
  <c r="H100" i="52" a="1"/>
  <c r="H100" i="52" s="1"/>
  <c r="F170" i="52" a="1"/>
  <c r="F170" i="52" s="1"/>
  <c r="F175" i="52" a="1"/>
  <c r="F175" i="52" s="1"/>
  <c r="F173" i="52" a="1"/>
  <c r="F173" i="52" s="1"/>
  <c r="I214" i="66" a="1"/>
  <c r="I214" i="66" s="1"/>
  <c r="I221" i="66" s="1" a="1"/>
  <c r="I221" i="66" s="1"/>
  <c r="P209" i="68" a="1"/>
  <c r="P209" i="68" s="1"/>
  <c r="P210" i="68" s="1"/>
  <c r="I209" i="68" a="1"/>
  <c r="I209" i="68" s="1"/>
  <c r="I210" i="68" s="1"/>
  <c r="P198" i="68"/>
  <c r="I131" i="68" a="1"/>
  <c r="I131" i="68" s="1"/>
  <c r="I132" i="68" s="1"/>
  <c r="I47" i="68" a="1"/>
  <c r="I47" i="68" s="1"/>
  <c r="I48" i="68" s="1"/>
  <c r="P142" i="68" a="1"/>
  <c r="P142" i="68" s="1"/>
  <c r="P143" i="68" s="1"/>
  <c r="AP54" i="113" s="1" a="1"/>
  <c r="AP54" i="113" s="1"/>
  <c r="P47" i="68" a="1"/>
  <c r="P47" i="68" s="1"/>
  <c r="P48" i="68" s="1"/>
  <c r="P215" i="68" a="1"/>
  <c r="P215" i="68" s="1"/>
  <c r="P216" i="68" s="1"/>
  <c r="I215" i="68" a="1"/>
  <c r="I215" i="68" s="1"/>
  <c r="I216" i="68" s="1"/>
  <c r="P388" i="66" a="1"/>
  <c r="P388" i="66" s="1"/>
  <c r="I283" i="66" a="1"/>
  <c r="I283" i="66" s="1"/>
  <c r="I85" i="68" a="1"/>
  <c r="I85" i="68" s="1"/>
  <c r="I86" i="68" s="1"/>
  <c r="P171" i="68"/>
  <c r="I181" i="68" a="1"/>
  <c r="I181" i="68" s="1"/>
  <c r="I182" i="68" s="1"/>
  <c r="I58" i="68" a="1"/>
  <c r="I58" i="68" s="1"/>
  <c r="I59" i="68" s="1"/>
  <c r="AE54" i="108" s="1" a="1"/>
  <c r="AE54" i="108" s="1"/>
  <c r="P160" i="66" a="1"/>
  <c r="P160" i="66" s="1"/>
  <c r="I388" i="66" a="1"/>
  <c r="I388" i="66" s="1"/>
  <c r="P169" i="66" a="1"/>
  <c r="P169" i="66" s="1"/>
  <c r="I46" i="66" a="1"/>
  <c r="I46" i="66" s="1"/>
  <c r="I53" i="66" s="1" a="1"/>
  <c r="I53" i="66" s="1"/>
  <c r="P497" i="66" a="1"/>
  <c r="P497" i="66" s="1"/>
  <c r="I497" i="66" a="1"/>
  <c r="I497" i="66" s="1"/>
  <c r="P243" i="68"/>
  <c r="AQ54" i="114" s="1" a="1"/>
  <c r="AQ54" i="114" s="1"/>
  <c r="P58" i="68" a="1"/>
  <c r="P58" i="68" s="1"/>
  <c r="P59" i="68" s="1"/>
  <c r="AI54" i="108" s="1" a="1"/>
  <c r="AI54" i="108" s="1"/>
  <c r="I125" i="68" a="1"/>
  <c r="I125" i="68" s="1"/>
  <c r="I126" i="68" s="1"/>
  <c r="I160" i="66" a="1"/>
  <c r="I160" i="66" s="1"/>
  <c r="I167" i="66" s="1" a="1"/>
  <c r="I167" i="66" s="1"/>
  <c r="I168" i="66" s="1"/>
  <c r="P76" i="68"/>
  <c r="I274" i="66" a="1"/>
  <c r="I274" i="66" s="1"/>
  <c r="I281" i="66" s="1" a="1"/>
  <c r="I281" i="66" s="1"/>
  <c r="I282" i="66" s="1"/>
  <c r="I169" i="66" a="1"/>
  <c r="I169" i="66" s="1"/>
  <c r="I176" i="66" s="1" a="1"/>
  <c r="I176" i="66" s="1"/>
  <c r="I177" i="66" s="1"/>
  <c r="P227" i="68"/>
  <c r="AH54" i="114" s="1" a="1"/>
  <c r="AH54" i="114" s="1"/>
  <c r="AL54" i="114" a="1"/>
  <c r="AL54" i="114" s="1"/>
  <c r="P131" i="68" a="1"/>
  <c r="P131" i="68" s="1"/>
  <c r="P132" i="68" s="1"/>
  <c r="I41" i="68" a="1"/>
  <c r="I41" i="68" s="1"/>
  <c r="I42" i="68" s="1"/>
  <c r="P283" i="66" a="1"/>
  <c r="P283" i="66" s="1"/>
  <c r="I142" i="68" a="1"/>
  <c r="I142" i="68" s="1"/>
  <c r="I143" i="68" s="1"/>
  <c r="P181" i="68" a="1"/>
  <c r="P181" i="68" s="1"/>
  <c r="P182" i="68" s="1"/>
  <c r="P54" i="114" s="1" a="1"/>
  <c r="P54" i="114" s="1"/>
  <c r="I55" i="66" a="1"/>
  <c r="I55" i="66" s="1"/>
  <c r="P46" i="66" a="1"/>
  <c r="P46" i="66" s="1"/>
  <c r="P274" i="66" a="1"/>
  <c r="P274" i="66" s="1"/>
  <c r="P125" i="68" a="1"/>
  <c r="P125" i="68" s="1"/>
  <c r="P126" i="68" s="1"/>
  <c r="I226" i="68" a="1"/>
  <c r="I226" i="68" s="1"/>
  <c r="I227" i="68" s="1"/>
  <c r="AD54" i="114" s="1" a="1"/>
  <c r="AD54" i="114" s="1"/>
  <c r="I379" i="66" a="1"/>
  <c r="I379" i="66" s="1"/>
  <c r="P55" i="66" a="1"/>
  <c r="P55" i="66" s="1"/>
  <c r="P85" i="68" a="1"/>
  <c r="P85" i="68" s="1"/>
  <c r="P86" i="68" s="1"/>
  <c r="P41" i="68" a="1"/>
  <c r="P41" i="68" s="1"/>
  <c r="P42" i="68" s="1"/>
  <c r="P379" i="66" a="1"/>
  <c r="P379" i="66" s="1"/>
  <c r="P229" i="52" a="1"/>
  <c r="P229" i="52" s="1"/>
  <c r="F461" i="66" a="1"/>
  <c r="F461" i="66" s="1"/>
  <c r="F471" i="66" a="1"/>
  <c r="F471" i="66" s="1"/>
  <c r="F481" i="66" a="1"/>
  <c r="F481" i="66" s="1"/>
  <c r="P16" i="52" a="1"/>
  <c r="P16" i="52" s="1"/>
  <c r="F566" i="66" a="1"/>
  <c r="F566" i="66" s="1"/>
  <c r="F211" i="52" a="1"/>
  <c r="F211" i="52" s="1"/>
  <c r="F89" i="66" a="1"/>
  <c r="F89" i="66" s="1"/>
  <c r="F264" i="66" a="1"/>
  <c r="F264" i="66" s="1"/>
  <c r="F311" i="66" a="1"/>
  <c r="F311" i="66" s="1"/>
  <c r="F427" i="66" a="1"/>
  <c r="F427" i="66" s="1"/>
  <c r="F321" i="66" a="1"/>
  <c r="F321" i="66" s="1"/>
  <c r="F129" i="66" a="1"/>
  <c r="F129" i="66" s="1"/>
  <c r="F228" i="66" a="1"/>
  <c r="F228" i="66" s="1"/>
  <c r="F149" i="66" a="1"/>
  <c r="F149" i="66" s="1"/>
  <c r="F206" i="66" a="1"/>
  <c r="F206" i="66" s="1"/>
  <c r="F153" i="52" a="1"/>
  <c r="F153" i="52" s="1"/>
  <c r="F584" i="66" a="1"/>
  <c r="F584" i="66" s="1"/>
  <c r="F139" i="66" a="1"/>
  <c r="F139" i="66" s="1"/>
  <c r="F78" i="52" a="1"/>
  <c r="F78" i="52" s="1"/>
  <c r="F199" i="66" a="1"/>
  <c r="F199" i="66" s="1"/>
  <c r="F562" i="66" a="1"/>
  <c r="F562" i="66" s="1"/>
  <c r="AR60" i="116" s="1" a="1"/>
  <c r="AR60" i="116" s="1"/>
  <c r="F26" i="66" a="1"/>
  <c r="F26" i="66" s="1"/>
  <c r="F254" i="66" a="1"/>
  <c r="F254" i="66" s="1"/>
  <c r="F23" i="66" a="1"/>
  <c r="F23" i="66" s="1"/>
  <c r="F309" i="52" a="1"/>
  <c r="F309" i="52" s="1"/>
  <c r="F124" i="52" a="1"/>
  <c r="F124" i="52" s="1"/>
  <c r="F365" i="66" a="1"/>
  <c r="F365" i="66" s="1"/>
  <c r="F201" i="66" a="1"/>
  <c r="F201" i="66" s="1"/>
  <c r="F122" i="66" a="1"/>
  <c r="F122" i="66" s="1"/>
  <c r="F136" i="66" a="1"/>
  <c r="F136" i="66" s="1"/>
  <c r="F424" i="66" a="1"/>
  <c r="F424" i="66" s="1"/>
  <c r="AQ60" i="115" s="1" a="1"/>
  <c r="AQ60" i="115" s="1"/>
  <c r="F212" i="66" a="1"/>
  <c r="F212" i="66" s="1"/>
  <c r="F323" i="66" a="1"/>
  <c r="F323" i="66" s="1"/>
  <c r="F132" i="66" a="1"/>
  <c r="F132" i="66" s="1"/>
  <c r="F138" i="66" a="1"/>
  <c r="F138" i="66" s="1"/>
  <c r="F426" i="66" a="1"/>
  <c r="F426" i="66" s="1"/>
  <c r="F353" i="66" a="1"/>
  <c r="F353" i="66" s="1"/>
  <c r="F565" i="66" a="1"/>
  <c r="F565" i="66" s="1"/>
  <c r="F425" i="66" a="1"/>
  <c r="F425" i="66" s="1"/>
  <c r="F221" i="66" a="1"/>
  <c r="F221" i="66" s="1"/>
  <c r="F575" i="66" a="1"/>
  <c r="F575" i="66" s="1"/>
  <c r="F118" i="66" a="1"/>
  <c r="F118" i="66" s="1"/>
  <c r="F585" i="66" a="1"/>
  <c r="F585" i="66" s="1"/>
  <c r="F137" i="66" a="1"/>
  <c r="F137" i="66" s="1"/>
  <c r="F98" i="66" a="1"/>
  <c r="F98" i="66" s="1"/>
  <c r="F272" i="52" a="1"/>
  <c r="F272" i="52" s="1"/>
  <c r="F310" i="52" a="1"/>
  <c r="F310" i="52" s="1"/>
  <c r="F152" i="52" a="1"/>
  <c r="F152" i="52" s="1"/>
  <c r="F271" i="52" a="1"/>
  <c r="F271" i="52" s="1"/>
  <c r="F25" i="66" a="1"/>
  <c r="F25" i="66" s="1"/>
  <c r="F31" i="66" a="1"/>
  <c r="F31" i="66" s="1"/>
  <c r="Z60" i="108" s="1" a="1"/>
  <c r="Z60" i="108" s="1"/>
  <c r="F75" i="52" a="1"/>
  <c r="F75" i="52" s="1"/>
  <c r="F350" i="66" a="1"/>
  <c r="F350" i="66" s="1"/>
  <c r="F583" i="66" a="1"/>
  <c r="F583" i="66" s="1"/>
  <c r="F563" i="66" a="1"/>
  <c r="F563" i="66" s="1"/>
  <c r="F218" i="66" a="1"/>
  <c r="F218" i="66" s="1"/>
  <c r="F152" i="66" a="1"/>
  <c r="F152" i="66" s="1"/>
  <c r="F320" i="66" a="1"/>
  <c r="F320" i="66" s="1"/>
  <c r="F96" i="66" a="1"/>
  <c r="F96" i="66" s="1"/>
  <c r="F196" i="66" a="1"/>
  <c r="F196" i="66" s="1"/>
  <c r="F197" i="66" a="1"/>
  <c r="F197" i="66" s="1"/>
  <c r="F134" i="66" a="1"/>
  <c r="F134" i="66" s="1"/>
  <c r="F369" i="66" a="1"/>
  <c r="F369" i="66" s="1"/>
  <c r="F207" i="66" a="1"/>
  <c r="F207" i="66" s="1"/>
  <c r="F29" i="66" a="1"/>
  <c r="F29" i="66" s="1"/>
  <c r="F266" i="66" a="1"/>
  <c r="F266" i="66" s="1"/>
  <c r="F217" i="66" a="1"/>
  <c r="F217" i="66" s="1"/>
  <c r="F27" i="66" a="1"/>
  <c r="F27" i="66" s="1"/>
  <c r="F247" i="52" a="1"/>
  <c r="F247" i="52" s="1"/>
  <c r="F189" i="52" a="1"/>
  <c r="F189" i="52" s="1"/>
  <c r="F77" i="52" a="1"/>
  <c r="F77" i="52" s="1"/>
  <c r="F420" i="66" a="1"/>
  <c r="F420" i="66" s="1"/>
  <c r="J420" i="66" s="1"/>
  <c r="F95" i="66" a="1"/>
  <c r="F95" i="66" s="1"/>
  <c r="F572" i="66" a="1"/>
  <c r="F572" i="66" s="1"/>
  <c r="AQ60" i="116" s="1" a="1"/>
  <c r="AQ60" i="116" s="1"/>
  <c r="F440" i="66" a="1"/>
  <c r="F440" i="66" s="1"/>
  <c r="F419" i="66" a="1"/>
  <c r="F419" i="66" s="1"/>
  <c r="F123" i="52" a="1"/>
  <c r="F123" i="52" s="1"/>
  <c r="F34" i="66" a="1"/>
  <c r="F34" i="66" s="1"/>
  <c r="F39" i="66" a="1"/>
  <c r="F39" i="66" s="1"/>
  <c r="F249" i="52" a="1"/>
  <c r="F249" i="52" s="1"/>
  <c r="F17" i="52" a="1"/>
  <c r="F17" i="52" s="1"/>
  <c r="F32" i="66" a="1"/>
  <c r="F32" i="66" s="1"/>
  <c r="F215" i="66" a="1"/>
  <c r="F215" i="66" s="1"/>
  <c r="F270" i="52" a="1"/>
  <c r="F270" i="52" s="1"/>
  <c r="F16" i="52" a="1"/>
  <c r="F16" i="52" s="1"/>
  <c r="F416" i="66" a="1"/>
  <c r="F416" i="66" s="1"/>
  <c r="F357" i="66" a="1"/>
  <c r="F357" i="66" s="1"/>
  <c r="F362" i="66" a="1"/>
  <c r="F362" i="66" s="1"/>
  <c r="F371" i="66" a="1"/>
  <c r="F371" i="66" s="1"/>
  <c r="F348" i="66" a="1"/>
  <c r="F348" i="66" s="1"/>
  <c r="F216" i="66" a="1"/>
  <c r="F216" i="66" s="1"/>
  <c r="F210" i="52" a="1"/>
  <c r="F210" i="52" s="1"/>
  <c r="F219" i="66" a="1"/>
  <c r="F219" i="66" s="1"/>
  <c r="F214" i="66" a="1"/>
  <c r="F214" i="66" s="1"/>
  <c r="F587" i="66" a="1"/>
  <c r="F587" i="66" s="1"/>
  <c r="F314" i="66" a="1"/>
  <c r="F314" i="66" s="1"/>
  <c r="F92" i="66" a="1"/>
  <c r="F92" i="66" s="1"/>
  <c r="F355" i="66" a="1"/>
  <c r="F355" i="66" s="1"/>
  <c r="F576" i="66" a="1"/>
  <c r="F576" i="66" s="1"/>
  <c r="F436" i="66" a="1"/>
  <c r="F436" i="66" s="1"/>
  <c r="F570" i="66" a="1"/>
  <c r="F570" i="66" s="1"/>
  <c r="F263" i="66" a="1"/>
  <c r="F263" i="66" s="1"/>
  <c r="F94" i="66" a="1"/>
  <c r="F94" i="66" s="1"/>
  <c r="F580" i="66" a="1"/>
  <c r="F580" i="66" s="1"/>
  <c r="F569" i="66" a="1"/>
  <c r="F569" i="66" s="1"/>
  <c r="F428" i="66" a="1"/>
  <c r="F428" i="66" s="1"/>
  <c r="F347" i="66" a="1"/>
  <c r="F347" i="66" s="1"/>
  <c r="F579" i="66" a="1"/>
  <c r="F579" i="66" s="1"/>
  <c r="F225" i="66" a="1"/>
  <c r="F225" i="66" s="1"/>
  <c r="F589" i="66" a="1"/>
  <c r="F589" i="66" s="1"/>
  <c r="F140" i="66" a="1"/>
  <c r="F140" i="66" s="1"/>
  <c r="F120" i="66" a="1"/>
  <c r="F120" i="66" s="1"/>
  <c r="F356" i="66" a="1"/>
  <c r="F356" i="66" s="1"/>
  <c r="F150" i="66" a="1"/>
  <c r="F150" i="66" s="1"/>
  <c r="F567" i="66" a="1"/>
  <c r="F567" i="66" s="1"/>
  <c r="F252" i="66" a="1"/>
  <c r="F252" i="66" s="1"/>
  <c r="F351" i="66" a="1"/>
  <c r="F351" i="66" s="1"/>
  <c r="F147" i="66" a="1"/>
  <c r="F147" i="66" s="1"/>
  <c r="F564" i="66" a="1"/>
  <c r="F564" i="66" s="1"/>
  <c r="F230" i="66" a="1"/>
  <c r="F230" i="66" s="1"/>
  <c r="F121" i="66" a="1"/>
  <c r="F121" i="66" s="1"/>
  <c r="F146" i="66" a="1"/>
  <c r="F146" i="66" s="1"/>
  <c r="F125" i="66" a="1"/>
  <c r="F125" i="66" s="1"/>
  <c r="F223" i="66" a="1"/>
  <c r="F223" i="66" s="1"/>
  <c r="F586" i="66" a="1"/>
  <c r="F586" i="66" s="1"/>
  <c r="F313" i="66" a="1"/>
  <c r="F313" i="66" s="1"/>
  <c r="F119" i="66" a="1"/>
  <c r="F119" i="66" s="1"/>
  <c r="F131" i="66" a="1"/>
  <c r="F131" i="66" s="1"/>
  <c r="F148" i="66" a="1"/>
  <c r="F148" i="66" s="1"/>
  <c r="F128" i="66" a="1"/>
  <c r="F128" i="66" s="1"/>
  <c r="F364" i="66" a="1"/>
  <c r="F364" i="66" s="1"/>
  <c r="F200" i="66" a="1"/>
  <c r="F200" i="66" s="1"/>
  <c r="F435" i="66" a="1"/>
  <c r="F435" i="66" s="1"/>
  <c r="F260" i="66" a="1"/>
  <c r="F260" i="66" s="1"/>
  <c r="F210" i="66" a="1"/>
  <c r="F210" i="66" s="1"/>
  <c r="F312" i="66" a="1"/>
  <c r="F312" i="66" s="1"/>
  <c r="F259" i="66" a="1"/>
  <c r="F259" i="66" s="1"/>
  <c r="F205" i="66" a="1"/>
  <c r="F205" i="66" s="1"/>
  <c r="F322" i="66" a="1"/>
  <c r="F322" i="66" s="1"/>
  <c r="F127" i="66" a="1"/>
  <c r="F127" i="66" s="1"/>
  <c r="F415" i="66" a="1"/>
  <c r="F415" i="66" s="1"/>
  <c r="AR60" i="115" s="1" a="1"/>
  <c r="AR60" i="115" s="1"/>
  <c r="F226" i="66" a="1"/>
  <c r="F226" i="66" s="1"/>
  <c r="F36" i="66" a="1"/>
  <c r="F36" i="66" s="1"/>
  <c r="F212" i="52" a="1"/>
  <c r="F212" i="52" s="1"/>
  <c r="F35" i="66" a="1"/>
  <c r="F35" i="66" s="1"/>
  <c r="F53" i="52" a="1"/>
  <c r="F53" i="52" s="1"/>
  <c r="F22" i="66" a="1"/>
  <c r="F22" i="66" s="1"/>
  <c r="AA60" i="108" s="1" a="1"/>
  <c r="AA60" i="108" s="1"/>
  <c r="F360" i="66" a="1"/>
  <c r="F360" i="66" s="1"/>
  <c r="F198" i="66" a="1"/>
  <c r="F198" i="66" s="1"/>
  <c r="F573" i="66" a="1"/>
  <c r="F573" i="66" s="1"/>
  <c r="F208" i="66" a="1"/>
  <c r="F208" i="66" s="1"/>
  <c r="F310" i="66" a="1"/>
  <c r="F310" i="66" s="1"/>
  <c r="AR60" i="114" s="1" a="1"/>
  <c r="AR60" i="114" s="1"/>
  <c r="F86" i="66" a="1"/>
  <c r="F86" i="66" s="1"/>
  <c r="F349" i="66" a="1"/>
  <c r="F349" i="66" s="1"/>
  <c r="F145" i="66" a="1"/>
  <c r="F145" i="66" s="1"/>
  <c r="F433" i="66" a="1"/>
  <c r="F433" i="66" s="1"/>
  <c r="AS60" i="115" s="1" a="1"/>
  <c r="AS60" i="115" s="1"/>
  <c r="F359" i="66" a="1"/>
  <c r="F359" i="66" s="1"/>
  <c r="F38" i="66" a="1"/>
  <c r="F38" i="66" s="1"/>
  <c r="F248" i="52" a="1"/>
  <c r="F248" i="52" s="1"/>
  <c r="F227" i="66" a="1"/>
  <c r="F227" i="66" s="1"/>
  <c r="F141" i="66" a="1"/>
  <c r="F141" i="66" s="1"/>
  <c r="F311" i="52" a="1"/>
  <c r="F311" i="52" s="1"/>
  <c r="F123" i="66" a="1"/>
  <c r="F123" i="66" s="1"/>
  <c r="F431" i="66" a="1"/>
  <c r="F431" i="66" s="1"/>
  <c r="F368" i="66" a="1"/>
  <c r="F368" i="66" s="1"/>
  <c r="F250" i="66" a="1"/>
  <c r="F250" i="66" s="1"/>
  <c r="F582" i="66" a="1"/>
  <c r="F582" i="66" s="1"/>
  <c r="AS60" i="116" s="1" a="1"/>
  <c r="AS60" i="116" s="1"/>
  <c r="F429" i="66" a="1"/>
  <c r="F429" i="66" s="1"/>
  <c r="F358" i="66" a="1"/>
  <c r="F358" i="66" s="1"/>
  <c r="F122" i="52" a="1"/>
  <c r="F122" i="52" s="1"/>
  <c r="F24" i="66" a="1"/>
  <c r="F24" i="66" s="1"/>
  <c r="Q24" i="66" s="1"/>
  <c r="F30" i="66" a="1"/>
  <c r="F30" i="66" s="1"/>
  <c r="F54" i="52" a="1"/>
  <c r="F54" i="52" s="1"/>
  <c r="F33" i="66" a="1"/>
  <c r="F33" i="66" s="1"/>
  <c r="F224" i="66" a="1"/>
  <c r="F224" i="66" s="1"/>
  <c r="F84" i="66" a="1"/>
  <c r="F84" i="66" s="1"/>
  <c r="F121" i="52" a="1"/>
  <c r="F121" i="52" s="1"/>
  <c r="F83" i="66" a="1"/>
  <c r="F83" i="66" s="1"/>
  <c r="F91" i="66" a="1"/>
  <c r="F91" i="66" s="1"/>
  <c r="F188" i="52" a="1"/>
  <c r="F188" i="52" s="1"/>
  <c r="F251" i="66" a="1"/>
  <c r="F251" i="66" s="1"/>
  <c r="F87" i="66" a="1"/>
  <c r="F87" i="66" s="1"/>
  <c r="F417" i="66" a="1"/>
  <c r="F417" i="66" s="1"/>
  <c r="F90" i="66" a="1"/>
  <c r="F90" i="66" s="1"/>
  <c r="F255" i="66" a="1"/>
  <c r="F255" i="66" s="1"/>
  <c r="F366" i="66" a="1"/>
  <c r="F366" i="66" s="1"/>
  <c r="F203" i="66" a="1"/>
  <c r="F203" i="66" s="1"/>
  <c r="F324" i="66" a="1"/>
  <c r="F324" i="66" s="1"/>
  <c r="F209" i="66" a="1"/>
  <c r="F209" i="66" s="1"/>
  <c r="F261" i="66" a="1"/>
  <c r="F261" i="66" s="1"/>
  <c r="F319" i="66" a="1"/>
  <c r="F319" i="66" s="1"/>
  <c r="AQ60" i="114" s="1" a="1"/>
  <c r="AQ60" i="114" s="1"/>
  <c r="F253" i="66" a="1"/>
  <c r="F253" i="66" s="1"/>
  <c r="F590" i="66" a="1"/>
  <c r="F590" i="66" s="1"/>
  <c r="F317" i="66" a="1"/>
  <c r="F317" i="66" s="1"/>
  <c r="F438" i="66" a="1"/>
  <c r="F438" i="66" s="1"/>
  <c r="F367" i="66" a="1"/>
  <c r="F367" i="66" s="1"/>
  <c r="F315" i="66" a="1"/>
  <c r="F315" i="66" s="1"/>
  <c r="F262" i="66" a="1"/>
  <c r="F262" i="66" s="1"/>
  <c r="F93" i="66" a="1"/>
  <c r="F93" i="66" s="1"/>
  <c r="F326" i="66" a="1"/>
  <c r="F326" i="66" s="1"/>
  <c r="F130" i="66" a="1"/>
  <c r="F130" i="66" s="1"/>
  <c r="F418" i="66" a="1"/>
  <c r="F418" i="66" s="1"/>
  <c r="F346" i="66" a="1"/>
  <c r="F346" i="66" s="1"/>
  <c r="F577" i="66" a="1"/>
  <c r="F577" i="66" s="1"/>
  <c r="F437" i="66" a="1"/>
  <c r="F437" i="66" s="1"/>
  <c r="F82" i="66" a="1"/>
  <c r="F82" i="66" s="1"/>
  <c r="F574" i="66" a="1"/>
  <c r="F574" i="66" s="1"/>
  <c r="F434" i="66" a="1"/>
  <c r="F434" i="66" s="1"/>
  <c r="F85" i="66" a="1"/>
  <c r="F85" i="66" s="1"/>
  <c r="D33" i="57" a="1"/>
  <c r="D33" i="57" s="1"/>
  <c r="D27" i="57" a="1"/>
  <c r="D27" i="57" s="1"/>
  <c r="L33" i="57" a="1"/>
  <c r="L33" i="57" s="1"/>
  <c r="L27" i="57" a="1"/>
  <c r="L27" i="57" s="1"/>
  <c r="F15" i="57" a="1"/>
  <c r="F15" i="57" s="1"/>
  <c r="L21" i="57" a="1"/>
  <c r="L21" i="57" s="1"/>
  <c r="N15" i="57" a="1"/>
  <c r="N15" i="57" s="1"/>
  <c r="F21" i="57" a="1"/>
  <c r="F21" i="57" s="1"/>
  <c r="N33" i="57" a="1"/>
  <c r="N33" i="57" s="1"/>
  <c r="N21" i="57" a="1"/>
  <c r="N21" i="57" s="1"/>
  <c r="N27" i="57" a="1"/>
  <c r="N27" i="57" s="1"/>
  <c r="F9" i="57" a="1"/>
  <c r="F9" i="57" s="1"/>
  <c r="F33" i="57" a="1"/>
  <c r="F33" i="57" s="1"/>
  <c r="D21" i="57" a="1"/>
  <c r="D21" i="57" s="1"/>
  <c r="F27" i="57" a="1"/>
  <c r="F27" i="57" s="1"/>
  <c r="L15" i="57" a="1"/>
  <c r="L15" i="57" s="1"/>
  <c r="D15" i="57" a="1"/>
  <c r="D15" i="57" s="1"/>
  <c r="N9" i="57" a="1"/>
  <c r="N9" i="57" s="1"/>
  <c r="D9" i="57" a="1"/>
  <c r="D9" i="57" s="1"/>
  <c r="H211" i="52" a="1"/>
  <c r="H211" i="52" s="1"/>
  <c r="H270" i="52" a="1"/>
  <c r="H270" i="52" s="1"/>
  <c r="F479" i="66" a="1"/>
  <c r="F479" i="66" s="1"/>
  <c r="O76" i="52" a="1"/>
  <c r="O76" i="52" s="1"/>
  <c r="H272" i="52" a="1"/>
  <c r="H272" i="52" s="1"/>
  <c r="O77" i="52" a="1"/>
  <c r="O77" i="52" s="1"/>
  <c r="H212" i="52" a="1"/>
  <c r="H212" i="52" s="1"/>
  <c r="O75" i="52" a="1"/>
  <c r="O75" i="52" s="1"/>
  <c r="F482" i="66" a="1"/>
  <c r="F482" i="66" s="1"/>
  <c r="F462" i="66" a="1"/>
  <c r="F462" i="66" s="1"/>
  <c r="O271" i="52" a="1"/>
  <c r="O271" i="52" s="1"/>
  <c r="F465" i="66" a="1"/>
  <c r="F465" i="66" s="1"/>
  <c r="F485" i="66" a="1"/>
  <c r="F485" i="66" s="1"/>
  <c r="F486" i="66" a="1"/>
  <c r="F486" i="66" s="1"/>
  <c r="O211" i="52" a="1"/>
  <c r="O211" i="52" s="1"/>
  <c r="F484" i="66" a="1"/>
  <c r="F484" i="66" s="1"/>
  <c r="F472" i="66" a="1"/>
  <c r="F472" i="66" s="1"/>
  <c r="H75" i="52" a="1"/>
  <c r="H75" i="52" s="1"/>
  <c r="F473" i="66" a="1"/>
  <c r="F473" i="66" s="1"/>
  <c r="H271" i="52" a="1"/>
  <c r="H271" i="52" s="1"/>
  <c r="F478" i="66" a="1"/>
  <c r="F478" i="66" s="1"/>
  <c r="O152" i="52" a="1"/>
  <c r="O152" i="52" s="1"/>
  <c r="F476" i="66" a="1"/>
  <c r="F476" i="66" s="1"/>
  <c r="F483" i="66" a="1"/>
  <c r="F483" i="66" s="1"/>
  <c r="O78" i="52" a="1"/>
  <c r="O78" i="52" s="1"/>
  <c r="H210" i="52" a="1"/>
  <c r="H210" i="52" s="1"/>
  <c r="O17" i="52" a="1"/>
  <c r="O17" i="52" s="1"/>
  <c r="F489" i="66" a="1"/>
  <c r="F489" i="66" s="1"/>
  <c r="O212" i="52" a="1"/>
  <c r="O212" i="52" s="1"/>
  <c r="F463" i="66" a="1"/>
  <c r="F463" i="66" s="1"/>
  <c r="O210" i="52" a="1"/>
  <c r="O210" i="52" s="1"/>
  <c r="H77" i="52" a="1"/>
  <c r="H77" i="52" s="1"/>
  <c r="H16" i="52" a="1"/>
  <c r="H16" i="52" s="1"/>
  <c r="H153" i="52" a="1"/>
  <c r="H153" i="52" s="1"/>
  <c r="F469" i="66" a="1"/>
  <c r="F469" i="66" s="1"/>
  <c r="F474" i="66" a="1"/>
  <c r="F474" i="66" s="1"/>
  <c r="F464" i="66" a="1"/>
  <c r="F464" i="66" s="1"/>
  <c r="F466" i="66" a="1"/>
  <c r="F466" i="66" s="1"/>
  <c r="H152" i="52" a="1"/>
  <c r="H152" i="52" s="1"/>
  <c r="H78" i="52" a="1"/>
  <c r="H78" i="52" s="1"/>
  <c r="O272" i="52" a="1"/>
  <c r="O272" i="52" s="1"/>
  <c r="H17" i="52" a="1"/>
  <c r="H17" i="52" s="1"/>
  <c r="F475" i="66" a="1"/>
  <c r="F475" i="66" s="1"/>
  <c r="O153" i="52" a="1"/>
  <c r="O153" i="52" s="1"/>
  <c r="H311" i="52" a="1"/>
  <c r="H311" i="52" s="1"/>
  <c r="H312" i="52" a="1"/>
  <c r="H312" i="52" s="1"/>
  <c r="H309" i="52" a="1"/>
  <c r="H309" i="52" s="1"/>
  <c r="H310" i="52" a="1"/>
  <c r="H310" i="52" s="1"/>
  <c r="I357" i="66" a="1"/>
  <c r="I357" i="66" s="1"/>
  <c r="I310" i="66" a="1"/>
  <c r="I310" i="66" s="1"/>
  <c r="P351" i="66" a="1"/>
  <c r="P351" i="66" s="1"/>
  <c r="P419" i="66" a="1"/>
  <c r="P419" i="66" s="1"/>
  <c r="I584" i="66" a="1"/>
  <c r="I584" i="66" s="1"/>
  <c r="P574" i="66" a="1"/>
  <c r="P574" i="66" s="1"/>
  <c r="P584" i="66" a="1"/>
  <c r="P584" i="66" s="1"/>
  <c r="P585" i="66" a="1"/>
  <c r="P585" i="66" s="1"/>
  <c r="P550" i="66" a="1"/>
  <c r="P550" i="66" s="1"/>
  <c r="I575" i="66" a="1"/>
  <c r="I575" i="66" s="1"/>
  <c r="O463" i="66" a="1"/>
  <c r="O463" i="66" s="1"/>
  <c r="O491" i="66" s="1"/>
  <c r="X52" i="116" s="1" a="1"/>
  <c r="X52" i="116" s="1"/>
  <c r="P358" i="66" a="1"/>
  <c r="P358" i="66" s="1"/>
  <c r="O299" i="66" a="1"/>
  <c r="O299" i="66" s="1"/>
  <c r="O305" i="66" s="1"/>
  <c r="AG52" i="114" s="1" a="1"/>
  <c r="AG52" i="114" s="1"/>
  <c r="I367" i="66" a="1"/>
  <c r="I367" i="66" s="1"/>
  <c r="P357" i="66" a="1"/>
  <c r="P357" i="66" s="1"/>
  <c r="P367" i="66" a="1"/>
  <c r="P367" i="66" s="1"/>
  <c r="P334" i="66" a="1"/>
  <c r="P334" i="66" s="1"/>
  <c r="I356" i="66" a="1"/>
  <c r="I356" i="66" s="1"/>
  <c r="P483" i="66" a="1"/>
  <c r="P483" i="66" s="1"/>
  <c r="I351" i="66" a="1"/>
  <c r="I351" i="66" s="1"/>
  <c r="I450" i="66" a="1"/>
  <c r="I450" i="66" s="1"/>
  <c r="I448" i="66" a="1"/>
  <c r="I448" i="66" s="1"/>
  <c r="P392" i="66" a="1"/>
  <c r="P392" i="66" s="1"/>
  <c r="P549" i="66" a="1"/>
  <c r="P549" i="66" s="1"/>
  <c r="I393" i="66" a="1"/>
  <c r="I393" i="66" s="1"/>
  <c r="I564" i="66" a="1"/>
  <c r="I564" i="66" s="1"/>
  <c r="P498" i="66" a="1"/>
  <c r="P498" i="66" s="1"/>
  <c r="I286" i="66" a="1"/>
  <c r="I286" i="66" s="1"/>
  <c r="H348" i="66" a="1"/>
  <c r="H348" i="66" s="1"/>
  <c r="H299" i="66" a="1"/>
  <c r="H299" i="66" s="1"/>
  <c r="H305" i="66" s="1"/>
  <c r="AC52" i="114" s="1" a="1"/>
  <c r="AC52" i="114" s="1"/>
  <c r="I365" i="66" a="1"/>
  <c r="I365" i="66" s="1"/>
  <c r="H312" i="66" a="1"/>
  <c r="H312" i="66" s="1"/>
  <c r="P417" i="66" a="1"/>
  <c r="P417" i="66" s="1"/>
  <c r="I348" i="66" a="1"/>
  <c r="I348" i="66" s="1"/>
  <c r="P484" i="66" a="1"/>
  <c r="P484" i="66" s="1"/>
  <c r="I369" i="66" a="1"/>
  <c r="I369" i="66" s="1"/>
  <c r="P350" i="66" a="1"/>
  <c r="P350" i="66" s="1"/>
  <c r="P449" i="66" a="1"/>
  <c r="P449" i="66" s="1"/>
  <c r="I583" i="66" a="1"/>
  <c r="I583" i="66" s="1"/>
  <c r="I574" i="66" a="1"/>
  <c r="I574" i="66" s="1"/>
  <c r="P563" i="66" a="1"/>
  <c r="P563" i="66" s="1"/>
  <c r="P565" i="66" a="1"/>
  <c r="P565" i="66" s="1"/>
  <c r="I337" i="66" a="1"/>
  <c r="I337" i="66" s="1"/>
  <c r="P286" i="66" a="1"/>
  <c r="P286" i="66" s="1"/>
  <c r="P390" i="66" a="1"/>
  <c r="P390" i="66" s="1"/>
  <c r="I391" i="66" a="1"/>
  <c r="I391" i="66" s="1"/>
  <c r="H335" i="66" a="1"/>
  <c r="H335" i="66" s="1"/>
  <c r="H341" i="66" s="1"/>
  <c r="K52" i="115" s="1" a="1"/>
  <c r="K52" i="115" s="1"/>
  <c r="K65" i="115" s="1"/>
  <c r="O312" i="66" a="1"/>
  <c r="O312" i="66" s="1"/>
  <c r="O328" i="66" s="1"/>
  <c r="AP52" i="114" s="1" a="1"/>
  <c r="AP52" i="114" s="1"/>
  <c r="O348" i="66" a="1"/>
  <c r="O348" i="66" s="1"/>
  <c r="O373" i="66" s="1"/>
  <c r="I347" i="66" a="1"/>
  <c r="I347" i="66" s="1"/>
  <c r="I336" i="66" a="1"/>
  <c r="I336" i="66" s="1"/>
  <c r="I359" i="66" a="1"/>
  <c r="I359" i="66" s="1"/>
  <c r="I360" i="66" a="1"/>
  <c r="I360" i="66" s="1"/>
  <c r="I473" i="66" a="1"/>
  <c r="I473" i="66" s="1"/>
  <c r="P338" i="66" a="1"/>
  <c r="P338" i="66" s="1"/>
  <c r="P407" i="66" a="1"/>
  <c r="P407" i="66" s="1"/>
  <c r="I500" i="66" a="1"/>
  <c r="I500" i="66" s="1"/>
  <c r="I407" i="66" a="1"/>
  <c r="I407" i="66" s="1"/>
  <c r="I409" i="66" s="1" a="1"/>
  <c r="I409" i="66" s="1"/>
  <c r="I498" i="66" a="1"/>
  <c r="I498" i="66" s="1"/>
  <c r="I338" i="66" a="1"/>
  <c r="I338" i="66" s="1"/>
  <c r="I573" i="66" a="1"/>
  <c r="I573" i="66" s="1"/>
  <c r="H404" i="66" a="1"/>
  <c r="H404" i="66" s="1"/>
  <c r="H410" i="66" s="1"/>
  <c r="AC52" i="115" s="1" a="1"/>
  <c r="AC52" i="115" s="1"/>
  <c r="I380" i="66" a="1"/>
  <c r="I380" i="66" s="1"/>
  <c r="P380" i="66" a="1"/>
  <c r="P380" i="66" s="1"/>
  <c r="P389" i="66" a="1"/>
  <c r="P389" i="66" s="1"/>
  <c r="O335" i="66" a="1"/>
  <c r="O335" i="66" s="1"/>
  <c r="O341" i="66" s="1"/>
  <c r="O52" i="115" s="1" a="1"/>
  <c r="O52" i="115" s="1"/>
  <c r="O65" i="115" s="1"/>
  <c r="P287" i="66" a="1"/>
  <c r="P287" i="66" s="1"/>
  <c r="I358" i="66" a="1"/>
  <c r="I358" i="66" s="1"/>
  <c r="I334" i="66" a="1"/>
  <c r="I334" i="66" s="1"/>
  <c r="I482" i="66" a="1"/>
  <c r="I482" i="66" s="1"/>
  <c r="I472" i="66" a="1"/>
  <c r="I472" i="66" s="1"/>
  <c r="I474" i="66" a="1"/>
  <c r="I474" i="66" s="1"/>
  <c r="I449" i="66" a="1"/>
  <c r="I449" i="66" s="1"/>
  <c r="P448" i="66" a="1"/>
  <c r="P448" i="66" s="1"/>
  <c r="P499" i="66" a="1"/>
  <c r="P499" i="66" s="1"/>
  <c r="P583" i="66" a="1"/>
  <c r="P583" i="66" s="1"/>
  <c r="P575" i="66" a="1"/>
  <c r="P575" i="66" s="1"/>
  <c r="I392" i="66" a="1"/>
  <c r="I392" i="66" s="1"/>
  <c r="I335" i="66" a="1"/>
  <c r="I335" i="66" s="1"/>
  <c r="P336" i="66" a="1"/>
  <c r="P336" i="66" s="1"/>
  <c r="P382" i="66" a="1"/>
  <c r="P382" i="66" s="1"/>
  <c r="P381" i="66" a="1"/>
  <c r="P381" i="66" s="1"/>
  <c r="P391" i="66" a="1"/>
  <c r="P391" i="66" s="1"/>
  <c r="I381" i="66" a="1"/>
  <c r="I381" i="66" s="1"/>
  <c r="O404" i="66" a="1"/>
  <c r="O404" i="66" s="1"/>
  <c r="O410" i="66" s="1"/>
  <c r="AG52" i="115" s="1" a="1"/>
  <c r="AG52" i="115" s="1"/>
  <c r="I315" i="66" a="1"/>
  <c r="I315" i="66" s="1"/>
  <c r="I483" i="66" a="1"/>
  <c r="I483" i="66" s="1"/>
  <c r="P368" i="66" a="1"/>
  <c r="P368" i="66" s="1"/>
  <c r="I368" i="66" a="1"/>
  <c r="I368" i="66" s="1"/>
  <c r="P359" i="66" a="1"/>
  <c r="P359" i="66" s="1"/>
  <c r="P420" i="66" a="1"/>
  <c r="P420" i="66" s="1"/>
  <c r="I585" i="66" a="1"/>
  <c r="I585" i="66" s="1"/>
  <c r="P500" i="66" a="1"/>
  <c r="P500" i="66" s="1"/>
  <c r="I499" i="66" a="1"/>
  <c r="I499" i="66" s="1"/>
  <c r="I550" i="66" a="1"/>
  <c r="I550" i="66" s="1"/>
  <c r="H463" i="66" a="1"/>
  <c r="H463" i="66" s="1"/>
  <c r="S53" i="116" s="1" a="1"/>
  <c r="S53" i="116" s="1"/>
  <c r="I563" i="66" a="1"/>
  <c r="I563" i="66" s="1"/>
  <c r="P335" i="66" a="1"/>
  <c r="P335" i="66" s="1"/>
  <c r="I366" i="66" a="1"/>
  <c r="I366" i="66" s="1"/>
  <c r="I314" i="66" a="1"/>
  <c r="I314" i="66" s="1"/>
  <c r="I389" i="66" a="1"/>
  <c r="I389" i="66" s="1"/>
  <c r="I287" i="66" a="1"/>
  <c r="I287" i="66" s="1"/>
  <c r="I390" i="66" a="1"/>
  <c r="I390" i="66" s="1"/>
  <c r="P288" i="66" a="1"/>
  <c r="P288" i="66" s="1"/>
  <c r="P416" i="66" a="1"/>
  <c r="P416" i="66" s="1"/>
  <c r="P482" i="66" a="1"/>
  <c r="P482" i="66" s="1"/>
  <c r="P473" i="66" a="1"/>
  <c r="P473" i="66" s="1"/>
  <c r="P472" i="66" a="1"/>
  <c r="P472" i="66" s="1"/>
  <c r="P474" i="66" a="1"/>
  <c r="P474" i="66" s="1"/>
  <c r="I419" i="66" a="1"/>
  <c r="I419" i="66" s="1"/>
  <c r="P450" i="66" a="1"/>
  <c r="P450" i="66" s="1"/>
  <c r="P551" i="66" a="1"/>
  <c r="P551" i="66" s="1"/>
  <c r="I383" i="66" a="1"/>
  <c r="I383" i="66" s="1"/>
  <c r="P393" i="66" a="1"/>
  <c r="P393" i="66" s="1"/>
  <c r="P384" i="66" a="1"/>
  <c r="P384" i="66" s="1"/>
  <c r="P383" i="66" a="1"/>
  <c r="P383" i="66" s="1"/>
  <c r="I565" i="66" a="1"/>
  <c r="I565" i="66" s="1"/>
  <c r="P349" i="66" a="1"/>
  <c r="P349" i="66" s="1"/>
  <c r="P365" i="66" a="1"/>
  <c r="P365" i="66" s="1"/>
  <c r="I418" i="66" a="1"/>
  <c r="I418" i="66" s="1"/>
  <c r="P315" i="66" a="1"/>
  <c r="P315" i="66" s="1"/>
  <c r="I416" i="66" a="1"/>
  <c r="I416" i="66" s="1"/>
  <c r="I382" i="66" a="1"/>
  <c r="I382" i="66" s="1"/>
  <c r="P314" i="66" a="1"/>
  <c r="P314" i="66" s="1"/>
  <c r="P348" i="66" a="1"/>
  <c r="P348" i="66" s="1"/>
  <c r="I484" i="66" a="1"/>
  <c r="I484" i="66" s="1"/>
  <c r="P369" i="66" a="1"/>
  <c r="P369" i="66" s="1"/>
  <c r="I350" i="66" a="1"/>
  <c r="I350" i="66" s="1"/>
  <c r="P360" i="66" a="1"/>
  <c r="P360" i="66" s="1"/>
  <c r="P337" i="66" a="1"/>
  <c r="P337" i="66" s="1"/>
  <c r="P573" i="66" a="1"/>
  <c r="P573" i="66" s="1"/>
  <c r="P564" i="66" a="1"/>
  <c r="P564" i="66" s="1"/>
  <c r="I551" i="66" a="1"/>
  <c r="I551" i="66" s="1"/>
  <c r="I549" i="66" a="1"/>
  <c r="I549" i="66" s="1"/>
  <c r="I384" i="66" a="1"/>
  <c r="I384" i="66" s="1"/>
  <c r="P356" i="66" a="1"/>
  <c r="P356" i="66" s="1"/>
  <c r="P366" i="66" a="1"/>
  <c r="P366" i="66" s="1"/>
  <c r="P347" i="66" a="1"/>
  <c r="P347" i="66" s="1"/>
  <c r="I417" i="66" a="1"/>
  <c r="I417" i="66" s="1"/>
  <c r="I349" i="66" a="1"/>
  <c r="I349" i="66" s="1"/>
  <c r="I288" i="66" a="1"/>
  <c r="I288" i="66" s="1"/>
  <c r="P418" i="66" a="1"/>
  <c r="P418" i="66" s="1"/>
  <c r="I118" i="66" a="1"/>
  <c r="I118" i="66" s="1"/>
  <c r="P270" i="52" a="1"/>
  <c r="P270" i="52" s="1"/>
  <c r="F328" i="66" a="1"/>
  <c r="F328" i="66" s="1"/>
  <c r="AS60" i="114" s="1" a="1"/>
  <c r="AS60" i="114" s="1"/>
  <c r="AS61" i="114" s="1"/>
  <c r="F373" i="66" a="1"/>
  <c r="F373" i="66" s="1"/>
  <c r="F592" i="66" a="1"/>
  <c r="F592" i="66" s="1"/>
  <c r="F40" i="66" a="1"/>
  <c r="F40" i="66" s="1"/>
  <c r="F268" i="66" a="1"/>
  <c r="F268" i="66" s="1"/>
  <c r="AN60" i="114" s="1" a="1"/>
  <c r="AN60" i="114" s="1"/>
  <c r="AN61" i="114" s="1"/>
  <c r="F100" i="66" a="1"/>
  <c r="F100" i="66" s="1"/>
  <c r="AO60" i="108" s="1" a="1"/>
  <c r="AO60" i="108" s="1"/>
  <c r="F594" i="66" a="1"/>
  <c r="F594" i="66" s="1"/>
  <c r="F491" i="66" a="1"/>
  <c r="F491" i="66" s="1"/>
  <c r="F442" i="66" a="1"/>
  <c r="F442" i="66" s="1"/>
  <c r="H122" i="52" a="1"/>
  <c r="H122" i="52" s="1"/>
  <c r="I582" i="66" a="1"/>
  <c r="I582" i="66" s="1"/>
  <c r="I562" i="66" a="1"/>
  <c r="I562" i="66" s="1"/>
  <c r="I572" i="66" a="1"/>
  <c r="I572" i="66" s="1"/>
  <c r="F232" i="66" a="1"/>
  <c r="F232" i="66" s="1"/>
  <c r="F126" i="52" a="1"/>
  <c r="F126" i="52" s="1"/>
  <c r="F214" i="52" a="1"/>
  <c r="F214" i="52" s="1"/>
  <c r="F232" i="52" a="1"/>
  <c r="F232" i="52" s="1"/>
  <c r="F313" i="52" a="1"/>
  <c r="F313" i="52" s="1"/>
  <c r="F154" i="52" a="1"/>
  <c r="F154" i="52" s="1"/>
  <c r="F231" i="52" a="1"/>
  <c r="F231" i="52" s="1"/>
  <c r="F304" i="52" a="1"/>
  <c r="F304" i="52" s="1"/>
  <c r="F155" i="52" a="1"/>
  <c r="F155" i="52" s="1"/>
  <c r="F19" i="52" a="1"/>
  <c r="F19" i="52" s="1"/>
  <c r="F190" i="52" a="1"/>
  <c r="F190" i="52" s="1"/>
  <c r="F55" i="52" a="1"/>
  <c r="F55" i="52" s="1"/>
  <c r="P277" i="68" a="1"/>
  <c r="P277" i="68" s="1"/>
  <c r="F302" i="52" a="1"/>
  <c r="F302" i="52" s="1"/>
  <c r="F233" i="52" a="1"/>
  <c r="F233" i="52" s="1"/>
  <c r="F109" i="52" a="1"/>
  <c r="F109" i="52" s="1"/>
  <c r="F251" i="52" a="1"/>
  <c r="F251" i="52" s="1"/>
  <c r="F250" i="52" a="1"/>
  <c r="F250" i="52" s="1"/>
  <c r="H233" i="52" a="1"/>
  <c r="H233" i="52" s="1"/>
  <c r="F56" i="52" a="1"/>
  <c r="F56" i="52" s="1"/>
  <c r="F303" i="52" a="1"/>
  <c r="F303" i="52" s="1"/>
  <c r="F191" i="52" a="1"/>
  <c r="F191" i="52" s="1"/>
  <c r="F234" i="52" a="1"/>
  <c r="F234" i="52" s="1"/>
  <c r="F213" i="52" a="1"/>
  <c r="F213" i="52" s="1"/>
  <c r="F273" i="52" a="1"/>
  <c r="F273" i="52" s="1"/>
  <c r="F125" i="52" a="1"/>
  <c r="F125" i="52" s="1"/>
  <c r="F18" i="52" a="1"/>
  <c r="F18" i="52" s="1"/>
  <c r="F80" i="52" a="1"/>
  <c r="F80" i="52" s="1"/>
  <c r="F229" i="52" a="1"/>
  <c r="F229" i="52" s="1"/>
  <c r="F183" i="52" a="1"/>
  <c r="F183" i="52" s="1"/>
  <c r="F274" i="52" a="1"/>
  <c r="F274" i="52" s="1"/>
  <c r="F230" i="52" a="1"/>
  <c r="F230" i="52" s="1"/>
  <c r="F312" i="52" a="1"/>
  <c r="F312" i="52" s="1"/>
  <c r="H232" i="52" a="1"/>
  <c r="H232" i="52" s="1"/>
  <c r="I281" i="68" a="1"/>
  <c r="I281" i="68" s="1"/>
  <c r="I282" i="68" s="1"/>
  <c r="C14" i="108" a="1"/>
  <c r="C14" i="108" s="1"/>
  <c r="C13" i="108" s="1"/>
  <c r="D14" i="108" a="1"/>
  <c r="D14" i="108" s="1"/>
  <c r="F49" i="98" a="1"/>
  <c r="F49" i="98" s="1"/>
  <c r="P393" i="68" a="1"/>
  <c r="P393" i="68" s="1"/>
  <c r="O173" i="98"/>
  <c r="F19" i="98" a="1"/>
  <c r="F19" i="98" s="1"/>
  <c r="I333" i="68" a="1"/>
  <c r="I333" i="68" s="1"/>
  <c r="O250" i="98" a="1"/>
  <c r="O250" i="98" s="1"/>
  <c r="F249" i="98" a="1"/>
  <c r="F249" i="98" s="1"/>
  <c r="F250" i="98" s="1"/>
  <c r="F251" i="98" s="1"/>
  <c r="F252" i="98" s="1"/>
  <c r="F253" i="98" s="1"/>
  <c r="F254" i="98" s="1"/>
  <c r="H251" i="98" a="1"/>
  <c r="H251" i="98" s="1"/>
  <c r="F99" i="98" a="1"/>
  <c r="F99" i="98" s="1"/>
  <c r="O203" i="98"/>
  <c r="P392" i="68" a="1"/>
  <c r="P392" i="68" s="1"/>
  <c r="O221" i="98" a="1"/>
  <c r="O221" i="98" s="1"/>
  <c r="O222" i="98" a="1"/>
  <c r="O222" i="98" s="1"/>
  <c r="P394" i="68" a="1"/>
  <c r="P394" i="68" s="1"/>
  <c r="F199" i="98" a="1"/>
  <c r="F199" i="98" s="1"/>
  <c r="F200" i="98" s="1"/>
  <c r="F201" i="98" s="1"/>
  <c r="F202" i="98" s="1"/>
  <c r="F203" i="98" s="1"/>
  <c r="F204" i="98" s="1"/>
  <c r="F169" i="98" a="1"/>
  <c r="F169" i="98" s="1"/>
  <c r="F170" i="98" s="1"/>
  <c r="F171" i="98" s="1"/>
  <c r="F172" i="98" s="1"/>
  <c r="F173" i="98" s="1"/>
  <c r="F174" i="98" s="1"/>
  <c r="H221" i="98" a="1"/>
  <c r="H221" i="98" s="1"/>
  <c r="I392" i="68" a="1"/>
  <c r="I392" i="68" s="1"/>
  <c r="I332" i="68" a="1"/>
  <c r="I332" i="68" s="1"/>
  <c r="F69" i="98" a="1"/>
  <c r="F69" i="98" s="1"/>
  <c r="O219" i="98" a="1"/>
  <c r="O219" i="98" s="1"/>
  <c r="O249" i="98" a="1"/>
  <c r="O249" i="98" s="1"/>
  <c r="H250" i="98" a="1"/>
  <c r="H250" i="98" s="1"/>
  <c r="P333" i="68" a="1"/>
  <c r="P333" i="68" s="1"/>
  <c r="F219" i="98" a="1"/>
  <c r="F219" i="98" s="1"/>
  <c r="F220" i="98" s="1"/>
  <c r="F221" i="98" s="1"/>
  <c r="F222" i="98" s="1"/>
  <c r="F223" i="98" s="1"/>
  <c r="F224" i="98" s="1"/>
  <c r="O220" i="98" a="1"/>
  <c r="O220" i="98" s="1"/>
  <c r="I393" i="68" a="1"/>
  <c r="I393" i="68" s="1"/>
  <c r="O251" i="98" a="1"/>
  <c r="O251" i="98" s="1"/>
  <c r="O252" i="98" a="1"/>
  <c r="O252" i="98" s="1"/>
  <c r="P334" i="68" a="1"/>
  <c r="P334" i="68" s="1"/>
  <c r="F119" i="98" a="1"/>
  <c r="F119" i="98" s="1"/>
  <c r="P332" i="68" a="1"/>
  <c r="P332" i="68" s="1"/>
  <c r="H252" i="98" a="1"/>
  <c r="H252" i="98" s="1"/>
  <c r="F149" i="98" a="1"/>
  <c r="F149" i="98" s="1"/>
  <c r="H220" i="98" a="1"/>
  <c r="H220" i="98" s="1"/>
  <c r="I394" i="68" a="1"/>
  <c r="I394" i="68" s="1"/>
  <c r="H222" i="98" a="1"/>
  <c r="H222" i="98" s="1"/>
  <c r="H249" i="98" a="1"/>
  <c r="H249" i="98" s="1"/>
  <c r="H219" i="98" a="1"/>
  <c r="H219" i="98" s="1"/>
  <c r="I334" i="68" a="1"/>
  <c r="I334" i="68" s="1"/>
  <c r="P251" i="68" a="1"/>
  <c r="P251" i="68" s="1"/>
  <c r="H79" i="52" a="1"/>
  <c r="H79" i="52" s="1"/>
  <c r="H125" i="52" a="1"/>
  <c r="H125" i="52" s="1"/>
  <c r="P313" i="68" a="1"/>
  <c r="P313" i="68" s="1"/>
  <c r="P345" i="68" a="1"/>
  <c r="P345" i="68" s="1"/>
  <c r="I290" i="68" a="1"/>
  <c r="I290" i="68" s="1"/>
  <c r="I291" i="68" s="1"/>
  <c r="AD54" i="115" s="1" a="1"/>
  <c r="AD54" i="115" s="1"/>
  <c r="P375" i="68" a="1"/>
  <c r="P375" i="68" s="1"/>
  <c r="P373" i="68" a="1"/>
  <c r="P373" i="68" s="1"/>
  <c r="I315" i="68" a="1"/>
  <c r="I315" i="68" s="1"/>
  <c r="P281" i="68" a="1"/>
  <c r="P281" i="68" s="1"/>
  <c r="P374" i="68" a="1"/>
  <c r="P374" i="68" s="1"/>
  <c r="I277" i="68" a="1"/>
  <c r="I277" i="68" s="1"/>
  <c r="I278" i="68" s="1"/>
  <c r="P290" i="68" a="1"/>
  <c r="P290" i="68" s="1"/>
  <c r="I344" i="68" a="1"/>
  <c r="I344" i="68" s="1"/>
  <c r="I314" i="68" a="1"/>
  <c r="I314" i="68" s="1"/>
  <c r="I345" i="68" a="1"/>
  <c r="I345" i="68" s="1"/>
  <c r="I343" i="68" a="1"/>
  <c r="I343" i="68" s="1"/>
  <c r="I373" i="68" a="1"/>
  <c r="I373" i="68" s="1"/>
  <c r="P315" i="68" a="1"/>
  <c r="P315" i="68" s="1"/>
  <c r="I313" i="68" a="1"/>
  <c r="I313" i="68" s="1"/>
  <c r="I374" i="68" a="1"/>
  <c r="I374" i="68" s="1"/>
  <c r="I251" i="68" a="1"/>
  <c r="I251" i="68" s="1"/>
  <c r="P343" i="68" a="1"/>
  <c r="P343" i="68" s="1"/>
  <c r="P314" i="68" a="1"/>
  <c r="P314" i="68" s="1"/>
  <c r="I375" i="68" a="1"/>
  <c r="I375" i="68" s="1"/>
  <c r="P344" i="68" a="1"/>
  <c r="P344" i="68" s="1"/>
  <c r="F54" i="68" a="1"/>
  <c r="F54" i="68" s="1"/>
  <c r="F211" i="68" a="1"/>
  <c r="F211" i="68" s="1"/>
  <c r="J211" i="68" s="1"/>
  <c r="F279" i="68" a="1"/>
  <c r="F279" i="68" s="1"/>
  <c r="F280" i="68" s="1"/>
  <c r="F281" i="68" s="1"/>
  <c r="F282" i="68" s="1"/>
  <c r="F127" i="68" a="1"/>
  <c r="F127" i="68" s="1"/>
  <c r="F222" i="68" a="1"/>
  <c r="F222" i="68" s="1"/>
  <c r="J222" i="68" s="1"/>
  <c r="F343" i="68" a="1"/>
  <c r="F343" i="68" s="1"/>
  <c r="F344" i="68" s="1"/>
  <c r="F345" i="68" s="1"/>
  <c r="F346" i="68" s="1"/>
  <c r="F347" i="68" s="1"/>
  <c r="F288" i="68" a="1"/>
  <c r="F288" i="68" s="1"/>
  <c r="F289" i="68" s="1"/>
  <c r="F290" i="68" s="1"/>
  <c r="F291" i="68" s="1"/>
  <c r="F9" i="68" a="1"/>
  <c r="F9" i="68" s="1"/>
  <c r="F373" i="68" a="1"/>
  <c r="F373" i="68" s="1"/>
  <c r="F374" i="68" s="1"/>
  <c r="F375" i="68" s="1"/>
  <c r="F376" i="68" s="1"/>
  <c r="F377" i="68" s="1"/>
  <c r="F37" i="68" a="1"/>
  <c r="F37" i="68" s="1"/>
  <c r="H173" i="52" a="1"/>
  <c r="H173" i="52" s="1"/>
  <c r="F81" i="68" a="1"/>
  <c r="F81" i="68" s="1"/>
  <c r="F121" i="68" a="1"/>
  <c r="F121" i="68" s="1"/>
  <c r="F177" i="68" a="1"/>
  <c r="F177" i="68" s="1"/>
  <c r="J177" i="68" s="1"/>
  <c r="F249" i="68" a="1"/>
  <c r="F249" i="68" s="1"/>
  <c r="F250" i="68" s="1"/>
  <c r="F251" i="68" s="1"/>
  <c r="F252" i="68" s="1"/>
  <c r="F205" i="68" a="1"/>
  <c r="F205" i="68" s="1"/>
  <c r="J205" i="68" s="1"/>
  <c r="F275" i="68" a="1"/>
  <c r="F275" i="68" s="1"/>
  <c r="F276" i="68" s="1"/>
  <c r="F277" i="68" s="1"/>
  <c r="F278" i="68" s="1"/>
  <c r="F138" i="68" a="1"/>
  <c r="F138" i="68" s="1"/>
  <c r="J138" i="68" s="1"/>
  <c r="F313" i="68" a="1"/>
  <c r="F313" i="68" s="1"/>
  <c r="F314" i="68" s="1"/>
  <c r="F315" i="68" s="1"/>
  <c r="F316" i="68" s="1"/>
  <c r="F317" i="68" s="1"/>
  <c r="F43" i="68" a="1"/>
  <c r="F43" i="68" s="1"/>
  <c r="H171" i="52" a="1"/>
  <c r="H171" i="52" s="1"/>
  <c r="P96" i="52" a="1"/>
  <c r="P96" i="52" s="1"/>
  <c r="O248" i="52" a="1"/>
  <c r="O248" i="52" s="1"/>
  <c r="I250" i="52" a="1"/>
  <c r="I250" i="52" s="1"/>
  <c r="P312" i="52" a="1"/>
  <c r="P312" i="52" s="1"/>
  <c r="O312" i="52" a="1"/>
  <c r="O312" i="52" s="1"/>
  <c r="F297" i="66" a="1"/>
  <c r="F297" i="66" s="1"/>
  <c r="F388" i="66" a="1"/>
  <c r="F388" i="66" s="1"/>
  <c r="I312" i="52" a="1"/>
  <c r="I312" i="52" s="1"/>
  <c r="F69" i="66" a="1"/>
  <c r="F69" i="66" s="1"/>
  <c r="F160" i="66" a="1"/>
  <c r="F160" i="66" s="1"/>
  <c r="P310" i="52" a="1"/>
  <c r="P310" i="52" s="1"/>
  <c r="F105" i="66" a="1"/>
  <c r="F105" i="66" s="1"/>
  <c r="F447" i="66" a="1"/>
  <c r="F447" i="66" s="1"/>
  <c r="F333" i="66" a="1"/>
  <c r="F333" i="66" s="1"/>
  <c r="I309" i="52" a="1"/>
  <c r="I309" i="52" s="1"/>
  <c r="O247" i="52" a="1"/>
  <c r="O247" i="52" s="1"/>
  <c r="I249" i="52" a="1"/>
  <c r="I249" i="52" s="1"/>
  <c r="H247" i="52" a="1"/>
  <c r="H247" i="52" s="1"/>
  <c r="I310" i="52" a="1"/>
  <c r="I310" i="52" s="1"/>
  <c r="P311" i="52" a="1"/>
  <c r="P311" i="52" s="1"/>
  <c r="F237" i="66" a="1"/>
  <c r="F237" i="66" s="1"/>
  <c r="F548" i="66" a="1"/>
  <c r="F548" i="66" s="1"/>
  <c r="F169" i="66" a="1"/>
  <c r="F169" i="66" s="1"/>
  <c r="H248" i="52" a="1"/>
  <c r="H248" i="52" s="1"/>
  <c r="P247" i="52" a="1"/>
  <c r="P247" i="52" s="1"/>
  <c r="P309" i="52" a="1"/>
  <c r="P309" i="52" s="1"/>
  <c r="F46" i="66" a="1"/>
  <c r="F46" i="66" s="1"/>
  <c r="F183" i="66" a="1"/>
  <c r="F183" i="66" s="1"/>
  <c r="H249" i="52" a="1"/>
  <c r="H249" i="52" s="1"/>
  <c r="I311" i="52" a="1"/>
  <c r="I311" i="52" s="1"/>
  <c r="F274" i="66" a="1"/>
  <c r="F274" i="66" s="1"/>
  <c r="F402" i="66" a="1"/>
  <c r="F402" i="66" s="1"/>
  <c r="F283" i="66" a="1"/>
  <c r="F283" i="66" s="1"/>
  <c r="I247" i="52" a="1"/>
  <c r="I247" i="52" s="1"/>
  <c r="O249" i="52" a="1"/>
  <c r="O249" i="52" s="1"/>
  <c r="P248" i="52" a="1"/>
  <c r="P248" i="52" s="1"/>
  <c r="P249" i="52" a="1"/>
  <c r="P249" i="52" s="1"/>
  <c r="F497" i="66" a="1"/>
  <c r="F497" i="66" s="1"/>
  <c r="F379" i="66" a="1"/>
  <c r="F379" i="66" s="1"/>
  <c r="I248" i="52" a="1"/>
  <c r="I248" i="52" s="1"/>
  <c r="P250" i="52" a="1"/>
  <c r="P250" i="52" s="1"/>
  <c r="F55" i="66" a="1"/>
  <c r="F55" i="66" s="1"/>
  <c r="H456" i="66"/>
  <c r="K52" i="116" s="1" a="1"/>
  <c r="K52" i="116" s="1"/>
  <c r="H557" i="66"/>
  <c r="AC52" i="116" s="1" a="1"/>
  <c r="AC52" i="116" s="1"/>
  <c r="I190" i="52" a="1"/>
  <c r="I190" i="52" s="1"/>
  <c r="P188" i="52" a="1"/>
  <c r="P188" i="52" s="1"/>
  <c r="H189" i="52" a="1"/>
  <c r="H189" i="52" s="1"/>
  <c r="I188" i="52" a="1"/>
  <c r="I188" i="52" s="1"/>
  <c r="P189" i="52" a="1"/>
  <c r="P189" i="52" s="1"/>
  <c r="I189" i="52" a="1"/>
  <c r="I189" i="52" s="1"/>
  <c r="P190" i="52" a="1"/>
  <c r="P190" i="52" s="1"/>
  <c r="O189" i="52" a="1"/>
  <c r="O189" i="52" s="1"/>
  <c r="O188" i="52" a="1"/>
  <c r="O188" i="52" s="1"/>
  <c r="H188" i="52" a="1"/>
  <c r="H188" i="52" s="1"/>
  <c r="H54" i="52" a="1"/>
  <c r="H54" i="52" s="1"/>
  <c r="H53" i="52" a="1"/>
  <c r="H53" i="52" s="1"/>
  <c r="O53" i="52" a="1"/>
  <c r="O53" i="52" s="1"/>
  <c r="O54" i="52" a="1"/>
  <c r="O54" i="52" s="1"/>
  <c r="O122" i="52" a="1"/>
  <c r="O122" i="52" s="1"/>
  <c r="I122" i="52" a="1"/>
  <c r="I122" i="52" s="1"/>
  <c r="P125" i="52" a="1"/>
  <c r="P125" i="52" s="1"/>
  <c r="I121" i="52" a="1"/>
  <c r="I121" i="52" s="1"/>
  <c r="H123" i="52" a="1"/>
  <c r="H123" i="52" s="1"/>
  <c r="P124" i="52" a="1"/>
  <c r="P124" i="52" s="1"/>
  <c r="I123" i="52" a="1"/>
  <c r="I123" i="52" s="1"/>
  <c r="O125" i="52" a="1"/>
  <c r="O125" i="52" s="1"/>
  <c r="O124" i="52" a="1"/>
  <c r="O124" i="52" s="1"/>
  <c r="H121" i="52" a="1"/>
  <c r="H121" i="52" s="1"/>
  <c r="I125" i="52" a="1"/>
  <c r="I125" i="52" s="1"/>
  <c r="I124" i="52" a="1"/>
  <c r="I124" i="52" s="1"/>
  <c r="P123" i="52" a="1"/>
  <c r="P123" i="52" s="1"/>
  <c r="H124" i="52" a="1"/>
  <c r="H124" i="52" s="1"/>
  <c r="P122" i="52" a="1"/>
  <c r="P122" i="52" s="1"/>
  <c r="P53" i="52" a="1"/>
  <c r="P53" i="52" s="1"/>
  <c r="P55" i="52" a="1"/>
  <c r="P55" i="52" s="1"/>
  <c r="O123" i="52" a="1"/>
  <c r="O123" i="52" s="1"/>
  <c r="P54" i="52" a="1"/>
  <c r="P54" i="52" s="1"/>
  <c r="O121" i="52" a="1"/>
  <c r="O121" i="52" s="1"/>
  <c r="P121" i="52" a="1"/>
  <c r="P121" i="52" s="1"/>
  <c r="O250" i="52" a="1"/>
  <c r="O250" i="52" s="1"/>
  <c r="O190" i="52" a="1"/>
  <c r="O190" i="52" s="1"/>
  <c r="H190" i="52" a="1"/>
  <c r="H190" i="52" s="1"/>
  <c r="H250" i="52" a="1"/>
  <c r="H250" i="52" s="1"/>
  <c r="I54" i="52" a="1"/>
  <c r="I54" i="52" s="1"/>
  <c r="I82" i="66" a="1"/>
  <c r="I82" i="66" s="1"/>
  <c r="I89" i="66" s="1" a="1"/>
  <c r="I89" i="66" s="1"/>
  <c r="I91" i="66" a="1"/>
  <c r="I91" i="66" s="1"/>
  <c r="I98" i="66" s="1" a="1"/>
  <c r="I98" i="66" s="1"/>
  <c r="P502" i="66" a="1"/>
  <c r="P502" i="66" s="1"/>
  <c r="I566" i="66" a="1"/>
  <c r="I566" i="66" s="1"/>
  <c r="I567" i="66" a="1"/>
  <c r="I567" i="66" s="1"/>
  <c r="I577" i="66" a="1"/>
  <c r="I577" i="66" s="1"/>
  <c r="P577" i="66" a="1"/>
  <c r="P577" i="66" s="1"/>
  <c r="I576" i="66" a="1"/>
  <c r="I576" i="66" s="1"/>
  <c r="I569" i="66" a="1"/>
  <c r="I569" i="66" s="1"/>
  <c r="P576" i="66" a="1"/>
  <c r="P576" i="66" s="1"/>
  <c r="P501" i="66" a="1"/>
  <c r="P501" i="66" s="1"/>
  <c r="P553" i="66" a="1"/>
  <c r="P553" i="66" s="1"/>
  <c r="P567" i="66" a="1"/>
  <c r="P567" i="66" s="1"/>
  <c r="I587" i="66" a="1"/>
  <c r="I587" i="66" s="1"/>
  <c r="P566" i="66" a="1"/>
  <c r="P566" i="66" s="1"/>
  <c r="P579" i="66" a="1"/>
  <c r="P579" i="66" s="1"/>
  <c r="I555" i="66" a="1"/>
  <c r="I555" i="66" s="1"/>
  <c r="I502" i="66" a="1"/>
  <c r="I502" i="66" s="1"/>
  <c r="P569" i="66" a="1"/>
  <c r="P569" i="66" s="1"/>
  <c r="P589" i="66" a="1"/>
  <c r="P589" i="66" s="1"/>
  <c r="P478" i="66" a="1"/>
  <c r="P478" i="66" s="1"/>
  <c r="P552" i="66" a="1"/>
  <c r="P552" i="66" s="1"/>
  <c r="P587" i="66" a="1"/>
  <c r="P587" i="66" s="1"/>
  <c r="I553" i="66" a="1"/>
  <c r="I553" i="66" s="1"/>
  <c r="I504" i="66" a="1"/>
  <c r="I504" i="66" s="1"/>
  <c r="I501" i="66" a="1"/>
  <c r="I501" i="66" s="1"/>
  <c r="I552" i="66" a="1"/>
  <c r="I552" i="66" s="1"/>
  <c r="I319" i="66" a="1"/>
  <c r="I319" i="66" s="1"/>
  <c r="P504" i="66" a="1"/>
  <c r="P504" i="66" s="1"/>
  <c r="P555" i="66" a="1"/>
  <c r="P555" i="66" s="1"/>
  <c r="I478" i="66" a="1"/>
  <c r="I478" i="66" s="1"/>
  <c r="I579" i="66" a="1"/>
  <c r="I579" i="66" s="1"/>
  <c r="I589" i="66" a="1"/>
  <c r="I589" i="66" s="1"/>
  <c r="I586" i="66" a="1"/>
  <c r="I586" i="66" s="1"/>
  <c r="P586" i="66" a="1"/>
  <c r="P586" i="66" s="1"/>
  <c r="P322" i="66" a="1"/>
  <c r="P322" i="66" s="1"/>
  <c r="I323" i="66" a="1"/>
  <c r="I323" i="66" s="1"/>
  <c r="P451" i="66" a="1"/>
  <c r="P451" i="66" s="1"/>
  <c r="I322" i="66" a="1"/>
  <c r="I322" i="66" s="1"/>
  <c r="I451" i="66" a="1"/>
  <c r="I451" i="66" s="1"/>
  <c r="P454" i="66" a="1"/>
  <c r="P454" i="66" s="1"/>
  <c r="P324" i="66" a="1"/>
  <c r="P324" i="66" s="1"/>
  <c r="F9" i="66" a="1"/>
  <c r="F9" i="66" s="1"/>
  <c r="I324" i="66" a="1"/>
  <c r="I324" i="66" s="1"/>
  <c r="I452" i="66" a="1"/>
  <c r="I452" i="66" s="1"/>
  <c r="P321" i="66" a="1"/>
  <c r="P321" i="66" s="1"/>
  <c r="I454" i="66" a="1"/>
  <c r="I454" i="66" s="1"/>
  <c r="P452" i="66" a="1"/>
  <c r="P452" i="66" s="1"/>
  <c r="I320" i="66" a="1"/>
  <c r="I320" i="66" s="1"/>
  <c r="I321" i="66" a="1"/>
  <c r="I321" i="66" s="1"/>
  <c r="P323" i="66" a="1"/>
  <c r="P323" i="66" s="1"/>
  <c r="P320" i="66" a="1"/>
  <c r="P320" i="66" s="1"/>
  <c r="I424" i="66" a="1"/>
  <c r="I424" i="66" s="1"/>
  <c r="I355" i="66" a="1"/>
  <c r="I355" i="66" s="1"/>
  <c r="P476" i="66" a="1"/>
  <c r="P476" i="66" s="1"/>
  <c r="P475" i="66" a="1"/>
  <c r="P475" i="66" s="1"/>
  <c r="I435" i="66" a="1"/>
  <c r="I435" i="66" s="1"/>
  <c r="P434" i="66" a="1"/>
  <c r="P434" i="66" s="1"/>
  <c r="I425" i="66" a="1"/>
  <c r="I425" i="66" s="1"/>
  <c r="I346" i="66" a="1"/>
  <c r="I346" i="66" s="1"/>
  <c r="I476" i="66" a="1"/>
  <c r="I476" i="66" s="1"/>
  <c r="I426" i="66" a="1"/>
  <c r="I426" i="66" s="1"/>
  <c r="P436" i="66" a="1"/>
  <c r="P436" i="66" s="1"/>
  <c r="P466" i="66" a="1"/>
  <c r="P466" i="66" s="1"/>
  <c r="P429" i="66" a="1"/>
  <c r="P429" i="66" s="1"/>
  <c r="I429" i="66" a="1"/>
  <c r="I429" i="66" s="1"/>
  <c r="P437" i="66" a="1"/>
  <c r="P437" i="66" s="1"/>
  <c r="I428" i="66" a="1"/>
  <c r="I428" i="66" s="1"/>
  <c r="P427" i="66" a="1"/>
  <c r="P427" i="66" s="1"/>
  <c r="P428" i="66" a="1"/>
  <c r="P428" i="66" s="1"/>
  <c r="I475" i="66" a="1"/>
  <c r="I475" i="66" s="1"/>
  <c r="I465" i="66" a="1"/>
  <c r="I465" i="66" s="1"/>
  <c r="P438" i="66" a="1"/>
  <c r="P438" i="66" s="1"/>
  <c r="I438" i="66" a="1"/>
  <c r="I438" i="66" s="1"/>
  <c r="I433" i="66" a="1"/>
  <c r="I433" i="66" s="1"/>
  <c r="P435" i="66" a="1"/>
  <c r="P435" i="66" s="1"/>
  <c r="P465" i="66" a="1"/>
  <c r="P465" i="66" s="1"/>
  <c r="I415" i="66" a="1"/>
  <c r="I415" i="66" s="1"/>
  <c r="I436" i="66" a="1"/>
  <c r="I436" i="66" s="1"/>
  <c r="I437" i="66" a="1"/>
  <c r="I437" i="66" s="1"/>
  <c r="I466" i="66" a="1"/>
  <c r="I466" i="66" s="1"/>
  <c r="P425" i="66" a="1"/>
  <c r="P425" i="66" s="1"/>
  <c r="P426" i="66" a="1"/>
  <c r="P426" i="66" s="1"/>
  <c r="I434" i="66" a="1"/>
  <c r="I434" i="66" s="1"/>
  <c r="I364" i="66" a="1"/>
  <c r="I364" i="66" s="1"/>
  <c r="I427" i="66" a="1"/>
  <c r="I427" i="66" s="1"/>
  <c r="O592" i="66"/>
  <c r="AP52" i="116" s="1" a="1"/>
  <c r="AP52" i="116" s="1"/>
  <c r="I250" i="66" a="1"/>
  <c r="I250" i="66" s="1"/>
  <c r="I257" i="66" s="1" a="1"/>
  <c r="I257" i="66" s="1"/>
  <c r="I259" i="66" a="1"/>
  <c r="I259" i="66" s="1"/>
  <c r="I136" i="66" a="1"/>
  <c r="I136" i="66" s="1"/>
  <c r="I143" i="66" s="1" a="1"/>
  <c r="I143" i="66" s="1"/>
  <c r="I212" i="52" a="1"/>
  <c r="I212" i="52" s="1"/>
  <c r="I127" i="66" a="1"/>
  <c r="I127" i="66" s="1"/>
  <c r="I134" i="66" s="1" a="1"/>
  <c r="I134" i="66" s="1"/>
  <c r="I145" i="66" a="1"/>
  <c r="I145" i="66" s="1"/>
  <c r="F154" i="66" a="1"/>
  <c r="F154" i="66" s="1"/>
  <c r="I471" i="66" a="1"/>
  <c r="I471" i="66" s="1"/>
  <c r="J471" i="66" s="1"/>
  <c r="I481" i="66" a="1"/>
  <c r="I481" i="66" s="1"/>
  <c r="I485" i="66" a="1"/>
  <c r="I485" i="66" s="1"/>
  <c r="I486" i="66" a="1"/>
  <c r="I486" i="66" s="1"/>
  <c r="I461" i="66" a="1"/>
  <c r="I461" i="66" s="1"/>
  <c r="P485" i="66" a="1"/>
  <c r="P485" i="66" s="1"/>
  <c r="P486" i="66" a="1"/>
  <c r="P486" i="66" s="1"/>
  <c r="I245" i="66"/>
  <c r="L52" i="114" s="1" a="1"/>
  <c r="L52" i="114" s="1"/>
  <c r="O557" i="66"/>
  <c r="AG52" i="116" s="1" a="1"/>
  <c r="AG52" i="116" s="1"/>
  <c r="I31" i="66" a="1"/>
  <c r="I31" i="66" s="1"/>
  <c r="I271" i="52" a="1"/>
  <c r="I271" i="52" s="1"/>
  <c r="I270" i="52" a="1"/>
  <c r="I270" i="52" s="1"/>
  <c r="P272" i="52" a="1"/>
  <c r="P272" i="52" s="1"/>
  <c r="I272" i="52" a="1"/>
  <c r="I272" i="52" s="1"/>
  <c r="I213" i="52" a="1"/>
  <c r="I213" i="52" s="1"/>
  <c r="H273" i="52" a="1"/>
  <c r="H273" i="52" s="1"/>
  <c r="P271" i="52" a="1"/>
  <c r="P271" i="52" s="1"/>
  <c r="I154" i="52" a="1"/>
  <c r="I154" i="52" s="1"/>
  <c r="I210" i="52" a="1"/>
  <c r="I210" i="52" s="1"/>
  <c r="H213" i="52" a="1"/>
  <c r="H213" i="52" s="1"/>
  <c r="O213" i="52" a="1"/>
  <c r="O213" i="52" s="1"/>
  <c r="P211" i="52" a="1"/>
  <c r="P211" i="52" s="1"/>
  <c r="P210" i="52" a="1"/>
  <c r="P210" i="52" s="1"/>
  <c r="P212" i="52" a="1"/>
  <c r="P212" i="52" s="1"/>
  <c r="I211" i="52" a="1"/>
  <c r="I211" i="52" s="1"/>
  <c r="P213" i="52" a="1"/>
  <c r="P213" i="52" s="1"/>
  <c r="P153" i="52" a="1"/>
  <c r="P153" i="52" s="1"/>
  <c r="O154" i="52" a="1"/>
  <c r="O154" i="52" s="1"/>
  <c r="I153" i="52" a="1"/>
  <c r="I153" i="52" s="1"/>
  <c r="I152" i="52" a="1"/>
  <c r="I152" i="52" s="1"/>
  <c r="I303" i="52" a="1"/>
  <c r="I303" i="52" s="1"/>
  <c r="P79" i="52" a="1"/>
  <c r="P79" i="52" s="1"/>
  <c r="I76" i="52" a="1"/>
  <c r="I76" i="52" s="1"/>
  <c r="I78" i="52" a="1"/>
  <c r="I78" i="52" s="1"/>
  <c r="I273" i="52" a="1"/>
  <c r="I273" i="52" s="1"/>
  <c r="I77" i="52" a="1"/>
  <c r="I77" i="52" s="1"/>
  <c r="I302" i="52" a="1"/>
  <c r="I302" i="52" s="1"/>
  <c r="P75" i="52" a="1"/>
  <c r="P75" i="52" s="1"/>
  <c r="P76" i="52" a="1"/>
  <c r="P76" i="52" s="1"/>
  <c r="O79" i="52" a="1"/>
  <c r="O79" i="52" s="1"/>
  <c r="O18" i="52" a="1"/>
  <c r="O18" i="52" s="1"/>
  <c r="O302" i="52" a="1"/>
  <c r="O302" i="52" s="1"/>
  <c r="O303" i="52" a="1"/>
  <c r="O303" i="52" s="1"/>
  <c r="O319" i="52" s="1"/>
  <c r="P302" i="52" a="1"/>
  <c r="P302" i="52" s="1"/>
  <c r="P17" i="52" a="1"/>
  <c r="P17" i="52" s="1"/>
  <c r="H18" i="52" a="1"/>
  <c r="H18" i="52" s="1"/>
  <c r="P77" i="52" a="1"/>
  <c r="P77" i="52" s="1"/>
  <c r="P78" i="52" a="1"/>
  <c r="P78" i="52" s="1"/>
  <c r="I16" i="52" a="1"/>
  <c r="I16" i="52" s="1"/>
  <c r="P154" i="52" a="1"/>
  <c r="P154" i="52" s="1"/>
  <c r="O55" i="52" a="1"/>
  <c r="O55" i="52" s="1"/>
  <c r="I18" i="52" a="1"/>
  <c r="I18" i="52" s="1"/>
  <c r="H303" i="52" a="1"/>
  <c r="H303" i="52" s="1"/>
  <c r="P18" i="52" a="1"/>
  <c r="P18" i="52" s="1"/>
  <c r="I17" i="52" a="1"/>
  <c r="I17" i="52" s="1"/>
  <c r="I55" i="52" a="1"/>
  <c r="I55" i="52" s="1"/>
  <c r="I75" i="52" a="1"/>
  <c r="I75" i="52" s="1"/>
  <c r="H302" i="52" a="1"/>
  <c r="H302" i="52" s="1"/>
  <c r="I79" i="52" a="1"/>
  <c r="I79" i="52" s="1"/>
  <c r="P152" i="52" a="1"/>
  <c r="P152" i="52" s="1"/>
  <c r="I53" i="52" a="1"/>
  <c r="I53" i="52" s="1"/>
  <c r="P273" i="52" a="1"/>
  <c r="P273" i="52" s="1"/>
  <c r="H154" i="52" a="1"/>
  <c r="H154" i="52" s="1"/>
  <c r="H55" i="52" a="1"/>
  <c r="H55" i="52" s="1"/>
  <c r="O273" i="52" a="1"/>
  <c r="O273" i="52" s="1"/>
  <c r="O280" i="52" s="1"/>
  <c r="P303" i="52" a="1"/>
  <c r="P303" i="52" s="1"/>
  <c r="P319" i="52" s="1"/>
  <c r="B74" i="120"/>
  <c r="B75" i="120" s="1"/>
  <c r="B76" i="120" s="1"/>
  <c r="A73" i="120"/>
  <c r="B67" i="120"/>
  <c r="B68" i="120" s="1"/>
  <c r="A66" i="120"/>
  <c r="B60" i="120"/>
  <c r="B61" i="120" s="1"/>
  <c r="B62" i="120" s="1"/>
  <c r="A59" i="120"/>
  <c r="B53" i="120"/>
  <c r="B54" i="120" s="1"/>
  <c r="B55" i="120" s="1"/>
  <c r="B56" i="120" s="1"/>
  <c r="A52" i="120"/>
  <c r="B46" i="120"/>
  <c r="A45" i="120"/>
  <c r="J44" i="120"/>
  <c r="D44" i="120"/>
  <c r="C206" i="52"/>
  <c r="B206" i="52"/>
  <c r="P304" i="66" l="1" a="1"/>
  <c r="P304" i="66" s="1"/>
  <c r="P318" i="52"/>
  <c r="AA52" i="113" a="1"/>
  <c r="AA52" i="113" s="1"/>
  <c r="BK52" i="113" a="1"/>
  <c r="BK52" i="113" s="1"/>
  <c r="AY52" i="114" a="1"/>
  <c r="AY52" i="114" s="1"/>
  <c r="X52" i="114" a="1"/>
  <c r="X52" i="114" s="1"/>
  <c r="I556" i="66" a="1"/>
  <c r="I556" i="66" s="1"/>
  <c r="I570" i="66" a="1"/>
  <c r="I570" i="66" s="1"/>
  <c r="I541" i="66" a="1"/>
  <c r="I541" i="66" s="1"/>
  <c r="I489" i="66" a="1"/>
  <c r="I489" i="66" s="1"/>
  <c r="I505" i="66" a="1"/>
  <c r="I505" i="66" s="1"/>
  <c r="I580" i="66" a="1"/>
  <c r="I580" i="66" s="1"/>
  <c r="I479" i="66" a="1"/>
  <c r="I479" i="66" s="1"/>
  <c r="I469" i="66" a="1"/>
  <c r="I469" i="66" s="1"/>
  <c r="I590" i="66" a="1"/>
  <c r="I590" i="66" s="1"/>
  <c r="P53" i="66" a="1"/>
  <c r="P53" i="66" s="1"/>
  <c r="P54" i="66" s="1"/>
  <c r="P570" i="66" a="1"/>
  <c r="P570" i="66" s="1"/>
  <c r="P469" i="66" a="1"/>
  <c r="P469" i="66" s="1"/>
  <c r="P479" i="66" a="1"/>
  <c r="P479" i="66" s="1"/>
  <c r="P590" i="66" a="1"/>
  <c r="P590" i="66" s="1"/>
  <c r="P591" i="66" s="1"/>
  <c r="AS52" i="116" s="1" a="1"/>
  <c r="AS52" i="116" s="1"/>
  <c r="P580" i="66" a="1"/>
  <c r="P580" i="66" s="1"/>
  <c r="P489" i="66" a="1"/>
  <c r="P489" i="66" s="1"/>
  <c r="P353" i="66" a="1"/>
  <c r="P353" i="66" s="1"/>
  <c r="P362" i="66" a="1"/>
  <c r="P362" i="66" s="1"/>
  <c r="P363" i="66" s="1"/>
  <c r="P326" i="66" a="1"/>
  <c r="P326" i="66" s="1"/>
  <c r="P440" i="66" a="1"/>
  <c r="P440" i="66" s="1"/>
  <c r="P317" i="66" a="1"/>
  <c r="P317" i="66" s="1"/>
  <c r="P422" i="66" a="1"/>
  <c r="P422" i="66" s="1"/>
  <c r="Q422" i="66" s="1"/>
  <c r="P431" i="66" a="1"/>
  <c r="P431" i="66" s="1"/>
  <c r="P371" i="66" a="1"/>
  <c r="P371" i="66" s="1"/>
  <c r="Q371" i="66" s="1"/>
  <c r="P455" i="66" a="1"/>
  <c r="P455" i="66" s="1"/>
  <c r="P556" i="66" a="1"/>
  <c r="P556" i="66" s="1"/>
  <c r="F524" i="66"/>
  <c r="F525" i="66" s="1"/>
  <c r="F526" i="66" s="1"/>
  <c r="F527" i="66" s="1"/>
  <c r="F528" i="66" s="1"/>
  <c r="J528" i="66" s="1"/>
  <c r="O187" i="135" a="1"/>
  <c r="O187" i="135" s="1"/>
  <c r="H187" i="135" s="1"/>
  <c r="X37" i="57" s="1"/>
  <c r="F514" i="66"/>
  <c r="F515" i="66" s="1"/>
  <c r="F516" i="66" s="1"/>
  <c r="F517" i="66" s="1"/>
  <c r="F518" i="66" s="1"/>
  <c r="F519" i="66" s="1"/>
  <c r="F520" i="66" s="1"/>
  <c r="F521" i="66" s="1"/>
  <c r="F522" i="66" s="1"/>
  <c r="N187" i="135" a="1"/>
  <c r="N187" i="135" s="1"/>
  <c r="G187" i="135" s="1"/>
  <c r="W37" i="57" s="1"/>
  <c r="P139" i="52"/>
  <c r="I91" i="52"/>
  <c r="J89" i="52"/>
  <c r="I63" i="52"/>
  <c r="H258" i="52"/>
  <c r="O191" i="52"/>
  <c r="H63" i="52"/>
  <c r="P280" i="52"/>
  <c r="I258" i="52"/>
  <c r="J61" i="52"/>
  <c r="Q114" i="52"/>
  <c r="J319" i="52"/>
  <c r="J139" i="52"/>
  <c r="J114" i="52"/>
  <c r="H116" i="52"/>
  <c r="J116" i="52" s="1"/>
  <c r="J117" i="52" s="1"/>
  <c r="J118" i="52" s="1"/>
  <c r="J115" i="52"/>
  <c r="O116" i="52"/>
  <c r="I140" i="52"/>
  <c r="P138" i="52"/>
  <c r="P116" i="52"/>
  <c r="H140" i="52"/>
  <c r="J138" i="52"/>
  <c r="J197" i="52"/>
  <c r="H166" i="52"/>
  <c r="J164" i="52"/>
  <c r="I265" i="52"/>
  <c r="J224" i="52"/>
  <c r="Q264" i="52"/>
  <c r="J132" i="52"/>
  <c r="J280" i="52"/>
  <c r="J165" i="52"/>
  <c r="I225" i="52"/>
  <c r="I320" i="52"/>
  <c r="J90" i="52"/>
  <c r="I281" i="52"/>
  <c r="J257" i="52"/>
  <c r="J196" i="52"/>
  <c r="I133" i="52"/>
  <c r="P265" i="52"/>
  <c r="H198" i="52"/>
  <c r="I166" i="52"/>
  <c r="J263" i="52"/>
  <c r="H320" i="52"/>
  <c r="J318" i="52"/>
  <c r="H225" i="52"/>
  <c r="J223" i="52"/>
  <c r="Q263" i="52"/>
  <c r="O265" i="52"/>
  <c r="H133" i="52"/>
  <c r="J131" i="52"/>
  <c r="H91" i="52"/>
  <c r="J264" i="52"/>
  <c r="H265" i="52"/>
  <c r="J256" i="52"/>
  <c r="H281" i="52"/>
  <c r="J279" i="52"/>
  <c r="J62" i="52"/>
  <c r="P279" i="52"/>
  <c r="O318" i="52"/>
  <c r="O320" i="52" s="1"/>
  <c r="O279" i="52"/>
  <c r="J29" i="52"/>
  <c r="I30" i="52"/>
  <c r="J28" i="52"/>
  <c r="H30" i="52"/>
  <c r="F534" i="66"/>
  <c r="F535" i="66" s="1"/>
  <c r="F536" i="66" s="1"/>
  <c r="F537" i="66" s="1"/>
  <c r="F538" i="66" s="1"/>
  <c r="J538" i="66" s="1"/>
  <c r="F543" i="66"/>
  <c r="AY52" i="115" a="1"/>
  <c r="AY52" i="115" s="1"/>
  <c r="X52" i="115" a="1"/>
  <c r="X52" i="115" s="1"/>
  <c r="F368" i="68"/>
  <c r="P17" i="66"/>
  <c r="Q52" i="108" s="1" a="1"/>
  <c r="Q52" i="108" s="1"/>
  <c r="Q361" i="66"/>
  <c r="Q273" i="52"/>
  <c r="Q270" i="52"/>
  <c r="Q272" i="52"/>
  <c r="Q271" i="52"/>
  <c r="Q311" i="52"/>
  <c r="Q310" i="52"/>
  <c r="O304" i="52"/>
  <c r="Q309" i="52"/>
  <c r="O313" i="52"/>
  <c r="Q312" i="52"/>
  <c r="I361" i="68" a="1"/>
  <c r="I361" i="68" s="1"/>
  <c r="I362" i="68" s="1"/>
  <c r="J257" i="66"/>
  <c r="J468" i="66"/>
  <c r="J355" i="68"/>
  <c r="J143" i="66"/>
  <c r="AI60" i="108" a="1"/>
  <c r="AI60" i="108" s="1"/>
  <c r="AE60" i="108" a="1"/>
  <c r="AE60" i="108" s="1"/>
  <c r="AS60" i="108" a="1"/>
  <c r="AS60" i="108" s="1"/>
  <c r="AN60" i="108" a="1"/>
  <c r="AN60" i="108" s="1"/>
  <c r="Q60" i="108" a="1"/>
  <c r="Q60" i="108" s="1"/>
  <c r="M60" i="108" a="1"/>
  <c r="M60" i="108" s="1"/>
  <c r="AR60" i="108" a="1"/>
  <c r="AR60" i="108" s="1"/>
  <c r="AM60" i="108" a="1"/>
  <c r="AM60" i="108" s="1"/>
  <c r="P541" i="66" a="1"/>
  <c r="P541" i="66" s="1"/>
  <c r="P542" i="66" s="1"/>
  <c r="Q355" i="68"/>
  <c r="I356" i="68" a="1"/>
  <c r="I356" i="68" s="1"/>
  <c r="J356" i="68" s="1"/>
  <c r="Q354" i="68"/>
  <c r="Q359" i="68"/>
  <c r="Q523" i="66"/>
  <c r="P531" i="66" a="1"/>
  <c r="P531" i="66" s="1"/>
  <c r="P532" i="66" s="1"/>
  <c r="Q533" i="66"/>
  <c r="I531" i="66" a="1"/>
  <c r="I531" i="66" s="1"/>
  <c r="J354" i="68"/>
  <c r="J513" i="66"/>
  <c r="J360" i="68"/>
  <c r="J359" i="68"/>
  <c r="J363" i="68"/>
  <c r="Q360" i="68"/>
  <c r="J533" i="66"/>
  <c r="Q363" i="68"/>
  <c r="F364" i="68"/>
  <c r="F365" i="68" s="1"/>
  <c r="F366" i="68" s="1"/>
  <c r="F367" i="68" s="1"/>
  <c r="J353" i="68"/>
  <c r="P356" i="68" a="1"/>
  <c r="P356" i="68" s="1"/>
  <c r="Q356" i="68" s="1"/>
  <c r="J523" i="66"/>
  <c r="I366" i="68" a="1"/>
  <c r="I366" i="68" s="1"/>
  <c r="J358" i="68"/>
  <c r="Q358" i="68"/>
  <c r="P361" i="68" a="1"/>
  <c r="P361" i="68" s="1"/>
  <c r="Q361" i="68" s="1"/>
  <c r="P366" i="68" a="1"/>
  <c r="P366" i="68" s="1"/>
  <c r="Q353" i="68"/>
  <c r="J384" i="68"/>
  <c r="I521" i="66" a="1"/>
  <c r="I521" i="66" s="1"/>
  <c r="P90" i="66"/>
  <c r="AS52" i="108" s="1" a="1"/>
  <c r="AS52" i="108" s="1"/>
  <c r="AX53" i="116" a="1"/>
  <c r="AX53" i="116" s="1"/>
  <c r="Y54" i="114" a="1"/>
  <c r="Y54" i="114" s="1"/>
  <c r="AZ54" i="114" a="1"/>
  <c r="AZ54" i="114" s="1"/>
  <c r="Z54" i="115" a="1"/>
  <c r="Z54" i="115" s="1"/>
  <c r="BA54" i="115" a="1"/>
  <c r="BA54" i="115" s="1"/>
  <c r="P305" i="66"/>
  <c r="AH52" i="114" s="1" a="1"/>
  <c r="AH52" i="114" s="1"/>
  <c r="AH60" i="116" a="1"/>
  <c r="AH60" i="116" s="1"/>
  <c r="AD60" i="116" a="1"/>
  <c r="AD60" i="116" s="1"/>
  <c r="I76" i="68"/>
  <c r="P60" i="114" a="1"/>
  <c r="P60" i="114" s="1"/>
  <c r="L60" i="114" a="1"/>
  <c r="L60" i="114" s="1"/>
  <c r="P60" i="115" a="1"/>
  <c r="P60" i="115" s="1"/>
  <c r="L60" i="115" a="1"/>
  <c r="L60" i="115" s="1"/>
  <c r="L60" i="116" a="1"/>
  <c r="L60" i="116" s="1"/>
  <c r="P60" i="116" a="1"/>
  <c r="P60" i="116" s="1"/>
  <c r="Q188" i="68"/>
  <c r="AH60" i="114" a="1"/>
  <c r="AH60" i="114" s="1"/>
  <c r="AD60" i="114" a="1"/>
  <c r="AD60" i="114" s="1"/>
  <c r="V60" i="115" a="1"/>
  <c r="V60" i="115" s="1"/>
  <c r="AN60" i="115" a="1"/>
  <c r="AN60" i="115" s="1"/>
  <c r="AA60" i="115" a="1"/>
  <c r="AA60" i="115" s="1"/>
  <c r="P204" i="66"/>
  <c r="BD52" i="113" s="1" a="1"/>
  <c r="BD52" i="113" s="1"/>
  <c r="P126" i="66"/>
  <c r="Z60" i="115" a="1"/>
  <c r="Z60" i="115" s="1"/>
  <c r="U60" i="115" a="1"/>
  <c r="U60" i="115" s="1"/>
  <c r="AM60" i="115" a="1"/>
  <c r="AM60" i="115" s="1"/>
  <c r="AN60" i="116" a="1"/>
  <c r="AN60" i="116" s="1"/>
  <c r="V60" i="116" a="1"/>
  <c r="V60" i="116" s="1"/>
  <c r="AA60" i="116" a="1"/>
  <c r="AA60" i="116" s="1"/>
  <c r="L54" i="114" a="1"/>
  <c r="L54" i="114" s="1"/>
  <c r="J187" i="68"/>
  <c r="AR54" i="115" a="1"/>
  <c r="AR54" i="115" s="1"/>
  <c r="Q513" i="66"/>
  <c r="AL60" i="114" a="1"/>
  <c r="AL60" i="114" s="1"/>
  <c r="U60" i="114" a="1"/>
  <c r="U60" i="114" s="1"/>
  <c r="Y60" i="114" a="1"/>
  <c r="Y60" i="114" s="1"/>
  <c r="Y60" i="116" a="1"/>
  <c r="Y60" i="116" s="1"/>
  <c r="AL60" i="116" a="1"/>
  <c r="AL60" i="116" s="1"/>
  <c r="T60" i="116" a="1"/>
  <c r="T60" i="116" s="1"/>
  <c r="F199" i="68"/>
  <c r="P521" i="66" a="1"/>
  <c r="P521" i="66" s="1"/>
  <c r="P522" i="66" s="1"/>
  <c r="AH60" i="115" a="1"/>
  <c r="AH60" i="115" s="1"/>
  <c r="AD60" i="115" a="1"/>
  <c r="AD60" i="115" s="1"/>
  <c r="AM60" i="114" a="1"/>
  <c r="AM60" i="114" s="1"/>
  <c r="Z60" i="114" a="1"/>
  <c r="Z60" i="114" s="1"/>
  <c r="V60" i="114" a="1"/>
  <c r="V60" i="114" s="1"/>
  <c r="Y60" i="115" a="1"/>
  <c r="Y60" i="115" s="1"/>
  <c r="T60" i="115" a="1"/>
  <c r="T60" i="115" s="1"/>
  <c r="AL60" i="115" a="1"/>
  <c r="AL60" i="115" s="1"/>
  <c r="Z60" i="116" a="1"/>
  <c r="Z60" i="116" s="1"/>
  <c r="AM60" i="116" a="1"/>
  <c r="AM60" i="116" s="1"/>
  <c r="U60" i="116" a="1"/>
  <c r="U60" i="116" s="1"/>
  <c r="E183" i="135"/>
  <c r="E184" i="135" s="1"/>
  <c r="E185" i="135" s="1"/>
  <c r="F269" i="68"/>
  <c r="T15" i="57"/>
  <c r="P245" i="66"/>
  <c r="P52" i="114" s="1" a="1"/>
  <c r="P52" i="114" s="1"/>
  <c r="I395" i="68" a="1"/>
  <c r="I395" i="68" s="1"/>
  <c r="J395" i="68" s="1"/>
  <c r="P62" i="66" a="1"/>
  <c r="P62" i="66" s="1"/>
  <c r="P63" i="66" s="1"/>
  <c r="T9" i="57"/>
  <c r="Q468" i="66"/>
  <c r="T21" i="57"/>
  <c r="G98" i="135" a="1"/>
  <c r="G98" i="135" s="1"/>
  <c r="H98" i="135" s="1"/>
  <c r="L98" i="135" a="1"/>
  <c r="L98" i="135" s="1"/>
  <c r="G115" i="135" a="1"/>
  <c r="G115" i="135" s="1"/>
  <c r="L115" i="135" a="1"/>
  <c r="L115" i="135" s="1"/>
  <c r="E51" i="135"/>
  <c r="E52" i="135" s="1"/>
  <c r="E53" i="135" s="1"/>
  <c r="E100" i="135"/>
  <c r="E101" i="135" s="1"/>
  <c r="E102" i="135" s="1"/>
  <c r="E60" i="135"/>
  <c r="E61" i="135" s="1"/>
  <c r="E62" i="135" s="1"/>
  <c r="E81" i="135"/>
  <c r="E74" i="135"/>
  <c r="E75" i="135" s="1"/>
  <c r="E76" i="135" s="1"/>
  <c r="E109" i="135"/>
  <c r="E110" i="135" s="1"/>
  <c r="E111" i="135" s="1"/>
  <c r="E140" i="135"/>
  <c r="E141" i="135" s="1"/>
  <c r="E142" i="135" s="1"/>
  <c r="E69" i="135"/>
  <c r="E70" i="135" s="1"/>
  <c r="E71" i="135" s="1"/>
  <c r="E131" i="135"/>
  <c r="E132" i="135" s="1"/>
  <c r="E133" i="135" s="1"/>
  <c r="L67" i="135" a="1"/>
  <c r="L67" i="135" s="1"/>
  <c r="G67" i="135" a="1"/>
  <c r="G67" i="135" s="1"/>
  <c r="H67" i="135" s="1"/>
  <c r="G49" i="135" a="1"/>
  <c r="G49" i="135" s="1"/>
  <c r="H49" i="135" s="1"/>
  <c r="L49" i="135" a="1"/>
  <c r="L49" i="135" s="1"/>
  <c r="E114" i="135"/>
  <c r="E115" i="135" s="1"/>
  <c r="E116" i="135" s="1"/>
  <c r="E121" i="135"/>
  <c r="E91" i="135"/>
  <c r="E92" i="135" s="1"/>
  <c r="E93" i="135" s="1"/>
  <c r="E154" i="135"/>
  <c r="E155" i="135" s="1"/>
  <c r="E156" i="135" s="1"/>
  <c r="E149" i="135"/>
  <c r="E150" i="135" s="1"/>
  <c r="E151" i="135" s="1"/>
  <c r="L75" i="135" a="1"/>
  <c r="L75" i="135" s="1"/>
  <c r="G75" i="135" a="1"/>
  <c r="G75" i="135" s="1"/>
  <c r="G58" i="135" a="1"/>
  <c r="G58" i="135" s="1"/>
  <c r="H58" i="135" s="1"/>
  <c r="L58" i="135" a="1"/>
  <c r="L58" i="135" s="1"/>
  <c r="E34" i="135"/>
  <c r="E35" i="135" s="1"/>
  <c r="E36" i="135" s="1"/>
  <c r="E37" i="135" s="1"/>
  <c r="E38" i="135" s="1"/>
  <c r="E39" i="135" s="1"/>
  <c r="E41" i="135"/>
  <c r="E171" i="135"/>
  <c r="E172" i="135" s="1"/>
  <c r="E173" i="135" s="1"/>
  <c r="L89" i="135" a="1"/>
  <c r="L89" i="135" s="1"/>
  <c r="G89" i="135" a="1"/>
  <c r="G89" i="135" s="1"/>
  <c r="H89" i="135" s="1"/>
  <c r="G107" i="135" a="1"/>
  <c r="G107" i="135" s="1"/>
  <c r="H107" i="135" s="1"/>
  <c r="L107" i="135" a="1"/>
  <c r="L107" i="135" s="1"/>
  <c r="T27" i="57"/>
  <c r="P39" i="66"/>
  <c r="G27" i="135" a="1"/>
  <c r="G27" i="135" s="1"/>
  <c r="H27" i="135" s="1"/>
  <c r="L27" i="135" a="1"/>
  <c r="L27" i="135" s="1"/>
  <c r="L9" i="135" a="1"/>
  <c r="L9" i="135" s="1"/>
  <c r="G9" i="135" a="1"/>
  <c r="G9" i="135" s="1"/>
  <c r="E29" i="135"/>
  <c r="E30" i="135" s="1"/>
  <c r="E31" i="135" s="1"/>
  <c r="G35" i="135" a="1"/>
  <c r="G35" i="135" s="1"/>
  <c r="L35" i="135" a="1"/>
  <c r="L35" i="135" s="1"/>
  <c r="L18" i="135" a="1"/>
  <c r="L18" i="135" s="1"/>
  <c r="G18" i="135" a="1"/>
  <c r="G18" i="135" s="1"/>
  <c r="Q383" i="68"/>
  <c r="Q189" i="68"/>
  <c r="J328" i="68"/>
  <c r="Q300" i="68"/>
  <c r="Q190" i="68"/>
  <c r="Q187" i="68"/>
  <c r="I49" i="68"/>
  <c r="J302" i="68"/>
  <c r="J300" i="68"/>
  <c r="P376" i="68" a="1"/>
  <c r="P376" i="68" s="1"/>
  <c r="Q376" i="68" s="1"/>
  <c r="P99" i="66"/>
  <c r="AR52" i="108" s="1" a="1"/>
  <c r="AR52" i="108" s="1"/>
  <c r="Q324" i="68"/>
  <c r="F337" i="68"/>
  <c r="J324" i="68"/>
  <c r="Q384" i="68"/>
  <c r="Q323" i="68"/>
  <c r="Q133" i="66"/>
  <c r="P258" i="66"/>
  <c r="J259" i="68"/>
  <c r="F115" i="68"/>
  <c r="P153" i="66"/>
  <c r="Q211" i="66"/>
  <c r="Q329" i="68"/>
  <c r="P264" i="68"/>
  <c r="AZ54" i="115" s="1" a="1"/>
  <c r="AZ54" i="115" s="1"/>
  <c r="I390" i="68" a="1"/>
  <c r="I390" i="68" s="1"/>
  <c r="J390" i="68" s="1"/>
  <c r="P335" i="68" a="1"/>
  <c r="P335" i="68" s="1"/>
  <c r="Q335" i="68" s="1"/>
  <c r="P395" i="68" a="1"/>
  <c r="P395" i="68" s="1"/>
  <c r="Q395" i="68" s="1"/>
  <c r="Q258" i="68"/>
  <c r="I330" i="68" a="1"/>
  <c r="I330" i="68" s="1"/>
  <c r="J330" i="68" s="1"/>
  <c r="I335" i="68" a="1"/>
  <c r="I335" i="68" s="1"/>
  <c r="J335" i="68" s="1"/>
  <c r="J188" i="68"/>
  <c r="I325" i="68" a="1"/>
  <c r="I325" i="68" s="1"/>
  <c r="J325" i="68" s="1"/>
  <c r="Q327" i="68"/>
  <c r="J296" i="68"/>
  <c r="Q298" i="68"/>
  <c r="J189" i="68"/>
  <c r="Q259" i="68"/>
  <c r="P390" i="68" a="1"/>
  <c r="P390" i="68" s="1"/>
  <c r="Q390" i="68" s="1"/>
  <c r="J297" i="68"/>
  <c r="I376" i="68" a="1"/>
  <c r="I376" i="68" s="1"/>
  <c r="J376" i="68" s="1"/>
  <c r="J298" i="68"/>
  <c r="J383" i="68"/>
  <c r="J301" i="68"/>
  <c r="Q421" i="66"/>
  <c r="Q296" i="68"/>
  <c r="P325" i="68" a="1"/>
  <c r="P325" i="68" s="1"/>
  <c r="Q325" i="68" s="1"/>
  <c r="J389" i="68"/>
  <c r="J329" i="68"/>
  <c r="J323" i="68"/>
  <c r="Q301" i="68"/>
  <c r="J190" i="68"/>
  <c r="Q328" i="68"/>
  <c r="P330" i="68" a="1"/>
  <c r="P330" i="68" s="1"/>
  <c r="P49" i="68"/>
  <c r="P385" i="68" a="1"/>
  <c r="P385" i="68" s="1"/>
  <c r="Q385" i="68" s="1"/>
  <c r="I385" i="68" a="1"/>
  <c r="I385" i="68" s="1"/>
  <c r="J385" i="68" s="1"/>
  <c r="Q299" i="68"/>
  <c r="Q191" i="68"/>
  <c r="P192" i="68"/>
  <c r="BA54" i="114" s="1" a="1"/>
  <c r="BA54" i="114" s="1"/>
  <c r="Q322" i="68"/>
  <c r="J191" i="68"/>
  <c r="F233" i="68"/>
  <c r="J232" i="68"/>
  <c r="Q232" i="68"/>
  <c r="Q382" i="68"/>
  <c r="Q262" i="68"/>
  <c r="I244" i="68"/>
  <c r="F397" i="68"/>
  <c r="F149" i="68"/>
  <c r="Q148" i="68"/>
  <c r="J148" i="68"/>
  <c r="Q261" i="68"/>
  <c r="J387" i="68"/>
  <c r="F161" i="68"/>
  <c r="Q160" i="68"/>
  <c r="J160" i="68"/>
  <c r="F172" i="68"/>
  <c r="J382" i="68"/>
  <c r="J257" i="68"/>
  <c r="Q387" i="68"/>
  <c r="F98" i="68"/>
  <c r="J97" i="68"/>
  <c r="Q97" i="68"/>
  <c r="P159" i="68"/>
  <c r="F244" i="68"/>
  <c r="J263" i="68"/>
  <c r="Q260" i="68"/>
  <c r="P165" i="68"/>
  <c r="P237" i="68"/>
  <c r="P102" i="68"/>
  <c r="P153" i="68"/>
  <c r="F155" i="68"/>
  <c r="Q154" i="68"/>
  <c r="J154" i="68"/>
  <c r="J261" i="68"/>
  <c r="J91" i="68"/>
  <c r="F92" i="68"/>
  <c r="Q91" i="68"/>
  <c r="Q297" i="68"/>
  <c r="J327" i="68"/>
  <c r="Q257" i="68"/>
  <c r="J388" i="68"/>
  <c r="P96" i="68"/>
  <c r="BM54" i="113" s="1" a="1"/>
  <c r="BM54" i="113" s="1"/>
  <c r="F104" i="68"/>
  <c r="J103" i="68"/>
  <c r="Q103" i="68"/>
  <c r="Q263" i="68"/>
  <c r="J258" i="68"/>
  <c r="P108" i="68"/>
  <c r="F65" i="68"/>
  <c r="Q64" i="68"/>
  <c r="J64" i="68"/>
  <c r="J262" i="68"/>
  <c r="J322" i="68"/>
  <c r="Q388" i="68"/>
  <c r="Q389" i="68"/>
  <c r="F305" i="68"/>
  <c r="F306" i="68" s="1"/>
  <c r="F307" i="68" s="1"/>
  <c r="F308" i="68"/>
  <c r="P135" i="66"/>
  <c r="AB52" i="113" s="1" a="1"/>
  <c r="AB52" i="113" s="1"/>
  <c r="P213" i="66"/>
  <c r="BB52" i="113" s="1" a="1"/>
  <c r="BB52" i="113" s="1"/>
  <c r="P409" i="66" a="1"/>
  <c r="P409" i="66" s="1"/>
  <c r="P410" i="66" s="1"/>
  <c r="AH52" i="115" s="1" a="1"/>
  <c r="AH52" i="115" s="1"/>
  <c r="P571" i="66"/>
  <c r="AR52" i="116" s="1" a="1"/>
  <c r="AR52" i="116" s="1"/>
  <c r="Q29" i="66"/>
  <c r="P290" i="66" a="1"/>
  <c r="P290" i="66" s="1"/>
  <c r="P291" i="66" s="1"/>
  <c r="P505" i="66" a="1"/>
  <c r="P505" i="66" s="1"/>
  <c r="P354" i="66"/>
  <c r="P190" i="66" a="1"/>
  <c r="P190" i="66" s="1"/>
  <c r="P191" i="66" s="1"/>
  <c r="P76" i="66" a="1"/>
  <c r="P76" i="66" s="1"/>
  <c r="P77" i="66" s="1"/>
  <c r="AI52" i="108" s="1" a="1"/>
  <c r="AI52" i="108" s="1"/>
  <c r="P176" i="66" a="1"/>
  <c r="P176" i="66" s="1"/>
  <c r="P177" i="66" s="1"/>
  <c r="Q143" i="66"/>
  <c r="P386" i="66" a="1"/>
  <c r="P386" i="66" s="1"/>
  <c r="P387" i="66" s="1"/>
  <c r="G127" i="135" s="1" a="1"/>
  <c r="G127" i="135" s="1"/>
  <c r="H127" i="135" s="1"/>
  <c r="P281" i="66" a="1"/>
  <c r="P281" i="66" s="1"/>
  <c r="P282" i="66" s="1"/>
  <c r="P395" i="66" a="1"/>
  <c r="P395" i="66" s="1"/>
  <c r="P396" i="66" s="1"/>
  <c r="P167" i="66" a="1"/>
  <c r="P167" i="66" s="1"/>
  <c r="P168" i="66" s="1"/>
  <c r="Q202" i="66"/>
  <c r="Q256" i="66"/>
  <c r="P340" i="66" a="1"/>
  <c r="P340" i="66" s="1"/>
  <c r="P341" i="66" s="1"/>
  <c r="P52" i="115" s="1" a="1"/>
  <c r="P52" i="115" s="1"/>
  <c r="P112" i="66" a="1"/>
  <c r="P112" i="66" s="1"/>
  <c r="P113" i="66" s="1"/>
  <c r="P52" i="113" s="1" a="1"/>
  <c r="P52" i="113" s="1"/>
  <c r="Q229" i="66"/>
  <c r="J227" i="68"/>
  <c r="J228" i="68" s="1"/>
  <c r="J229" i="68" s="1"/>
  <c r="Q316" i="66"/>
  <c r="Q124" i="66"/>
  <c r="Q220" i="66"/>
  <c r="Q588" i="66"/>
  <c r="Q439" i="66"/>
  <c r="J352" i="66"/>
  <c r="Q97" i="66"/>
  <c r="Q265" i="66"/>
  <c r="Q325" i="66"/>
  <c r="Q352" i="66"/>
  <c r="Q88" i="66"/>
  <c r="Q467" i="66"/>
  <c r="J488" i="66"/>
  <c r="Q487" i="66"/>
  <c r="Q370" i="66"/>
  <c r="Q142" i="66"/>
  <c r="Q151" i="66"/>
  <c r="Q578" i="66"/>
  <c r="Q488" i="66"/>
  <c r="Q477" i="66"/>
  <c r="Q568" i="66"/>
  <c r="Q430" i="66"/>
  <c r="I422" i="66" a="1"/>
  <c r="I422" i="66" s="1"/>
  <c r="J422" i="66" s="1"/>
  <c r="I395" i="66" a="1"/>
  <c r="I395" i="66" s="1"/>
  <c r="I396" i="66" s="1"/>
  <c r="Q28" i="66"/>
  <c r="J182" i="68"/>
  <c r="J183" i="68" s="1"/>
  <c r="J184" i="68" s="1"/>
  <c r="Q548" i="66"/>
  <c r="D49" i="124" a="1"/>
  <c r="D49" i="124" s="1"/>
  <c r="C39" i="124" a="1"/>
  <c r="C39" i="124" s="1"/>
  <c r="D20" i="124" a="1"/>
  <c r="D20" i="124" s="1"/>
  <c r="C49" i="124" a="1"/>
  <c r="C49" i="124" s="1"/>
  <c r="C29" i="124" a="1"/>
  <c r="C29" i="124" s="1"/>
  <c r="C20" i="124" a="1"/>
  <c r="C20" i="124" s="1"/>
  <c r="D29" i="124" a="1"/>
  <c r="D29" i="124" s="1"/>
  <c r="C9" i="124" a="1"/>
  <c r="C9" i="124" s="1"/>
  <c r="D39" i="124" a="1"/>
  <c r="D39" i="124" s="1"/>
  <c r="D9" i="124" a="1"/>
  <c r="D9" i="124" s="1"/>
  <c r="F176" i="52"/>
  <c r="Q461" i="66"/>
  <c r="J282" i="66"/>
  <c r="I54" i="66"/>
  <c r="I62" i="66" a="1"/>
  <c r="I62" i="66" s="1"/>
  <c r="I63" i="66" s="1"/>
  <c r="J143" i="68"/>
  <c r="J144" i="68" s="1"/>
  <c r="J145" i="68" s="1"/>
  <c r="J126" i="68"/>
  <c r="J86" i="68"/>
  <c r="J87" i="68" s="1"/>
  <c r="J88" i="68" s="1"/>
  <c r="J132" i="68"/>
  <c r="J177" i="66"/>
  <c r="Q562" i="66"/>
  <c r="Q572" i="66"/>
  <c r="Q582" i="66"/>
  <c r="Q471" i="66"/>
  <c r="Q589" i="66"/>
  <c r="Q375" i="68"/>
  <c r="Q9" i="66"/>
  <c r="J55" i="66"/>
  <c r="J197" i="66"/>
  <c r="AW60" i="113" a="1"/>
  <c r="AW60" i="113" s="1"/>
  <c r="BD60" i="113" a="1"/>
  <c r="BD60" i="113" s="1"/>
  <c r="F549" i="66"/>
  <c r="F550" i="66" s="1"/>
  <c r="F551" i="66" s="1"/>
  <c r="F552" i="66" s="1"/>
  <c r="F553" i="66" s="1"/>
  <c r="V60" i="113" a="1"/>
  <c r="V60" i="113" s="1"/>
  <c r="AC60" i="113" a="1"/>
  <c r="AC60" i="113" s="1"/>
  <c r="AK60" i="113" a="1"/>
  <c r="AK60" i="113" s="1"/>
  <c r="AO60" i="113" a="1"/>
  <c r="AO60" i="113" s="1"/>
  <c r="F448" i="66"/>
  <c r="F449" i="66" s="1"/>
  <c r="F450" i="66" s="1"/>
  <c r="F451" i="66" s="1"/>
  <c r="F452" i="66" s="1"/>
  <c r="AE60" i="113" a="1"/>
  <c r="AE60" i="113" s="1"/>
  <c r="X60" i="113" a="1"/>
  <c r="X60" i="113" s="1"/>
  <c r="AD60" i="113" a="1"/>
  <c r="AD60" i="113" s="1"/>
  <c r="W60" i="113" a="1"/>
  <c r="W60" i="113" s="1"/>
  <c r="U60" i="113" a="1"/>
  <c r="U60" i="113" s="1"/>
  <c r="AB60" i="113" a="1"/>
  <c r="AB60" i="113" s="1"/>
  <c r="BE60" i="113" a="1"/>
  <c r="BE60" i="113" s="1"/>
  <c r="AX60" i="113" a="1"/>
  <c r="AX60" i="113" s="1"/>
  <c r="J577" i="66"/>
  <c r="J283" i="66"/>
  <c r="J46" i="66"/>
  <c r="P60" i="113" a="1"/>
  <c r="P60" i="113" s="1"/>
  <c r="L60" i="113" a="1"/>
  <c r="L60" i="113" s="1"/>
  <c r="Q92" i="66"/>
  <c r="J206" i="66"/>
  <c r="BB60" i="113" a="1"/>
  <c r="BB60" i="113" s="1"/>
  <c r="AU60" i="113" a="1"/>
  <c r="AU60" i="113" s="1"/>
  <c r="Y60" i="113" a="1"/>
  <c r="Y60" i="113" s="1"/>
  <c r="Q215" i="66"/>
  <c r="AV60" i="113" a="1"/>
  <c r="AV60" i="113" s="1"/>
  <c r="BC60" i="113" a="1"/>
  <c r="BC60" i="113" s="1"/>
  <c r="F498" i="66"/>
  <c r="F499" i="66" s="1"/>
  <c r="F500" i="66" s="1"/>
  <c r="F501" i="66" s="1"/>
  <c r="F502" i="66" s="1"/>
  <c r="F298" i="66"/>
  <c r="BF60" i="113" a="1"/>
  <c r="BF60" i="113" s="1"/>
  <c r="AY60" i="113" a="1"/>
  <c r="AY60" i="113" s="1"/>
  <c r="D13" i="108"/>
  <c r="Q374" i="68"/>
  <c r="Q315" i="68"/>
  <c r="J291" i="68"/>
  <c r="J292" i="68" s="1"/>
  <c r="J293" i="68" s="1"/>
  <c r="I313" i="52"/>
  <c r="I19" i="52"/>
  <c r="I126" i="52"/>
  <c r="I56" i="52"/>
  <c r="Q277" i="68"/>
  <c r="I191" i="52"/>
  <c r="I155" i="52"/>
  <c r="I274" i="52"/>
  <c r="Q275" i="68"/>
  <c r="I251" i="52"/>
  <c r="I80" i="52"/>
  <c r="O19" i="52"/>
  <c r="Q314" i="68"/>
  <c r="Q288" i="68"/>
  <c r="J278" i="68"/>
  <c r="Q281" i="68"/>
  <c r="J282" i="68"/>
  <c r="Q344" i="68"/>
  <c r="I317" i="66" a="1"/>
  <c r="I317" i="66" s="1"/>
  <c r="J447" i="66"/>
  <c r="Q345" i="68"/>
  <c r="I386" i="66" a="1"/>
  <c r="I386" i="66" s="1"/>
  <c r="I387" i="66" s="1"/>
  <c r="P316" i="68" a="1"/>
  <c r="P316" i="68" s="1"/>
  <c r="P317" i="68" s="1"/>
  <c r="P54" i="116" s="1" a="1"/>
  <c r="P54" i="116" s="1"/>
  <c r="I371" i="66" a="1"/>
  <c r="I371" i="66" s="1"/>
  <c r="Q279" i="68"/>
  <c r="Q252" i="98"/>
  <c r="Q290" i="68"/>
  <c r="I340" i="66" a="1"/>
  <c r="I340" i="66" s="1"/>
  <c r="I341" i="66" s="1"/>
  <c r="L52" i="115" s="1" a="1"/>
  <c r="L52" i="115" s="1"/>
  <c r="L65" i="115" s="1"/>
  <c r="M65" i="115" s="1"/>
  <c r="Q55" i="66"/>
  <c r="Q46" i="66"/>
  <c r="Q280" i="68"/>
  <c r="Q447" i="66"/>
  <c r="I410" i="66"/>
  <c r="AD52" i="115" s="1" a="1"/>
  <c r="AD52" i="115" s="1"/>
  <c r="I362" i="66" a="1"/>
  <c r="I362" i="66" s="1"/>
  <c r="J362" i="66" s="1"/>
  <c r="I353" i="66" a="1"/>
  <c r="I353" i="66" s="1"/>
  <c r="Q53" i="52"/>
  <c r="I290" i="66" a="1"/>
  <c r="I290" i="66" s="1"/>
  <c r="I291" i="66" s="1"/>
  <c r="J249" i="52"/>
  <c r="J310" i="52"/>
  <c r="Q289" i="68"/>
  <c r="F47" i="66"/>
  <c r="F48" i="66" s="1"/>
  <c r="Q48" i="66" s="1"/>
  <c r="F106" i="66"/>
  <c r="Q105" i="66"/>
  <c r="J271" i="52"/>
  <c r="J222" i="98"/>
  <c r="Q201" i="98"/>
  <c r="Q22" i="66"/>
  <c r="J334" i="68"/>
  <c r="J394" i="68"/>
  <c r="Q170" i="98"/>
  <c r="J199" i="98"/>
  <c r="J250" i="98"/>
  <c r="H313" i="52"/>
  <c r="J252" i="98"/>
  <c r="Q169" i="98"/>
  <c r="Q251" i="98"/>
  <c r="I38" i="66" a="1"/>
  <c r="I38" i="66" s="1"/>
  <c r="J497" i="66"/>
  <c r="I266" i="66" a="1"/>
  <c r="I266" i="66" s="1"/>
  <c r="J259" i="66"/>
  <c r="J250" i="66"/>
  <c r="Q567" i="66"/>
  <c r="Q566" i="66"/>
  <c r="J273" i="52"/>
  <c r="J562" i="66"/>
  <c r="J272" i="52"/>
  <c r="H274" i="52"/>
  <c r="J270" i="52"/>
  <c r="J169" i="98"/>
  <c r="Q171" i="98"/>
  <c r="F79" i="52"/>
  <c r="Q334" i="68"/>
  <c r="J304" i="68"/>
  <c r="Q202" i="98"/>
  <c r="J393" i="68"/>
  <c r="J251" i="98"/>
  <c r="I346" i="68" a="1"/>
  <c r="I346" i="68" s="1"/>
  <c r="J346" i="68" s="1"/>
  <c r="J220" i="98"/>
  <c r="J201" i="98"/>
  <c r="Q394" i="68"/>
  <c r="J200" i="98"/>
  <c r="J170" i="98"/>
  <c r="Q265" i="68"/>
  <c r="Q220" i="98"/>
  <c r="Q333" i="68"/>
  <c r="Q219" i="98"/>
  <c r="O223" i="98"/>
  <c r="F239" i="68"/>
  <c r="Q238" i="68"/>
  <c r="J238" i="68"/>
  <c r="J332" i="68"/>
  <c r="Q222" i="98"/>
  <c r="Q249" i="68"/>
  <c r="J172" i="98"/>
  <c r="Q203" i="98"/>
  <c r="Q200" i="98"/>
  <c r="J266" i="68"/>
  <c r="Q250" i="98"/>
  <c r="J333" i="68"/>
  <c r="Q172" i="98"/>
  <c r="F50" i="98"/>
  <c r="Q49" i="98"/>
  <c r="J49" i="98"/>
  <c r="J484" i="66"/>
  <c r="Q123" i="52"/>
  <c r="H19" i="52"/>
  <c r="F348" i="68"/>
  <c r="J219" i="98"/>
  <c r="F150" i="98"/>
  <c r="J149" i="98"/>
  <c r="Q149" i="98"/>
  <c r="Q332" i="68"/>
  <c r="F70" i="98"/>
  <c r="Q69" i="98"/>
  <c r="J69" i="98"/>
  <c r="J392" i="68"/>
  <c r="J221" i="98"/>
  <c r="F71" i="68"/>
  <c r="J70" i="68"/>
  <c r="Q70" i="68"/>
  <c r="Q221" i="98"/>
  <c r="J171" i="98"/>
  <c r="Q199" i="98"/>
  <c r="Q266" i="68"/>
  <c r="Q173" i="98"/>
  <c r="Q304" i="68"/>
  <c r="Q250" i="68"/>
  <c r="H56" i="52"/>
  <c r="Q251" i="68"/>
  <c r="J249" i="98"/>
  <c r="F194" i="68"/>
  <c r="Q193" i="68"/>
  <c r="J193" i="68"/>
  <c r="F120" i="98"/>
  <c r="J119" i="98"/>
  <c r="Q119" i="98"/>
  <c r="Q249" i="98"/>
  <c r="O253" i="98"/>
  <c r="Q392" i="68"/>
  <c r="P252" i="68"/>
  <c r="P54" i="115" s="1" a="1"/>
  <c r="P54" i="115" s="1"/>
  <c r="F100" i="98"/>
  <c r="Q99" i="98"/>
  <c r="J99" i="98"/>
  <c r="J267" i="68"/>
  <c r="F167" i="68"/>
  <c r="Q166" i="68"/>
  <c r="J166" i="68"/>
  <c r="J202" i="98"/>
  <c r="J265" i="68"/>
  <c r="F20" i="98"/>
  <c r="Q19" i="98"/>
  <c r="J19" i="98"/>
  <c r="Q393" i="68"/>
  <c r="F110" i="68"/>
  <c r="Q109" i="68"/>
  <c r="J109" i="68"/>
  <c r="Q267" i="68"/>
  <c r="I152" i="66" a="1"/>
  <c r="I152" i="66" s="1"/>
  <c r="Q311" i="66"/>
  <c r="I125" i="66" a="1"/>
  <c r="I125" i="66" s="1"/>
  <c r="I440" i="66" a="1"/>
  <c r="I440" i="66" s="1"/>
  <c r="I431" i="66" a="1"/>
  <c r="I431" i="66" s="1"/>
  <c r="I326" i="66" a="1"/>
  <c r="I326" i="66" s="1"/>
  <c r="Q189" i="52"/>
  <c r="J247" i="52"/>
  <c r="F507" i="66"/>
  <c r="P313" i="52"/>
  <c r="Q250" i="52"/>
  <c r="Q54" i="52"/>
  <c r="P155" i="52"/>
  <c r="F56" i="66"/>
  <c r="J56" i="66" s="1"/>
  <c r="J375" i="68"/>
  <c r="J189" i="52"/>
  <c r="J311" i="52"/>
  <c r="Q276" i="68"/>
  <c r="F217" i="68"/>
  <c r="O175" i="52"/>
  <c r="F283" i="68"/>
  <c r="J251" i="68"/>
  <c r="J281" i="68"/>
  <c r="J345" i="68"/>
  <c r="J250" i="68"/>
  <c r="J249" i="68"/>
  <c r="J289" i="68"/>
  <c r="J312" i="52"/>
  <c r="P126" i="52"/>
  <c r="J309" i="52"/>
  <c r="J548" i="66"/>
  <c r="J275" i="68"/>
  <c r="J279" i="68"/>
  <c r="J313" i="68"/>
  <c r="J373" i="68"/>
  <c r="J344" i="68"/>
  <c r="J315" i="68"/>
  <c r="J290" i="68"/>
  <c r="J276" i="68"/>
  <c r="P80" i="52"/>
  <c r="P214" i="52"/>
  <c r="J22" i="66"/>
  <c r="J248" i="52"/>
  <c r="P251" i="52"/>
  <c r="Q497" i="66"/>
  <c r="F292" i="66"/>
  <c r="F397" i="66"/>
  <c r="O172" i="52"/>
  <c r="P346" i="68" a="1"/>
  <c r="P346" i="68" s="1"/>
  <c r="Q346" i="68" s="1"/>
  <c r="J374" i="68"/>
  <c r="J343" i="68"/>
  <c r="I316" i="68" a="1"/>
  <c r="I316" i="68" s="1"/>
  <c r="J316" i="68" s="1"/>
  <c r="J314" i="68"/>
  <c r="I252" i="68"/>
  <c r="J277" i="68"/>
  <c r="J288" i="68"/>
  <c r="J280" i="68"/>
  <c r="F44" i="68"/>
  <c r="Q43" i="68"/>
  <c r="J43" i="68"/>
  <c r="F49" i="68"/>
  <c r="F139" i="68"/>
  <c r="J139" i="68" s="1"/>
  <c r="Q138" i="68"/>
  <c r="F206" i="68"/>
  <c r="J206" i="68" s="1"/>
  <c r="Q205" i="68"/>
  <c r="M205" i="68" s="1"/>
  <c r="F178" i="68"/>
  <c r="J178" i="68" s="1"/>
  <c r="Q177" i="68"/>
  <c r="M177" i="68" s="1"/>
  <c r="F133" i="68"/>
  <c r="F122" i="68"/>
  <c r="J121" i="68"/>
  <c r="Q121" i="68"/>
  <c r="F82" i="68"/>
  <c r="J81" i="68"/>
  <c r="Q81" i="68"/>
  <c r="F38" i="68"/>
  <c r="Q37" i="68"/>
  <c r="J37" i="68"/>
  <c r="F10" i="68"/>
  <c r="J9" i="68"/>
  <c r="Q9" i="68"/>
  <c r="F223" i="68"/>
  <c r="J223" i="68" s="1"/>
  <c r="Q222" i="68"/>
  <c r="M222" i="68" s="1"/>
  <c r="F128" i="68"/>
  <c r="J127" i="68"/>
  <c r="Q127" i="68"/>
  <c r="F212" i="68"/>
  <c r="J212" i="68" s="1"/>
  <c r="Q211" i="68"/>
  <c r="M211" i="68" s="1"/>
  <c r="J54" i="68"/>
  <c r="F55" i="68"/>
  <c r="Q54" i="68"/>
  <c r="Q17" i="52"/>
  <c r="J17" i="52"/>
  <c r="F380" i="66"/>
  <c r="J379" i="66"/>
  <c r="Q379" i="66"/>
  <c r="F403" i="66"/>
  <c r="Q402" i="66"/>
  <c r="J402" i="66"/>
  <c r="F275" i="66"/>
  <c r="J274" i="66"/>
  <c r="Q274" i="66"/>
  <c r="F334" i="66"/>
  <c r="J333" i="66"/>
  <c r="Q333" i="66"/>
  <c r="F389" i="66"/>
  <c r="J388" i="66"/>
  <c r="Q388" i="66"/>
  <c r="P19" i="52"/>
  <c r="Q16" i="52"/>
  <c r="Q18" i="52"/>
  <c r="J16" i="52"/>
  <c r="Q55" i="52"/>
  <c r="F10" i="66"/>
  <c r="Q10" i="66" s="1"/>
  <c r="J9" i="66"/>
  <c r="J250" i="52"/>
  <c r="H251" i="52"/>
  <c r="O56" i="52"/>
  <c r="Q319" i="66"/>
  <c r="Q483" i="66"/>
  <c r="Q124" i="52"/>
  <c r="J190" i="52"/>
  <c r="J124" i="52"/>
  <c r="H191" i="52"/>
  <c r="J188" i="52"/>
  <c r="H126" i="52"/>
  <c r="J121" i="52"/>
  <c r="J123" i="52"/>
  <c r="Q248" i="52"/>
  <c r="P56" i="52"/>
  <c r="J125" i="52"/>
  <c r="J53" i="52"/>
  <c r="J55" i="52"/>
  <c r="O251" i="52"/>
  <c r="O126" i="52"/>
  <c r="J122" i="52"/>
  <c r="J54" i="52"/>
  <c r="Q122" i="52"/>
  <c r="Q249" i="52"/>
  <c r="J319" i="66"/>
  <c r="Q190" i="52"/>
  <c r="Q121" i="52"/>
  <c r="F178" i="66"/>
  <c r="Q188" i="52"/>
  <c r="Q247" i="52"/>
  <c r="J169" i="66"/>
  <c r="Q169" i="66"/>
  <c r="J357" i="66"/>
  <c r="Q357" i="66"/>
  <c r="Q82" i="66"/>
  <c r="J82" i="66"/>
  <c r="J358" i="66"/>
  <c r="J160" i="66"/>
  <c r="J297" i="66"/>
  <c r="Q297" i="66"/>
  <c r="J310" i="66"/>
  <c r="J105" i="66"/>
  <c r="F70" i="66"/>
  <c r="J69" i="66"/>
  <c r="Q69" i="66"/>
  <c r="F170" i="66"/>
  <c r="F184" i="66"/>
  <c r="J183" i="66"/>
  <c r="Q183" i="66"/>
  <c r="Q310" i="66"/>
  <c r="F284" i="66"/>
  <c r="J284" i="66" s="1"/>
  <c r="Q283" i="66"/>
  <c r="F238" i="66"/>
  <c r="J238" i="66" s="1"/>
  <c r="Q237" i="66"/>
  <c r="J237" i="66"/>
  <c r="J482" i="66"/>
  <c r="J359" i="66"/>
  <c r="Q358" i="66"/>
  <c r="Q475" i="66"/>
  <c r="J474" i="66"/>
  <c r="J473" i="66"/>
  <c r="Q473" i="66"/>
  <c r="J355" i="66"/>
  <c r="I455" i="66" a="1"/>
  <c r="I455" i="66" s="1"/>
  <c r="Q472" i="66"/>
  <c r="Q474" i="66"/>
  <c r="J462" i="66"/>
  <c r="Q478" i="66"/>
  <c r="J478" i="66"/>
  <c r="Q569" i="66"/>
  <c r="J472" i="66"/>
  <c r="F64" i="66"/>
  <c r="Q355" i="66"/>
  <c r="Q369" i="66"/>
  <c r="J360" i="66"/>
  <c r="J356" i="66"/>
  <c r="Q346" i="66"/>
  <c r="J475" i="66"/>
  <c r="Q359" i="66"/>
  <c r="Q356" i="66"/>
  <c r="Q360" i="66"/>
  <c r="J346" i="66"/>
  <c r="J91" i="66"/>
  <c r="Q91" i="66"/>
  <c r="J368" i="66"/>
  <c r="Q366" i="66"/>
  <c r="J365" i="66"/>
  <c r="J366" i="66"/>
  <c r="Q367" i="66"/>
  <c r="Q364" i="66"/>
  <c r="Q462" i="66"/>
  <c r="Q365" i="66"/>
  <c r="J364" i="66"/>
  <c r="Q415" i="66"/>
  <c r="Q433" i="66"/>
  <c r="Q368" i="66"/>
  <c r="Q424" i="66"/>
  <c r="J476" i="66"/>
  <c r="Q476" i="66"/>
  <c r="J369" i="66"/>
  <c r="J367" i="66"/>
  <c r="J415" i="66"/>
  <c r="J433" i="66"/>
  <c r="P274" i="52"/>
  <c r="J424" i="66"/>
  <c r="K420" i="66" s="1"/>
  <c r="Q565" i="66"/>
  <c r="J564" i="66"/>
  <c r="Q564" i="66"/>
  <c r="Q563" i="66"/>
  <c r="J563" i="66"/>
  <c r="J567" i="66"/>
  <c r="J566" i="66"/>
  <c r="J565" i="66"/>
  <c r="J347" i="66"/>
  <c r="Q347" i="66"/>
  <c r="J582" i="66"/>
  <c r="J572" i="66"/>
  <c r="J223" i="66"/>
  <c r="Q196" i="66"/>
  <c r="J196" i="66"/>
  <c r="J205" i="66"/>
  <c r="Q214" i="66"/>
  <c r="Q250" i="66"/>
  <c r="Q486" i="66"/>
  <c r="J214" i="66"/>
  <c r="Q205" i="66"/>
  <c r="J251" i="66"/>
  <c r="Q259" i="66"/>
  <c r="Q223" i="66"/>
  <c r="J260" i="66"/>
  <c r="Q260" i="66"/>
  <c r="J224" i="66"/>
  <c r="J211" i="52"/>
  <c r="P291" i="68"/>
  <c r="AH54" i="115" s="1" a="1"/>
  <c r="AH54" i="115" s="1"/>
  <c r="Q127" i="66"/>
  <c r="Q482" i="66"/>
  <c r="J485" i="66"/>
  <c r="Q485" i="66"/>
  <c r="J486" i="66"/>
  <c r="J481" i="66"/>
  <c r="Q31" i="66"/>
  <c r="Q118" i="66"/>
  <c r="J127" i="66"/>
  <c r="Q136" i="66"/>
  <c r="J118" i="66"/>
  <c r="Q146" i="66"/>
  <c r="Q23" i="66"/>
  <c r="J136" i="66"/>
  <c r="J145" i="66"/>
  <c r="Q119" i="66"/>
  <c r="J32" i="66"/>
  <c r="Q32" i="66"/>
  <c r="J31" i="66"/>
  <c r="J483" i="66"/>
  <c r="Q481" i="66"/>
  <c r="Q484" i="66"/>
  <c r="J461" i="66"/>
  <c r="P282" i="68"/>
  <c r="Q145" i="66"/>
  <c r="Q373" i="68"/>
  <c r="Q343" i="68"/>
  <c r="Q313" i="68"/>
  <c r="P278" i="68"/>
  <c r="J154" i="52"/>
  <c r="O214" i="52"/>
  <c r="Q210" i="52"/>
  <c r="Q212" i="52"/>
  <c r="Q211" i="52"/>
  <c r="H214" i="52"/>
  <c r="J210" i="52"/>
  <c r="J212" i="52"/>
  <c r="J213" i="52"/>
  <c r="Q152" i="52"/>
  <c r="O155" i="52"/>
  <c r="Q153" i="52"/>
  <c r="J153" i="52"/>
  <c r="H155" i="52"/>
  <c r="J152" i="52"/>
  <c r="O274" i="52"/>
  <c r="O80" i="52"/>
  <c r="H80" i="52"/>
  <c r="Q75" i="52"/>
  <c r="Q76" i="52"/>
  <c r="Q77" i="52"/>
  <c r="J77" i="52"/>
  <c r="J78" i="52"/>
  <c r="Q78" i="52"/>
  <c r="J75" i="52"/>
  <c r="J76" i="52"/>
  <c r="J18" i="52"/>
  <c r="B69" i="120"/>
  <c r="B57" i="120"/>
  <c r="B58" i="120"/>
  <c r="B77" i="120"/>
  <c r="B47" i="120"/>
  <c r="B63" i="120"/>
  <c r="B74" i="83"/>
  <c r="B75" i="83" s="1"/>
  <c r="B76" i="83" s="1"/>
  <c r="B77" i="83" s="1"/>
  <c r="B67" i="83"/>
  <c r="B68" i="83" s="1"/>
  <c r="B69" i="83" s="1"/>
  <c r="B70" i="83" s="1"/>
  <c r="B60" i="83"/>
  <c r="B61" i="83" s="1"/>
  <c r="B62" i="83" s="1"/>
  <c r="B63" i="83" s="1"/>
  <c r="B53" i="83"/>
  <c r="B54" i="83" s="1"/>
  <c r="B55" i="83" s="1"/>
  <c r="B56" i="83" s="1"/>
  <c r="Q524" i="66" l="1"/>
  <c r="J524" i="66"/>
  <c r="J526" i="66"/>
  <c r="F529" i="66"/>
  <c r="Q525" i="66"/>
  <c r="Q528" i="66"/>
  <c r="M528" i="66" s="1"/>
  <c r="Q526" i="66"/>
  <c r="J527" i="66"/>
  <c r="K527" i="66" s="1"/>
  <c r="F530" i="66"/>
  <c r="F531" i="66" s="1"/>
  <c r="F532" i="66" s="1"/>
  <c r="J525" i="66"/>
  <c r="Q527" i="66"/>
  <c r="W33" i="57"/>
  <c r="N179" i="135" a="1"/>
  <c r="N179" i="135" s="1"/>
  <c r="G179" i="135" a="1"/>
  <c r="G179" i="135" s="1"/>
  <c r="O179" i="135" a="1"/>
  <c r="O179" i="135" s="1"/>
  <c r="H179" i="135" a="1"/>
  <c r="H179" i="135" s="1"/>
  <c r="P179" i="135" a="1"/>
  <c r="P179" i="135" s="1"/>
  <c r="I179" i="135" a="1"/>
  <c r="I179" i="135" s="1"/>
  <c r="P65" i="115"/>
  <c r="Q65" i="115" s="1"/>
  <c r="P140" i="52"/>
  <c r="J91" i="52"/>
  <c r="J92" i="52" s="1"/>
  <c r="J93" i="52" s="1"/>
  <c r="O281" i="52"/>
  <c r="Q279" i="52"/>
  <c r="O140" i="52"/>
  <c r="Q138" i="52"/>
  <c r="Q318" i="52"/>
  <c r="P281" i="52"/>
  <c r="Q65" i="108"/>
  <c r="R65" i="108" s="1"/>
  <c r="P67" i="115"/>
  <c r="Q67" i="115" s="1"/>
  <c r="Q116" i="52"/>
  <c r="M116" i="52" s="1"/>
  <c r="J198" i="52"/>
  <c r="K196" i="52" s="1"/>
  <c r="K115" i="52"/>
  <c r="J140" i="52"/>
  <c r="J141" i="52" s="1"/>
  <c r="J142" i="52" s="1"/>
  <c r="M114" i="52"/>
  <c r="K114" i="52"/>
  <c r="AO52" i="113" a="1"/>
  <c r="AO52" i="113" s="1"/>
  <c r="AP52" i="113" a="1"/>
  <c r="AP52" i="113" s="1"/>
  <c r="J166" i="52"/>
  <c r="J167" i="52" s="1"/>
  <c r="J168" i="52" s="1"/>
  <c r="J265" i="52"/>
  <c r="J266" i="52" s="1"/>
  <c r="J267" i="52" s="1"/>
  <c r="AI65" i="108"/>
  <c r="AJ65" i="108" s="1"/>
  <c r="M264" i="52"/>
  <c r="J225" i="52"/>
  <c r="J133" i="52"/>
  <c r="K131" i="52" s="1"/>
  <c r="J63" i="52"/>
  <c r="K62" i="52" s="1"/>
  <c r="J281" i="52"/>
  <c r="K279" i="52" s="1"/>
  <c r="Q265" i="52"/>
  <c r="M263" i="52"/>
  <c r="J320" i="52"/>
  <c r="K318" i="52" s="1"/>
  <c r="J258" i="52"/>
  <c r="K256" i="52" s="1"/>
  <c r="P320" i="52"/>
  <c r="M67" i="108"/>
  <c r="N67" i="108" s="1"/>
  <c r="M65" i="108"/>
  <c r="N65" i="108" s="1"/>
  <c r="Q68" i="108"/>
  <c r="Q67" i="108"/>
  <c r="R67" i="108" s="1"/>
  <c r="AI67" i="108"/>
  <c r="AJ67" i="108" s="1"/>
  <c r="AE67" i="108"/>
  <c r="AF67" i="108" s="1"/>
  <c r="AE65" i="108"/>
  <c r="AF65" i="108" s="1"/>
  <c r="J30" i="52"/>
  <c r="K28" i="52" s="1"/>
  <c r="Z52" i="108" a="1"/>
  <c r="Z52" i="108" s="1"/>
  <c r="BA52" i="108" a="1"/>
  <c r="BA52" i="108" s="1"/>
  <c r="M22" i="66"/>
  <c r="J537" i="66"/>
  <c r="Q536" i="66"/>
  <c r="Q89" i="66"/>
  <c r="Q537" i="66"/>
  <c r="J535" i="66"/>
  <c r="F540" i="66"/>
  <c r="F541" i="66" s="1"/>
  <c r="F542" i="66" s="1"/>
  <c r="F539" i="66"/>
  <c r="Q539" i="66" s="1"/>
  <c r="J534" i="66"/>
  <c r="Q534" i="66"/>
  <c r="Q538" i="66"/>
  <c r="M538" i="66" s="1"/>
  <c r="J536" i="66"/>
  <c r="Q535" i="66"/>
  <c r="L145" i="135" a="1"/>
  <c r="L145" i="135" s="1"/>
  <c r="L127" i="135" a="1"/>
  <c r="L127" i="135" s="1"/>
  <c r="G145" i="135" a="1"/>
  <c r="G145" i="135" s="1"/>
  <c r="H145" i="135" s="1"/>
  <c r="L113" i="135" a="1"/>
  <c r="L113" i="135" s="1"/>
  <c r="L96" i="135" a="1"/>
  <c r="L96" i="135" s="1"/>
  <c r="G113" i="135" a="1"/>
  <c r="G113" i="135" s="1"/>
  <c r="H113" i="135" s="1"/>
  <c r="G96" i="135" a="1"/>
  <c r="G96" i="135" s="1"/>
  <c r="H96" i="135" s="1"/>
  <c r="Z52" i="114" a="1"/>
  <c r="Z52" i="114" s="1"/>
  <c r="BA52" i="114" a="1"/>
  <c r="BA52" i="114" s="1"/>
  <c r="BM52" i="113" a="1"/>
  <c r="BM52" i="113" s="1"/>
  <c r="AD52" i="113" a="1"/>
  <c r="AD52" i="113" s="1"/>
  <c r="AZ52" i="115" a="1"/>
  <c r="AZ52" i="115" s="1"/>
  <c r="Y52" i="115" a="1"/>
  <c r="Y52" i="115" s="1"/>
  <c r="L65" i="135" a="1"/>
  <c r="L65" i="135" s="1"/>
  <c r="L47" i="135" a="1"/>
  <c r="L47" i="135" s="1"/>
  <c r="G65" i="135" a="1"/>
  <c r="G65" i="135" s="1"/>
  <c r="H65" i="135" s="1"/>
  <c r="G47" i="135" a="1"/>
  <c r="G47" i="135" s="1"/>
  <c r="H47" i="135" s="1"/>
  <c r="L25" i="135" a="1"/>
  <c r="L25" i="135" s="1"/>
  <c r="G25" i="135" a="1"/>
  <c r="G25" i="135" s="1"/>
  <c r="H25" i="135" s="1"/>
  <c r="G7" i="135" a="1"/>
  <c r="G7" i="135" s="1"/>
  <c r="H7" i="135" s="1"/>
  <c r="L7" i="135" a="1"/>
  <c r="L7" i="135" s="1"/>
  <c r="L73" i="135" a="1"/>
  <c r="L73" i="135" s="1"/>
  <c r="L56" i="135" a="1"/>
  <c r="L56" i="135" s="1"/>
  <c r="G73" i="135" a="1"/>
  <c r="G73" i="135" s="1"/>
  <c r="H73" i="135" s="1"/>
  <c r="G56" i="135" a="1"/>
  <c r="G56" i="135" s="1"/>
  <c r="H56" i="135" s="1"/>
  <c r="BN52" i="113" a="1"/>
  <c r="BN52" i="113" s="1"/>
  <c r="AE52" i="113" a="1"/>
  <c r="AE52" i="113" s="1"/>
  <c r="L33" i="135" a="1"/>
  <c r="L33" i="135" s="1"/>
  <c r="L16" i="135" a="1"/>
  <c r="L16" i="135" s="1"/>
  <c r="G33" i="135" a="1"/>
  <c r="G33" i="135" s="1"/>
  <c r="H33" i="135" s="1"/>
  <c r="G16" i="135" a="1"/>
  <c r="G16" i="135" s="1"/>
  <c r="H16" i="135" s="1"/>
  <c r="L153" i="135" a="1"/>
  <c r="L153" i="135" s="1"/>
  <c r="L136" i="135" a="1"/>
  <c r="L136" i="135" s="1"/>
  <c r="G153" i="135" a="1"/>
  <c r="G153" i="135" s="1"/>
  <c r="H153" i="135" s="1"/>
  <c r="G136" i="135" a="1"/>
  <c r="G136" i="135" s="1"/>
  <c r="H136" i="135" s="1"/>
  <c r="BA52" i="115" a="1"/>
  <c r="BA52" i="115" s="1"/>
  <c r="Z52" i="115" a="1"/>
  <c r="Z52" i="115" s="1"/>
  <c r="L105" i="135" a="1"/>
  <c r="L105" i="135" s="1"/>
  <c r="L87" i="135" a="1"/>
  <c r="L87" i="135" s="1"/>
  <c r="G105" i="135" a="1"/>
  <c r="G105" i="135" s="1"/>
  <c r="H105" i="135" s="1"/>
  <c r="G87" i="135" a="1"/>
  <c r="G87" i="135" s="1"/>
  <c r="H87" i="135" s="1"/>
  <c r="M468" i="66"/>
  <c r="M384" i="68"/>
  <c r="Q274" i="52"/>
  <c r="Q275" i="52" s="1"/>
  <c r="Q276" i="52" s="1"/>
  <c r="Q313" i="52"/>
  <c r="J361" i="68"/>
  <c r="M361" i="68" s="1"/>
  <c r="M355" i="68"/>
  <c r="M188" i="68"/>
  <c r="M356" i="68"/>
  <c r="M354" i="68"/>
  <c r="P144" i="66"/>
  <c r="AC52" i="113" s="1" a="1"/>
  <c r="AC52" i="113" s="1"/>
  <c r="BL52" i="113" s="1"/>
  <c r="I357" i="68"/>
  <c r="M524" i="66"/>
  <c r="J530" i="66"/>
  <c r="P357" i="68"/>
  <c r="Q530" i="66"/>
  <c r="Q366" i="68"/>
  <c r="J364" i="68"/>
  <c r="J366" i="68"/>
  <c r="J357" i="68"/>
  <c r="K353" i="68" s="1"/>
  <c r="M353" i="68"/>
  <c r="M359" i="68"/>
  <c r="Q365" i="68"/>
  <c r="M360" i="68"/>
  <c r="P367" i="68"/>
  <c r="M533" i="66"/>
  <c r="Q362" i="68"/>
  <c r="R359" i="68" s="1"/>
  <c r="P362" i="68"/>
  <c r="J365" i="68"/>
  <c r="Q364" i="68"/>
  <c r="Q529" i="66"/>
  <c r="J531" i="66"/>
  <c r="K523" i="66" s="1"/>
  <c r="M358" i="68"/>
  <c r="M523" i="66"/>
  <c r="I367" i="68"/>
  <c r="Q357" i="68"/>
  <c r="R353" i="68" s="1"/>
  <c r="M363" i="68"/>
  <c r="Q531" i="66"/>
  <c r="Q305" i="68"/>
  <c r="J306" i="68"/>
  <c r="Q192" i="68"/>
  <c r="R187" i="68" s="1"/>
  <c r="Z54" i="114" a="1"/>
  <c r="Z54" i="114" s="1"/>
  <c r="P268" i="68"/>
  <c r="BB54" i="115" s="1" a="1"/>
  <c r="BB54" i="115" s="1"/>
  <c r="Y54" i="115" a="1"/>
  <c r="Y54" i="115" s="1"/>
  <c r="J514" i="66"/>
  <c r="Q514" i="66"/>
  <c r="M513" i="66"/>
  <c r="AR54" i="114" a="1"/>
  <c r="AR54" i="114" s="1"/>
  <c r="I269" i="68"/>
  <c r="V54" i="115" a="1"/>
  <c r="V54" i="115" s="1"/>
  <c r="I199" i="68"/>
  <c r="V54" i="114" a="1"/>
  <c r="V54" i="114" s="1"/>
  <c r="I308" i="68"/>
  <c r="AL54" i="115" a="1"/>
  <c r="AL54" i="115" s="1"/>
  <c r="M187" i="68"/>
  <c r="L54" i="115" a="1"/>
  <c r="L54" i="115" s="1"/>
  <c r="L67" i="115" s="1"/>
  <c r="M67" i="115" s="1"/>
  <c r="H35" i="135"/>
  <c r="M328" i="68"/>
  <c r="H75" i="135"/>
  <c r="M189" i="68"/>
  <c r="L138" i="135" a="1"/>
  <c r="L138" i="135" s="1"/>
  <c r="L155" i="135" a="1"/>
  <c r="L155" i="135" s="1"/>
  <c r="G138" i="135" a="1"/>
  <c r="G138" i="135" s="1"/>
  <c r="H138" i="135" s="1"/>
  <c r="G155" i="135" a="1"/>
  <c r="G155" i="135" s="1"/>
  <c r="H155" i="135" s="1"/>
  <c r="G129" i="135" a="1"/>
  <c r="G129" i="135" s="1"/>
  <c r="H129" i="135" s="1"/>
  <c r="G147" i="135" a="1"/>
  <c r="G147" i="135" s="1"/>
  <c r="H147" i="135" s="1"/>
  <c r="L129" i="135" a="1"/>
  <c r="L129" i="135" s="1"/>
  <c r="L147" i="135" a="1"/>
  <c r="L147" i="135" s="1"/>
  <c r="Q257" i="66"/>
  <c r="M257" i="66" s="1"/>
  <c r="E157" i="135"/>
  <c r="E158" i="135" s="1"/>
  <c r="E159" i="135" s="1"/>
  <c r="K352" i="66"/>
  <c r="E77" i="135"/>
  <c r="E78" i="135" s="1"/>
  <c r="E79" i="135" s="1"/>
  <c r="H115" i="135"/>
  <c r="E117" i="135"/>
  <c r="E118" i="135" s="1"/>
  <c r="E119" i="135" s="1"/>
  <c r="M259" i="68"/>
  <c r="M383" i="68"/>
  <c r="M300" i="68"/>
  <c r="H9" i="135"/>
  <c r="Q264" i="68"/>
  <c r="R262" i="68" s="1"/>
  <c r="M190" i="68"/>
  <c r="K301" i="68"/>
  <c r="M324" i="68"/>
  <c r="R297" i="68"/>
  <c r="M329" i="68"/>
  <c r="R298" i="68"/>
  <c r="M301" i="68"/>
  <c r="M323" i="68"/>
  <c r="M299" i="68"/>
  <c r="M325" i="68"/>
  <c r="U54" i="116" a="1"/>
  <c r="U54" i="116" s="1"/>
  <c r="R259" i="68"/>
  <c r="M296" i="68"/>
  <c r="M298" i="68"/>
  <c r="V54" i="116" a="1"/>
  <c r="V54" i="116" s="1"/>
  <c r="M260" i="68"/>
  <c r="I172" i="68"/>
  <c r="P64" i="66"/>
  <c r="P199" i="68"/>
  <c r="P331" i="68"/>
  <c r="AY54" i="116" s="1" a="1"/>
  <c r="AY54" i="116" s="1"/>
  <c r="Q330" i="68"/>
  <c r="M330" i="68" s="1"/>
  <c r="I64" i="66"/>
  <c r="M389" i="68"/>
  <c r="R296" i="68"/>
  <c r="J305" i="68"/>
  <c r="R258" i="68"/>
  <c r="Q302" i="68"/>
  <c r="P303" i="68"/>
  <c r="AQ54" i="115" s="1" a="1"/>
  <c r="AQ54" i="115" s="1"/>
  <c r="P115" i="68"/>
  <c r="I115" i="68"/>
  <c r="F105" i="68"/>
  <c r="Q104" i="68"/>
  <c r="J104" i="68"/>
  <c r="M154" i="68"/>
  <c r="P244" i="68"/>
  <c r="M64" i="68"/>
  <c r="M297" i="68"/>
  <c r="F162" i="68"/>
  <c r="Q161" i="68"/>
  <c r="J161" i="68"/>
  <c r="M232" i="68"/>
  <c r="M91" i="68"/>
  <c r="F156" i="68"/>
  <c r="J155" i="68"/>
  <c r="Q155" i="68"/>
  <c r="K382" i="68"/>
  <c r="M385" i="68"/>
  <c r="F234" i="68"/>
  <c r="J233" i="68"/>
  <c r="Q233" i="68"/>
  <c r="F66" i="68"/>
  <c r="J65" i="68"/>
  <c r="Q65" i="68"/>
  <c r="F93" i="68"/>
  <c r="J92" i="68"/>
  <c r="Q92" i="68"/>
  <c r="M382" i="68"/>
  <c r="K390" i="68"/>
  <c r="M390" i="68"/>
  <c r="M148" i="68"/>
  <c r="P386" i="68"/>
  <c r="M322" i="68"/>
  <c r="K324" i="68"/>
  <c r="M97" i="68"/>
  <c r="P391" i="68"/>
  <c r="AL54" i="116" a="1"/>
  <c r="AL54" i="116" s="1"/>
  <c r="K191" i="68"/>
  <c r="M191" i="68"/>
  <c r="M262" i="68"/>
  <c r="M388" i="68"/>
  <c r="R257" i="68"/>
  <c r="F99" i="68"/>
  <c r="Q98" i="68"/>
  <c r="J98" i="68"/>
  <c r="M387" i="68"/>
  <c r="F150" i="68"/>
  <c r="J149" i="68"/>
  <c r="Q149" i="68"/>
  <c r="P326" i="68"/>
  <c r="AZ54" i="116" s="1" a="1"/>
  <c r="AZ54" i="116" s="1"/>
  <c r="M258" i="68"/>
  <c r="M103" i="68"/>
  <c r="M327" i="68"/>
  <c r="M261" i="68"/>
  <c r="M263" i="68"/>
  <c r="K327" i="68"/>
  <c r="P172" i="68"/>
  <c r="M257" i="68"/>
  <c r="M160" i="68"/>
  <c r="K222" i="68"/>
  <c r="K177" i="68"/>
  <c r="K178" i="68"/>
  <c r="K223" i="68"/>
  <c r="P30" i="66"/>
  <c r="M143" i="66"/>
  <c r="M488" i="66"/>
  <c r="M352" i="66"/>
  <c r="F555" i="66"/>
  <c r="F556" i="66" s="1"/>
  <c r="F554" i="66"/>
  <c r="Q554" i="66" s="1"/>
  <c r="F504" i="66"/>
  <c r="F505" i="66" s="1"/>
  <c r="F506" i="66" s="1"/>
  <c r="F503" i="66"/>
  <c r="Q503" i="66" s="1"/>
  <c r="F454" i="66"/>
  <c r="F455" i="66" s="1"/>
  <c r="F456" i="66" s="1"/>
  <c r="F453" i="66"/>
  <c r="Q453" i="66" s="1"/>
  <c r="M422" i="66"/>
  <c r="K139" i="68"/>
  <c r="J63" i="66"/>
  <c r="K55" i="66" s="1"/>
  <c r="K138" i="68"/>
  <c r="M375" i="68"/>
  <c r="Q549" i="66"/>
  <c r="J586" i="66"/>
  <c r="Q586" i="66"/>
  <c r="Q587" i="66"/>
  <c r="Q585" i="66"/>
  <c r="J585" i="66"/>
  <c r="Q584" i="66"/>
  <c r="Q583" i="66"/>
  <c r="J583" i="66"/>
  <c r="J584" i="66"/>
  <c r="J587" i="66"/>
  <c r="J448" i="66"/>
  <c r="Q450" i="66"/>
  <c r="Q573" i="66"/>
  <c r="J450" i="66"/>
  <c r="Q224" i="66"/>
  <c r="K279" i="68"/>
  <c r="Q550" i="66"/>
  <c r="Q434" i="66"/>
  <c r="Q216" i="66"/>
  <c r="Q428" i="66"/>
  <c r="J428" i="66"/>
  <c r="J215" i="66"/>
  <c r="Q429" i="66"/>
  <c r="J427" i="66"/>
  <c r="J426" i="66"/>
  <c r="Q425" i="66"/>
  <c r="J431" i="66"/>
  <c r="M277" i="68"/>
  <c r="J429" i="66"/>
  <c r="J425" i="66"/>
  <c r="J500" i="66"/>
  <c r="Q207" i="66"/>
  <c r="J551" i="66"/>
  <c r="J552" i="66"/>
  <c r="Q502" i="66"/>
  <c r="Q553" i="66"/>
  <c r="Q206" i="66"/>
  <c r="J502" i="66"/>
  <c r="Q551" i="66"/>
  <c r="J550" i="66"/>
  <c r="J553" i="66"/>
  <c r="Q552" i="66"/>
  <c r="Q498" i="66"/>
  <c r="J549" i="66"/>
  <c r="Q436" i="66"/>
  <c r="J434" i="66"/>
  <c r="Q440" i="66"/>
  <c r="J437" i="66"/>
  <c r="J435" i="66"/>
  <c r="M374" i="68"/>
  <c r="J438" i="66"/>
  <c r="Q438" i="66"/>
  <c r="J324" i="66"/>
  <c r="Q197" i="66"/>
  <c r="Q427" i="66"/>
  <c r="Q426" i="66"/>
  <c r="Q431" i="66"/>
  <c r="Q324" i="66"/>
  <c r="J92" i="66"/>
  <c r="M314" i="68"/>
  <c r="J501" i="66"/>
  <c r="J498" i="66"/>
  <c r="Q500" i="66"/>
  <c r="Q499" i="66"/>
  <c r="J499" i="66"/>
  <c r="Q435" i="66"/>
  <c r="J371" i="66"/>
  <c r="K369" i="66" s="1"/>
  <c r="Q437" i="66"/>
  <c r="J436" i="66"/>
  <c r="J440" i="66"/>
  <c r="K288" i="68"/>
  <c r="Q501" i="66"/>
  <c r="J321" i="66"/>
  <c r="M55" i="66"/>
  <c r="Q321" i="66"/>
  <c r="J322" i="66"/>
  <c r="J573" i="66"/>
  <c r="M315" i="68"/>
  <c r="J452" i="66"/>
  <c r="J93" i="66"/>
  <c r="J575" i="66"/>
  <c r="Q451" i="66"/>
  <c r="Q575" i="66"/>
  <c r="Q449" i="66"/>
  <c r="Q576" i="66"/>
  <c r="Q452" i="66"/>
  <c r="J451" i="66"/>
  <c r="J449" i="66"/>
  <c r="J574" i="66"/>
  <c r="J576" i="66"/>
  <c r="Q574" i="66"/>
  <c r="Q448" i="66"/>
  <c r="M46" i="66"/>
  <c r="Q323" i="66"/>
  <c r="M344" i="68"/>
  <c r="M252" i="98"/>
  <c r="Q47" i="66"/>
  <c r="K275" i="68"/>
  <c r="M281" i="68"/>
  <c r="M251" i="68"/>
  <c r="J47" i="66"/>
  <c r="P372" i="66"/>
  <c r="M309" i="52"/>
  <c r="M171" i="98"/>
  <c r="K169" i="66"/>
  <c r="K274" i="66"/>
  <c r="I347" i="68"/>
  <c r="Q326" i="66"/>
  <c r="M290" i="68"/>
  <c r="M447" i="66"/>
  <c r="M311" i="52"/>
  <c r="K290" i="68"/>
  <c r="K277" i="68"/>
  <c r="J387" i="66"/>
  <c r="J291" i="66"/>
  <c r="K284" i="66" s="1"/>
  <c r="J396" i="66"/>
  <c r="K388" i="66" s="1"/>
  <c r="Q322" i="66"/>
  <c r="J326" i="66"/>
  <c r="Q320" i="66"/>
  <c r="J320" i="66"/>
  <c r="J323" i="66"/>
  <c r="M345" i="68"/>
  <c r="Q252" i="68"/>
  <c r="Q253" i="68" s="1"/>
  <c r="Q254" i="68" s="1"/>
  <c r="J79" i="52"/>
  <c r="J80" i="52" s="1"/>
  <c r="K79" i="52" s="1"/>
  <c r="Q590" i="66"/>
  <c r="Q362" i="66"/>
  <c r="M222" i="98"/>
  <c r="M334" i="68"/>
  <c r="M394" i="68"/>
  <c r="M250" i="98"/>
  <c r="M251" i="98"/>
  <c r="M170" i="98"/>
  <c r="M169" i="98"/>
  <c r="R201" i="98"/>
  <c r="K281" i="68"/>
  <c r="J312" i="66"/>
  <c r="M201" i="98"/>
  <c r="Q316" i="68"/>
  <c r="M316" i="68" s="1"/>
  <c r="J489" i="66"/>
  <c r="M548" i="66"/>
  <c r="R171" i="98"/>
  <c r="P396" i="68"/>
  <c r="P336" i="68"/>
  <c r="J311" i="66"/>
  <c r="F57" i="66"/>
  <c r="Q57" i="66" s="1"/>
  <c r="R199" i="98"/>
  <c r="M220" i="98"/>
  <c r="J251" i="52"/>
  <c r="K249" i="52" s="1"/>
  <c r="J569" i="66"/>
  <c r="J589" i="66"/>
  <c r="Q570" i="66"/>
  <c r="J274" i="52"/>
  <c r="K271" i="52" s="1"/>
  <c r="M200" i="98"/>
  <c r="M304" i="68"/>
  <c r="Q204" i="66"/>
  <c r="R202" i="66" s="1"/>
  <c r="Q253" i="98"/>
  <c r="R252" i="98" s="1"/>
  <c r="Q223" i="98"/>
  <c r="R219" i="98" s="1"/>
  <c r="Q213" i="66"/>
  <c r="R211" i="66" s="1"/>
  <c r="J155" i="52"/>
  <c r="K154" i="52" s="1"/>
  <c r="M189" i="52"/>
  <c r="R200" i="98"/>
  <c r="Q174" i="98"/>
  <c r="Q175" i="98" s="1"/>
  <c r="Q176" i="98" s="1"/>
  <c r="Q56" i="66"/>
  <c r="M56" i="66" s="1"/>
  <c r="Q56" i="52"/>
  <c r="R54" i="52" s="1"/>
  <c r="F111" i="68"/>
  <c r="Q110" i="68"/>
  <c r="J110" i="68"/>
  <c r="M202" i="98"/>
  <c r="F168" i="68"/>
  <c r="Q167" i="68"/>
  <c r="J167" i="68"/>
  <c r="F101" i="98"/>
  <c r="Q100" i="98"/>
  <c r="J100" i="98"/>
  <c r="F121" i="98"/>
  <c r="Q120" i="98"/>
  <c r="J120" i="98"/>
  <c r="M221" i="98"/>
  <c r="M69" i="98"/>
  <c r="F51" i="98"/>
  <c r="Q50" i="98"/>
  <c r="J50" i="98"/>
  <c r="Q204" i="98"/>
  <c r="Q205" i="98" s="1"/>
  <c r="Q206" i="98" s="1"/>
  <c r="M238" i="68"/>
  <c r="R202" i="98"/>
  <c r="R170" i="98"/>
  <c r="M462" i="66"/>
  <c r="F11" i="66"/>
  <c r="F12" i="66" s="1"/>
  <c r="Q12" i="66" s="1"/>
  <c r="M109" i="68"/>
  <c r="F21" i="98"/>
  <c r="Q20" i="98"/>
  <c r="J20" i="98"/>
  <c r="M166" i="68"/>
  <c r="M267" i="68"/>
  <c r="M99" i="98"/>
  <c r="M335" i="68"/>
  <c r="M199" i="98"/>
  <c r="F195" i="68"/>
  <c r="Q194" i="68"/>
  <c r="J194" i="68"/>
  <c r="M395" i="68"/>
  <c r="M70" i="68"/>
  <c r="M393" i="68"/>
  <c r="R169" i="98"/>
  <c r="M149" i="98"/>
  <c r="M49" i="98"/>
  <c r="M172" i="98"/>
  <c r="R172" i="98"/>
  <c r="M266" i="68"/>
  <c r="M19" i="98"/>
  <c r="M265" i="68"/>
  <c r="M119" i="98"/>
  <c r="M193" i="68"/>
  <c r="M249" i="98"/>
  <c r="F72" i="68"/>
  <c r="Q71" i="68"/>
  <c r="J71" i="68"/>
  <c r="M392" i="68"/>
  <c r="F71" i="98"/>
  <c r="J70" i="98"/>
  <c r="Q70" i="98"/>
  <c r="F151" i="98"/>
  <c r="J150" i="98"/>
  <c r="Q150" i="98"/>
  <c r="M219" i="98"/>
  <c r="M333" i="68"/>
  <c r="M332" i="68"/>
  <c r="F240" i="68"/>
  <c r="J239" i="68"/>
  <c r="Q239" i="68"/>
  <c r="M275" i="68"/>
  <c r="Q126" i="66"/>
  <c r="R118" i="66" s="1"/>
  <c r="Q153" i="66"/>
  <c r="R146" i="66" s="1"/>
  <c r="Q135" i="66"/>
  <c r="Q258" i="66"/>
  <c r="J10" i="66"/>
  <c r="Q251" i="52"/>
  <c r="J56" i="52"/>
  <c r="K55" i="52" s="1"/>
  <c r="M248" i="52"/>
  <c r="M497" i="66"/>
  <c r="Q79" i="52"/>
  <c r="J214" i="52"/>
  <c r="J215" i="52" s="1"/>
  <c r="I506" i="66"/>
  <c r="I557" i="66"/>
  <c r="AD52" i="116" s="1" a="1"/>
  <c r="AD52" i="116" s="1"/>
  <c r="K143" i="66"/>
  <c r="Q489" i="66"/>
  <c r="M32" i="66"/>
  <c r="M283" i="66"/>
  <c r="J126" i="52"/>
  <c r="K124" i="52" s="1"/>
  <c r="M310" i="52"/>
  <c r="J313" i="52"/>
  <c r="K310" i="52" s="1"/>
  <c r="M312" i="52"/>
  <c r="K280" i="68"/>
  <c r="M280" i="68"/>
  <c r="M288" i="68"/>
  <c r="I377" i="68"/>
  <c r="AD54" i="116" s="1" a="1"/>
  <c r="AD54" i="116" s="1"/>
  <c r="I317" i="68"/>
  <c r="J252" i="68"/>
  <c r="J253" i="68" s="1"/>
  <c r="J254" i="68" s="1"/>
  <c r="M276" i="68"/>
  <c r="K276" i="68"/>
  <c r="M250" i="68"/>
  <c r="M249" i="68"/>
  <c r="M355" i="66"/>
  <c r="J590" i="66"/>
  <c r="M124" i="52"/>
  <c r="K289" i="68"/>
  <c r="M289" i="68"/>
  <c r="M279" i="68"/>
  <c r="Q278" i="68"/>
  <c r="R277" i="68" s="1"/>
  <c r="Q282" i="68"/>
  <c r="M282" i="68" s="1"/>
  <c r="Q291" i="68"/>
  <c r="R290" i="68" s="1"/>
  <c r="M359" i="66"/>
  <c r="M190" i="52"/>
  <c r="M379" i="66"/>
  <c r="F56" i="68"/>
  <c r="J55" i="68"/>
  <c r="Q55" i="68"/>
  <c r="M54" i="68"/>
  <c r="F213" i="68"/>
  <c r="J213" i="68" s="1"/>
  <c r="Q212" i="68"/>
  <c r="K127" i="68"/>
  <c r="M127" i="68"/>
  <c r="F129" i="68"/>
  <c r="J128" i="68"/>
  <c r="Q128" i="68"/>
  <c r="F224" i="68"/>
  <c r="J224" i="68" s="1"/>
  <c r="K224" i="68" s="1"/>
  <c r="Q223" i="68"/>
  <c r="M9" i="68"/>
  <c r="F11" i="68"/>
  <c r="J10" i="68"/>
  <c r="Q10" i="68"/>
  <c r="M37" i="68"/>
  <c r="F39" i="68"/>
  <c r="Q38" i="68"/>
  <c r="J38" i="68"/>
  <c r="K81" i="68"/>
  <c r="M81" i="68"/>
  <c r="F83" i="68"/>
  <c r="J82" i="68"/>
  <c r="Q82" i="68"/>
  <c r="K121" i="68"/>
  <c r="M121" i="68"/>
  <c r="F123" i="68"/>
  <c r="J122" i="68"/>
  <c r="Q122" i="68"/>
  <c r="J133" i="68"/>
  <c r="F179" i="68"/>
  <c r="J179" i="68" s="1"/>
  <c r="K179" i="68" s="1"/>
  <c r="Q178" i="68"/>
  <c r="F207" i="68"/>
  <c r="J207" i="68" s="1"/>
  <c r="Q206" i="68"/>
  <c r="M138" i="68"/>
  <c r="F140" i="68"/>
  <c r="J140" i="68" s="1"/>
  <c r="K140" i="68" s="1"/>
  <c r="Q139" i="68"/>
  <c r="M43" i="68"/>
  <c r="F45" i="68"/>
  <c r="J44" i="68"/>
  <c r="Q44" i="68"/>
  <c r="M475" i="66"/>
  <c r="M388" i="66"/>
  <c r="M402" i="66"/>
  <c r="P456" i="66"/>
  <c r="P52" i="116" s="1" a="1"/>
  <c r="P52" i="116" s="1"/>
  <c r="M333" i="66"/>
  <c r="M274" i="66"/>
  <c r="I456" i="66"/>
  <c r="L52" i="116" s="1" a="1"/>
  <c r="L52" i="116" s="1"/>
  <c r="M319" i="66"/>
  <c r="Q19" i="52"/>
  <c r="F390" i="66"/>
  <c r="Q389" i="66"/>
  <c r="J389" i="66"/>
  <c r="F335" i="66"/>
  <c r="J334" i="66"/>
  <c r="Q334" i="66"/>
  <c r="J275" i="66"/>
  <c r="Q275" i="66"/>
  <c r="F404" i="66"/>
  <c r="J403" i="66"/>
  <c r="Q403" i="66"/>
  <c r="F381" i="66"/>
  <c r="Q380" i="66"/>
  <c r="J380" i="66"/>
  <c r="J19" i="52"/>
  <c r="K16" i="52" s="1"/>
  <c r="F49" i="66"/>
  <c r="Q49" i="66" s="1"/>
  <c r="J48" i="66"/>
  <c r="M358" i="66"/>
  <c r="M188" i="52"/>
  <c r="J479" i="66"/>
  <c r="M122" i="52"/>
  <c r="M123" i="52"/>
  <c r="M121" i="52"/>
  <c r="M54" i="52"/>
  <c r="M247" i="52"/>
  <c r="M271" i="52"/>
  <c r="M249" i="52"/>
  <c r="M357" i="66"/>
  <c r="M346" i="66"/>
  <c r="M250" i="52"/>
  <c r="J570" i="66"/>
  <c r="M237" i="66"/>
  <c r="Q479" i="66"/>
  <c r="J170" i="66"/>
  <c r="Q170" i="66"/>
  <c r="F285" i="66"/>
  <c r="J285" i="66" s="1"/>
  <c r="Q284" i="66"/>
  <c r="M183" i="66"/>
  <c r="M169" i="66"/>
  <c r="M310" i="66"/>
  <c r="F185" i="66"/>
  <c r="J184" i="66"/>
  <c r="Q184" i="66"/>
  <c r="F171" i="66"/>
  <c r="F161" i="66"/>
  <c r="J161" i="66" s="1"/>
  <c r="Q160" i="66"/>
  <c r="F276" i="66"/>
  <c r="M69" i="66"/>
  <c r="F71" i="66"/>
  <c r="J70" i="66"/>
  <c r="Q70" i="66"/>
  <c r="M105" i="66"/>
  <c r="M297" i="66"/>
  <c r="F107" i="66"/>
  <c r="Q106" i="66"/>
  <c r="J106" i="66"/>
  <c r="F299" i="66"/>
  <c r="J298" i="66"/>
  <c r="Q298" i="66"/>
  <c r="F239" i="66"/>
  <c r="Q238" i="66"/>
  <c r="P318" i="66"/>
  <c r="AR52" i="114" s="1" a="1"/>
  <c r="AR52" i="114" s="1"/>
  <c r="P327" i="66"/>
  <c r="AQ52" i="114" s="1" a="1"/>
  <c r="AQ52" i="114" s="1"/>
  <c r="J23" i="66"/>
  <c r="M360" i="66"/>
  <c r="M473" i="66"/>
  <c r="M364" i="66"/>
  <c r="M472" i="66"/>
  <c r="J463" i="66"/>
  <c r="Q463" i="66"/>
  <c r="M474" i="66"/>
  <c r="M369" i="66"/>
  <c r="M478" i="66"/>
  <c r="Q577" i="66"/>
  <c r="M577" i="66" s="1"/>
  <c r="J416" i="66"/>
  <c r="M476" i="66"/>
  <c r="Q372" i="66"/>
  <c r="R367" i="66" s="1"/>
  <c r="J580" i="66"/>
  <c r="M368" i="66"/>
  <c r="M356" i="66"/>
  <c r="Q83" i="66"/>
  <c r="J83" i="66"/>
  <c r="M9" i="66"/>
  <c r="M91" i="66"/>
  <c r="M82" i="66"/>
  <c r="Q416" i="66"/>
  <c r="P432" i="66"/>
  <c r="AQ52" i="115" s="1" a="1"/>
  <c r="AQ52" i="115" s="1"/>
  <c r="M347" i="66"/>
  <c r="P441" i="66"/>
  <c r="AS52" i="115" s="1" a="1"/>
  <c r="AS52" i="115" s="1"/>
  <c r="M366" i="66"/>
  <c r="M214" i="66"/>
  <c r="M367" i="66"/>
  <c r="M365" i="66"/>
  <c r="J417" i="66"/>
  <c r="Q417" i="66"/>
  <c r="AL53" i="116" a="1"/>
  <c r="AL53" i="116" s="1"/>
  <c r="M433" i="66"/>
  <c r="P423" i="66"/>
  <c r="AR52" i="115" s="1" a="1"/>
  <c r="AR52" i="115" s="1"/>
  <c r="M424" i="66"/>
  <c r="M270" i="52"/>
  <c r="M415" i="66"/>
  <c r="Q348" i="66"/>
  <c r="J348" i="66"/>
  <c r="AM53" i="116" a="1"/>
  <c r="AM53" i="116" s="1"/>
  <c r="M565" i="66"/>
  <c r="M567" i="66"/>
  <c r="M564" i="66"/>
  <c r="AN53" i="116" a="1"/>
  <c r="AN53" i="116" s="1"/>
  <c r="M563" i="66"/>
  <c r="M566" i="66"/>
  <c r="M461" i="66"/>
  <c r="P470" i="66"/>
  <c r="P490" i="66"/>
  <c r="P480" i="66"/>
  <c r="U53" i="116" a="1"/>
  <c r="U53" i="116" s="1"/>
  <c r="V53" i="116" a="1"/>
  <c r="V53" i="116" s="1"/>
  <c r="M486" i="66"/>
  <c r="M582" i="66"/>
  <c r="M484" i="66"/>
  <c r="M482" i="66"/>
  <c r="M562" i="66"/>
  <c r="M483" i="66"/>
  <c r="Q198" i="66"/>
  <c r="J198" i="66"/>
  <c r="Q251" i="66"/>
  <c r="M223" i="66"/>
  <c r="Q261" i="66"/>
  <c r="J261" i="66"/>
  <c r="Q317" i="68"/>
  <c r="P267" i="66"/>
  <c r="M205" i="66"/>
  <c r="M485" i="66"/>
  <c r="P222" i="66"/>
  <c r="BC52" i="113" s="1" a="1"/>
  <c r="BC52" i="113" s="1"/>
  <c r="M196" i="66"/>
  <c r="J225" i="66"/>
  <c r="Q225" i="66"/>
  <c r="P231" i="66"/>
  <c r="BE52" i="113" s="1" a="1"/>
  <c r="BE52" i="113" s="1"/>
  <c r="J137" i="66"/>
  <c r="Q137" i="66"/>
  <c r="M127" i="66"/>
  <c r="M118" i="66"/>
  <c r="M145" i="66"/>
  <c r="M260" i="66"/>
  <c r="M481" i="66"/>
  <c r="M136" i="66"/>
  <c r="J128" i="66"/>
  <c r="Q128" i="66"/>
  <c r="M272" i="52"/>
  <c r="Q138" i="66"/>
  <c r="M250" i="66"/>
  <c r="J119" i="66"/>
  <c r="J33" i="66"/>
  <c r="Q33" i="66"/>
  <c r="M471" i="66"/>
  <c r="Q147" i="66"/>
  <c r="J146" i="66"/>
  <c r="Q129" i="66"/>
  <c r="M273" i="52"/>
  <c r="M259" i="66"/>
  <c r="P506" i="66"/>
  <c r="M212" i="52"/>
  <c r="M346" i="68"/>
  <c r="P557" i="66"/>
  <c r="AH52" i="116" s="1" a="1"/>
  <c r="AH52" i="116" s="1"/>
  <c r="M343" i="68"/>
  <c r="M210" i="52"/>
  <c r="M313" i="68"/>
  <c r="M31" i="66"/>
  <c r="P347" i="68"/>
  <c r="P377" i="68"/>
  <c r="AH54" i="116" s="1" a="1"/>
  <c r="AH54" i="116" s="1"/>
  <c r="M373" i="68"/>
  <c r="M376" i="68"/>
  <c r="M211" i="52"/>
  <c r="M152" i="52"/>
  <c r="M153" i="52"/>
  <c r="M75" i="52"/>
  <c r="M53" i="52"/>
  <c r="M78" i="52"/>
  <c r="M76" i="52"/>
  <c r="M77" i="52"/>
  <c r="M16" i="52"/>
  <c r="M17" i="52"/>
  <c r="B48" i="120"/>
  <c r="B78" i="120"/>
  <c r="B79" i="120"/>
  <c r="B70" i="120"/>
  <c r="B64" i="120"/>
  <c r="B65" i="120"/>
  <c r="B79" i="83"/>
  <c r="B78" i="83"/>
  <c r="B72" i="83"/>
  <c r="B71" i="83"/>
  <c r="B65" i="83"/>
  <c r="B64" i="83"/>
  <c r="B58" i="83"/>
  <c r="B57" i="83"/>
  <c r="M526" i="66" l="1"/>
  <c r="M527" i="66"/>
  <c r="M525" i="66"/>
  <c r="K90" i="52"/>
  <c r="F557" i="66"/>
  <c r="Q556" i="66"/>
  <c r="P181" i="135" a="1"/>
  <c r="P181" i="135" s="1"/>
  <c r="I181" i="135" a="1"/>
  <c r="I181" i="135" s="1"/>
  <c r="N181" i="135" a="1"/>
  <c r="N181" i="135" s="1"/>
  <c r="G181" i="135" a="1"/>
  <c r="G181" i="135" s="1"/>
  <c r="H181" i="135" a="1"/>
  <c r="H181" i="135" s="1"/>
  <c r="O181" i="135" a="1"/>
  <c r="O181" i="135" s="1"/>
  <c r="K89" i="52"/>
  <c r="Y36" i="116" a="1"/>
  <c r="Y36" i="116" s="1"/>
  <c r="W32" i="121" s="1"/>
  <c r="R256" i="66"/>
  <c r="J199" i="52"/>
  <c r="J200" i="52" s="1"/>
  <c r="K165" i="52"/>
  <c r="K197" i="52"/>
  <c r="K263" i="52"/>
  <c r="Q117" i="52"/>
  <c r="M117" i="52" s="1"/>
  <c r="R114" i="52"/>
  <c r="K139" i="52"/>
  <c r="K138" i="52"/>
  <c r="K264" i="52"/>
  <c r="K164" i="52"/>
  <c r="K224" i="52"/>
  <c r="J226" i="52"/>
  <c r="J227" i="52" s="1"/>
  <c r="J321" i="52"/>
  <c r="J322" i="52" s="1"/>
  <c r="K319" i="52"/>
  <c r="J64" i="52"/>
  <c r="J65" i="52" s="1"/>
  <c r="K61" i="52"/>
  <c r="R263" i="52"/>
  <c r="Q266" i="52"/>
  <c r="Q267" i="52" s="1"/>
  <c r="R264" i="52"/>
  <c r="J134" i="52"/>
  <c r="J135" i="52" s="1"/>
  <c r="K132" i="52"/>
  <c r="M265" i="52"/>
  <c r="K257" i="52"/>
  <c r="J259" i="52"/>
  <c r="J260" i="52" s="1"/>
  <c r="K280" i="52"/>
  <c r="J282" i="52"/>
  <c r="J283" i="52" s="1"/>
  <c r="K223" i="52"/>
  <c r="M279" i="52"/>
  <c r="K29" i="52"/>
  <c r="J31" i="52"/>
  <c r="AA52" i="108" a="1"/>
  <c r="AA52" i="108" s="1"/>
  <c r="BB52" i="108" a="1"/>
  <c r="BB52" i="108" s="1"/>
  <c r="M537" i="66"/>
  <c r="M535" i="66"/>
  <c r="M536" i="66"/>
  <c r="Q541" i="66"/>
  <c r="J540" i="66"/>
  <c r="K540" i="66" s="1"/>
  <c r="J541" i="66"/>
  <c r="K541" i="66" s="1"/>
  <c r="Q540" i="66"/>
  <c r="M534" i="66"/>
  <c r="Q441" i="66"/>
  <c r="L167" i="135" a="1"/>
  <c r="L167" i="135" s="1"/>
  <c r="G167" i="135" a="1"/>
  <c r="G167" i="135" s="1"/>
  <c r="H167" i="135" s="1"/>
  <c r="AZ53" i="116" a="1"/>
  <c r="AZ53" i="116" s="1"/>
  <c r="Z52" i="116" a="1"/>
  <c r="Z52" i="116" s="1"/>
  <c r="AZ52" i="114" a="1"/>
  <c r="AZ52" i="114" s="1"/>
  <c r="Y52" i="114" a="1"/>
  <c r="Y52" i="114" s="1"/>
  <c r="AY53" i="116" a="1"/>
  <c r="AY53" i="116" s="1"/>
  <c r="Y52" i="116" a="1"/>
  <c r="Y52" i="116" s="1"/>
  <c r="BA53" i="116" a="1"/>
  <c r="BA53" i="116" s="1"/>
  <c r="AA52" i="116" a="1"/>
  <c r="AA52" i="116" s="1"/>
  <c r="BB52" i="115" a="1"/>
  <c r="BB52" i="115" s="1"/>
  <c r="AA52" i="115" a="1"/>
  <c r="AA52" i="115" s="1"/>
  <c r="Q144" i="66"/>
  <c r="R143" i="66" s="1"/>
  <c r="J362" i="68"/>
  <c r="K358" i="68" s="1"/>
  <c r="M305" i="68"/>
  <c r="Q314" i="52"/>
  <c r="Q315" i="52" s="1"/>
  <c r="R189" i="68"/>
  <c r="R190" i="68"/>
  <c r="R191" i="68"/>
  <c r="R188" i="68"/>
  <c r="M530" i="66"/>
  <c r="Q532" i="66"/>
  <c r="M532" i="66" s="1"/>
  <c r="J367" i="68"/>
  <c r="K364" i="68" s="1"/>
  <c r="Q367" i="68"/>
  <c r="R364" i="68" s="1"/>
  <c r="M366" i="68"/>
  <c r="P368" i="68"/>
  <c r="K534" i="66"/>
  <c r="K535" i="66"/>
  <c r="K538" i="66"/>
  <c r="K536" i="66"/>
  <c r="K533" i="66"/>
  <c r="Q268" i="68"/>
  <c r="Q269" i="68" s="1"/>
  <c r="Q270" i="68" s="1"/>
  <c r="Q271" i="68" s="1"/>
  <c r="R361" i="68"/>
  <c r="M364" i="68"/>
  <c r="I337" i="68"/>
  <c r="R354" i="68"/>
  <c r="R355" i="68"/>
  <c r="K526" i="66"/>
  <c r="K525" i="66"/>
  <c r="K528" i="66"/>
  <c r="K524" i="66"/>
  <c r="R358" i="68"/>
  <c r="M365" i="68"/>
  <c r="K530" i="66"/>
  <c r="R356" i="68"/>
  <c r="R360" i="68"/>
  <c r="M531" i="66"/>
  <c r="K531" i="66"/>
  <c r="M357" i="68"/>
  <c r="K356" i="68"/>
  <c r="K355" i="68"/>
  <c r="K354" i="68"/>
  <c r="AA54" i="116" a="1"/>
  <c r="AA54" i="116" s="1"/>
  <c r="BA54" i="116" a="1"/>
  <c r="BA54" i="116" s="1"/>
  <c r="Q326" i="68"/>
  <c r="R325" i="68" s="1"/>
  <c r="Z54" i="116" a="1"/>
  <c r="Z54" i="116" s="1"/>
  <c r="P269" i="68"/>
  <c r="AA54" i="115" a="1"/>
  <c r="AA54" i="115" s="1"/>
  <c r="Q555" i="66"/>
  <c r="L54" i="116" a="1"/>
  <c r="L54" i="116" s="1"/>
  <c r="Q386" i="68"/>
  <c r="R382" i="68" s="1"/>
  <c r="AR54" i="116" a="1"/>
  <c r="AR54" i="116" s="1"/>
  <c r="M514" i="66"/>
  <c r="AS54" i="116" a="1"/>
  <c r="AS54" i="116" s="1"/>
  <c r="Q331" i="68"/>
  <c r="R327" i="68" s="1"/>
  <c r="Y54" i="116" a="1"/>
  <c r="Y54" i="116" s="1"/>
  <c r="J515" i="66"/>
  <c r="Q515" i="66"/>
  <c r="Q37" i="66"/>
  <c r="Q391" i="68"/>
  <c r="R388" i="68" s="1"/>
  <c r="AQ54" i="116" a="1"/>
  <c r="AQ54" i="116" s="1"/>
  <c r="I397" i="68"/>
  <c r="J556" i="66"/>
  <c r="J555" i="66"/>
  <c r="J269" i="68"/>
  <c r="P397" i="68"/>
  <c r="R263" i="68"/>
  <c r="R261" i="68"/>
  <c r="G169" i="135" a="1"/>
  <c r="G169" i="135" s="1"/>
  <c r="H169" i="135" s="1"/>
  <c r="L169" i="135" a="1"/>
  <c r="L169" i="135" s="1"/>
  <c r="M264" i="68"/>
  <c r="K56" i="66"/>
  <c r="H18" i="135"/>
  <c r="K300" i="68"/>
  <c r="K302" i="68"/>
  <c r="P337" i="68"/>
  <c r="Q454" i="66"/>
  <c r="J454" i="66"/>
  <c r="J455" i="66"/>
  <c r="Q455" i="66"/>
  <c r="K298" i="68"/>
  <c r="K296" i="68"/>
  <c r="K297" i="68"/>
  <c r="K257" i="68"/>
  <c r="K387" i="68"/>
  <c r="K258" i="68"/>
  <c r="J308" i="68"/>
  <c r="J309" i="68" s="1"/>
  <c r="J310" i="68" s="1"/>
  <c r="K305" i="68"/>
  <c r="K388" i="68"/>
  <c r="K259" i="68"/>
  <c r="K322" i="68"/>
  <c r="J397" i="68"/>
  <c r="J398" i="68" s="1"/>
  <c r="J399" i="68" s="1"/>
  <c r="K263" i="68"/>
  <c r="K385" i="68"/>
  <c r="Q303" i="68"/>
  <c r="R302" i="68" s="1"/>
  <c r="M302" i="68"/>
  <c r="K304" i="68"/>
  <c r="K306" i="68"/>
  <c r="J505" i="66"/>
  <c r="K189" i="68"/>
  <c r="K190" i="68"/>
  <c r="K187" i="68"/>
  <c r="K188" i="68"/>
  <c r="K384" i="68"/>
  <c r="K383" i="68"/>
  <c r="F163" i="68"/>
  <c r="Q162" i="68"/>
  <c r="J162" i="68"/>
  <c r="K261" i="68"/>
  <c r="M65" i="68"/>
  <c r="M98" i="68"/>
  <c r="K323" i="68"/>
  <c r="K325" i="68"/>
  <c r="K389" i="68"/>
  <c r="F67" i="68"/>
  <c r="Q66" i="68"/>
  <c r="J66" i="68"/>
  <c r="J337" i="68"/>
  <c r="J338" i="68" s="1"/>
  <c r="J339" i="68" s="1"/>
  <c r="K330" i="68"/>
  <c r="K262" i="68"/>
  <c r="M104" i="68"/>
  <c r="F151" i="68"/>
  <c r="J150" i="68"/>
  <c r="Q150" i="68"/>
  <c r="F94" i="68"/>
  <c r="Q93" i="68"/>
  <c r="J93" i="68"/>
  <c r="M161" i="68"/>
  <c r="F100" i="68"/>
  <c r="J99" i="68"/>
  <c r="Q99" i="68"/>
  <c r="M192" i="68"/>
  <c r="M233" i="68"/>
  <c r="M155" i="68"/>
  <c r="K328" i="68"/>
  <c r="K329" i="68"/>
  <c r="M149" i="68"/>
  <c r="M92" i="68"/>
  <c r="F235" i="68"/>
  <c r="Q234" i="68"/>
  <c r="J234" i="68"/>
  <c r="F157" i="68"/>
  <c r="Q156" i="68"/>
  <c r="J156" i="68"/>
  <c r="F106" i="68"/>
  <c r="Q105" i="68"/>
  <c r="J105" i="68"/>
  <c r="K267" i="68"/>
  <c r="R370" i="66"/>
  <c r="R127" i="66"/>
  <c r="R133" i="66"/>
  <c r="R151" i="66"/>
  <c r="R124" i="66"/>
  <c r="Q571" i="66"/>
  <c r="R570" i="66" s="1"/>
  <c r="J504" i="66"/>
  <c r="Q505" i="66"/>
  <c r="Q504" i="66"/>
  <c r="R250" i="66"/>
  <c r="R257" i="66"/>
  <c r="M583" i="66"/>
  <c r="M586" i="66"/>
  <c r="M587" i="66"/>
  <c r="M585" i="66"/>
  <c r="Q591" i="66"/>
  <c r="R590" i="66" s="1"/>
  <c r="M584" i="66"/>
  <c r="M573" i="66"/>
  <c r="M450" i="66"/>
  <c r="M551" i="66"/>
  <c r="M224" i="66"/>
  <c r="R197" i="66"/>
  <c r="M197" i="66"/>
  <c r="J216" i="66"/>
  <c r="M434" i="66"/>
  <c r="M428" i="66"/>
  <c r="J207" i="66"/>
  <c r="K207" i="66" s="1"/>
  <c r="Q208" i="66"/>
  <c r="R208" i="66" s="1"/>
  <c r="M550" i="66"/>
  <c r="M552" i="66"/>
  <c r="M425" i="66"/>
  <c r="M502" i="66"/>
  <c r="M501" i="66"/>
  <c r="M215" i="66"/>
  <c r="M498" i="66"/>
  <c r="M549" i="66"/>
  <c r="M426" i="66"/>
  <c r="R206" i="66"/>
  <c r="M429" i="66"/>
  <c r="M206" i="66"/>
  <c r="M431" i="66"/>
  <c r="K427" i="66"/>
  <c r="M436" i="66"/>
  <c r="Q432" i="66"/>
  <c r="M438" i="66"/>
  <c r="M427" i="66"/>
  <c r="M553" i="66"/>
  <c r="M371" i="66"/>
  <c r="M437" i="66"/>
  <c r="J94" i="66"/>
  <c r="K440" i="66"/>
  <c r="M92" i="66"/>
  <c r="M324" i="66"/>
  <c r="M440" i="66"/>
  <c r="M448" i="66"/>
  <c r="M500" i="66"/>
  <c r="M449" i="66"/>
  <c r="M575" i="66"/>
  <c r="M435" i="66"/>
  <c r="M47" i="66"/>
  <c r="Q93" i="66"/>
  <c r="M93" i="66" s="1"/>
  <c r="M499" i="66"/>
  <c r="M321" i="66"/>
  <c r="M574" i="66"/>
  <c r="M576" i="66"/>
  <c r="R198" i="66"/>
  <c r="R196" i="66"/>
  <c r="K250" i="52"/>
  <c r="M452" i="66"/>
  <c r="M326" i="66"/>
  <c r="J252" i="52"/>
  <c r="J253" i="52" s="1"/>
  <c r="M451" i="66"/>
  <c r="J313" i="66"/>
  <c r="J57" i="66"/>
  <c r="F58" i="66"/>
  <c r="Q58" i="66" s="1"/>
  <c r="Q327" i="66"/>
  <c r="R326" i="66" s="1"/>
  <c r="Q312" i="66"/>
  <c r="R310" i="52"/>
  <c r="Q396" i="68"/>
  <c r="K283" i="66"/>
  <c r="R249" i="68"/>
  <c r="Q363" i="66"/>
  <c r="M489" i="66"/>
  <c r="K248" i="52"/>
  <c r="M322" i="66"/>
  <c r="R311" i="52"/>
  <c r="K320" i="66"/>
  <c r="M362" i="66"/>
  <c r="J377" i="68"/>
  <c r="K376" i="68" s="1"/>
  <c r="J557" i="66"/>
  <c r="K548" i="66" s="1"/>
  <c r="J347" i="68"/>
  <c r="K343" i="68" s="1"/>
  <c r="M323" i="66"/>
  <c r="R145" i="66"/>
  <c r="R309" i="52"/>
  <c r="K170" i="66"/>
  <c r="K275" i="66"/>
  <c r="K285" i="66"/>
  <c r="M590" i="66"/>
  <c r="K196" i="66"/>
  <c r="M311" i="66"/>
  <c r="K206" i="66"/>
  <c r="M320" i="66"/>
  <c r="J397" i="66"/>
  <c r="K136" i="66"/>
  <c r="M10" i="66"/>
  <c r="K118" i="66"/>
  <c r="K127" i="66"/>
  <c r="K145" i="66"/>
  <c r="J292" i="66"/>
  <c r="K379" i="66"/>
  <c r="R312" i="52"/>
  <c r="R147" i="66"/>
  <c r="R119" i="66"/>
  <c r="Q336" i="68"/>
  <c r="J283" i="68"/>
  <c r="J284" i="68" s="1"/>
  <c r="J285" i="68" s="1"/>
  <c r="R207" i="66"/>
  <c r="J506" i="66"/>
  <c r="K247" i="52"/>
  <c r="K197" i="66"/>
  <c r="R251" i="66"/>
  <c r="M570" i="66"/>
  <c r="K137" i="66"/>
  <c r="R205" i="66"/>
  <c r="K205" i="66"/>
  <c r="J81" i="52"/>
  <c r="J82" i="52" s="1"/>
  <c r="R222" i="98"/>
  <c r="M278" i="68"/>
  <c r="R251" i="98"/>
  <c r="R250" i="98"/>
  <c r="R249" i="98"/>
  <c r="R279" i="68"/>
  <c r="R280" i="68"/>
  <c r="R129" i="66"/>
  <c r="J154" i="66"/>
  <c r="R128" i="66"/>
  <c r="Q254" i="98"/>
  <c r="Q255" i="98" s="1"/>
  <c r="Q256" i="98" s="1"/>
  <c r="Q292" i="68"/>
  <c r="Q293" i="68" s="1"/>
  <c r="R288" i="68"/>
  <c r="R281" i="68"/>
  <c r="R221" i="98"/>
  <c r="Q224" i="98"/>
  <c r="Q225" i="98" s="1"/>
  <c r="Q226" i="98" s="1"/>
  <c r="R220" i="98"/>
  <c r="Q579" i="66"/>
  <c r="J579" i="66"/>
  <c r="M589" i="66"/>
  <c r="K569" i="66"/>
  <c r="M569" i="66"/>
  <c r="J11" i="66"/>
  <c r="Q11" i="66"/>
  <c r="R55" i="52"/>
  <c r="K250" i="68"/>
  <c r="K468" i="66"/>
  <c r="K488" i="66"/>
  <c r="K362" i="66"/>
  <c r="K395" i="68"/>
  <c r="K333" i="68"/>
  <c r="J57" i="52"/>
  <c r="J58" i="52" s="1"/>
  <c r="R271" i="52"/>
  <c r="Q57" i="52"/>
  <c r="Q58" i="52" s="1"/>
  <c r="K54" i="52"/>
  <c r="M313" i="52"/>
  <c r="K53" i="52"/>
  <c r="Q470" i="66"/>
  <c r="Q222" i="66"/>
  <c r="Q480" i="66"/>
  <c r="R477" i="66" s="1"/>
  <c r="Q231" i="66"/>
  <c r="Q490" i="66"/>
  <c r="R487" i="66" s="1"/>
  <c r="K265" i="68"/>
  <c r="K266" i="68"/>
  <c r="J314" i="52"/>
  <c r="K312" i="52"/>
  <c r="R53" i="52"/>
  <c r="R249" i="52"/>
  <c r="K77" i="52"/>
  <c r="K18" i="52"/>
  <c r="K311" i="52"/>
  <c r="F241" i="68"/>
  <c r="J240" i="68"/>
  <c r="Q240" i="68"/>
  <c r="F152" i="98"/>
  <c r="J151" i="98"/>
  <c r="Q151" i="98"/>
  <c r="F73" i="68"/>
  <c r="Q72" i="68"/>
  <c r="J72" i="68"/>
  <c r="F196" i="68"/>
  <c r="Q195" i="68"/>
  <c r="J195" i="68"/>
  <c r="M20" i="98"/>
  <c r="F102" i="98"/>
  <c r="J101" i="98"/>
  <c r="Q101" i="98"/>
  <c r="F169" i="68"/>
  <c r="Q168" i="68"/>
  <c r="J168" i="68"/>
  <c r="F112" i="68"/>
  <c r="Q111" i="68"/>
  <c r="J111" i="68"/>
  <c r="R289" i="68"/>
  <c r="K309" i="52"/>
  <c r="K75" i="52"/>
  <c r="M150" i="98"/>
  <c r="F72" i="98"/>
  <c r="Q71" i="98"/>
  <c r="J71" i="98"/>
  <c r="M71" i="68"/>
  <c r="M194" i="68"/>
  <c r="F52" i="98"/>
  <c r="J51" i="98"/>
  <c r="Q51" i="98"/>
  <c r="F122" i="98"/>
  <c r="J121" i="98"/>
  <c r="Q121" i="98"/>
  <c r="M100" i="98"/>
  <c r="M167" i="68"/>
  <c r="M110" i="68"/>
  <c r="M239" i="68"/>
  <c r="M70" i="98"/>
  <c r="F22" i="98"/>
  <c r="J21" i="98"/>
  <c r="Q21" i="98"/>
  <c r="M50" i="98"/>
  <c r="M120" i="98"/>
  <c r="M291" i="68"/>
  <c r="Q267" i="66"/>
  <c r="Q268" i="66" s="1"/>
  <c r="M238" i="66"/>
  <c r="R250" i="52"/>
  <c r="Q80" i="52"/>
  <c r="Q81" i="52" s="1"/>
  <c r="R248" i="52"/>
  <c r="R247" i="52"/>
  <c r="K78" i="52"/>
  <c r="R276" i="68"/>
  <c r="R275" i="68"/>
  <c r="M160" i="66"/>
  <c r="K76" i="52"/>
  <c r="K251" i="68"/>
  <c r="J317" i="68"/>
  <c r="M317" i="68" s="1"/>
  <c r="M251" i="52"/>
  <c r="K249" i="68"/>
  <c r="Q377" i="68"/>
  <c r="R376" i="68" s="1"/>
  <c r="Q347" i="68"/>
  <c r="R344" i="68" s="1"/>
  <c r="Q557" i="66"/>
  <c r="R554" i="66" s="1"/>
  <c r="K121" i="52"/>
  <c r="M178" i="68"/>
  <c r="M212" i="68"/>
  <c r="M206" i="68"/>
  <c r="M223" i="68"/>
  <c r="M44" i="68"/>
  <c r="F46" i="68"/>
  <c r="J45" i="68"/>
  <c r="Q45" i="68"/>
  <c r="M139" i="68"/>
  <c r="F141" i="68"/>
  <c r="J141" i="68" s="1"/>
  <c r="K141" i="68" s="1"/>
  <c r="Q140" i="68"/>
  <c r="F208" i="68"/>
  <c r="J208" i="68" s="1"/>
  <c r="Q207" i="68"/>
  <c r="F180" i="68"/>
  <c r="J180" i="68" s="1"/>
  <c r="K180" i="68" s="1"/>
  <c r="Q179" i="68"/>
  <c r="J134" i="68"/>
  <c r="J135" i="68" s="1"/>
  <c r="K122" i="68"/>
  <c r="M122" i="68"/>
  <c r="F124" i="68"/>
  <c r="J123" i="68"/>
  <c r="Q123" i="68"/>
  <c r="K82" i="68"/>
  <c r="M82" i="68"/>
  <c r="F84" i="68"/>
  <c r="J83" i="68"/>
  <c r="Q83" i="68"/>
  <c r="M38" i="68"/>
  <c r="F40" i="68"/>
  <c r="J39" i="68"/>
  <c r="Q39" i="68"/>
  <c r="M10" i="68"/>
  <c r="F12" i="68"/>
  <c r="J11" i="68"/>
  <c r="Q11" i="68"/>
  <c r="F225" i="68"/>
  <c r="J225" i="68" s="1"/>
  <c r="K225" i="68" s="1"/>
  <c r="Q224" i="68"/>
  <c r="K128" i="68"/>
  <c r="M128" i="68"/>
  <c r="F130" i="68"/>
  <c r="J129" i="68"/>
  <c r="Q129" i="68"/>
  <c r="F214" i="68"/>
  <c r="J214" i="68" s="1"/>
  <c r="Q213" i="68"/>
  <c r="M55" i="68"/>
  <c r="F57" i="68"/>
  <c r="Q56" i="68"/>
  <c r="J56" i="68"/>
  <c r="J127" i="52"/>
  <c r="J128" i="52" s="1"/>
  <c r="K122" i="52"/>
  <c r="K125" i="52"/>
  <c r="M403" i="66"/>
  <c r="M334" i="66"/>
  <c r="K123" i="52"/>
  <c r="K380" i="66"/>
  <c r="M380" i="66"/>
  <c r="F382" i="66"/>
  <c r="Q381" i="66"/>
  <c r="J381" i="66"/>
  <c r="F405" i="66"/>
  <c r="J404" i="66"/>
  <c r="Q404" i="66"/>
  <c r="F336" i="66"/>
  <c r="J335" i="66"/>
  <c r="Q335" i="66"/>
  <c r="M389" i="66"/>
  <c r="K389" i="66"/>
  <c r="F391" i="66"/>
  <c r="Q390" i="66"/>
  <c r="J390" i="66"/>
  <c r="J20" i="52"/>
  <c r="J21" i="52" s="1"/>
  <c r="M48" i="66"/>
  <c r="Q276" i="66"/>
  <c r="J276" i="66"/>
  <c r="F50" i="66"/>
  <c r="Q50" i="66" s="1"/>
  <c r="J49" i="66"/>
  <c r="R365" i="66"/>
  <c r="Q252" i="52"/>
  <c r="Q253" i="52" s="1"/>
  <c r="M463" i="66"/>
  <c r="K360" i="66"/>
  <c r="M479" i="66"/>
  <c r="K355" i="66"/>
  <c r="R368" i="66"/>
  <c r="Q171" i="66"/>
  <c r="J171" i="66"/>
  <c r="R364" i="66"/>
  <c r="R371" i="66"/>
  <c r="M298" i="66"/>
  <c r="F172" i="66"/>
  <c r="F286" i="66"/>
  <c r="J286" i="66" s="1"/>
  <c r="Q285" i="66"/>
  <c r="F300" i="66"/>
  <c r="Q299" i="66"/>
  <c r="J299" i="66"/>
  <c r="F72" i="66"/>
  <c r="J71" i="66"/>
  <c r="Q71" i="66"/>
  <c r="M275" i="66"/>
  <c r="M106" i="66"/>
  <c r="F277" i="66"/>
  <c r="M184" i="66"/>
  <c r="F186" i="66"/>
  <c r="Q185" i="66"/>
  <c r="J185" i="66"/>
  <c r="F108" i="66"/>
  <c r="J107" i="66"/>
  <c r="Q107" i="66"/>
  <c r="F162" i="66"/>
  <c r="J162" i="66" s="1"/>
  <c r="Q161" i="66"/>
  <c r="F240" i="66"/>
  <c r="Q239" i="66"/>
  <c r="J239" i="66"/>
  <c r="F13" i="66"/>
  <c r="Q13" i="66" s="1"/>
  <c r="J12" i="66"/>
  <c r="R251" i="68"/>
  <c r="R366" i="66"/>
  <c r="M70" i="66"/>
  <c r="M170" i="66"/>
  <c r="M284" i="66"/>
  <c r="J24" i="66"/>
  <c r="M416" i="66"/>
  <c r="K368" i="66"/>
  <c r="K357" i="66"/>
  <c r="R369" i="66"/>
  <c r="Q464" i="66"/>
  <c r="J464" i="66"/>
  <c r="K358" i="66"/>
  <c r="K359" i="66"/>
  <c r="K356" i="66"/>
  <c r="M348" i="66"/>
  <c r="M83" i="66"/>
  <c r="J84" i="66"/>
  <c r="Q84" i="66"/>
  <c r="M254" i="68"/>
  <c r="K367" i="66"/>
  <c r="M417" i="66"/>
  <c r="K366" i="66"/>
  <c r="Q418" i="66"/>
  <c r="J418" i="66"/>
  <c r="K365" i="66"/>
  <c r="M252" i="68"/>
  <c r="K364" i="66"/>
  <c r="K371" i="66"/>
  <c r="R250" i="68"/>
  <c r="J349" i="66"/>
  <c r="Q349" i="66"/>
  <c r="M198" i="66"/>
  <c r="M261" i="66"/>
  <c r="K198" i="66"/>
  <c r="M251" i="66"/>
  <c r="J217" i="66"/>
  <c r="Q252" i="66"/>
  <c r="J252" i="66"/>
  <c r="J199" i="66"/>
  <c r="Q199" i="66"/>
  <c r="R199" i="66" s="1"/>
  <c r="J226" i="66"/>
  <c r="Q226" i="66"/>
  <c r="M225" i="66"/>
  <c r="J262" i="66"/>
  <c r="Q262" i="66"/>
  <c r="K146" i="66"/>
  <c r="M146" i="66"/>
  <c r="J138" i="66"/>
  <c r="Q139" i="66"/>
  <c r="K128" i="66"/>
  <c r="M128" i="66"/>
  <c r="K119" i="66"/>
  <c r="M119" i="66"/>
  <c r="J120" i="66"/>
  <c r="Q120" i="66"/>
  <c r="M33" i="66"/>
  <c r="J129" i="66"/>
  <c r="J147" i="66"/>
  <c r="M23" i="66"/>
  <c r="Q34" i="66"/>
  <c r="J34" i="66"/>
  <c r="R273" i="52"/>
  <c r="K270" i="52"/>
  <c r="K273" i="52"/>
  <c r="K210" i="52"/>
  <c r="Q318" i="68"/>
  <c r="Q319" i="68" s="1"/>
  <c r="R316" i="68"/>
  <c r="R315" i="68"/>
  <c r="R314" i="68"/>
  <c r="K272" i="52"/>
  <c r="M274" i="52"/>
  <c r="R313" i="68"/>
  <c r="K212" i="52"/>
  <c r="R270" i="52"/>
  <c r="K211" i="52"/>
  <c r="K213" i="52"/>
  <c r="R272" i="52"/>
  <c r="J275" i="52"/>
  <c r="J276" i="52" s="1"/>
  <c r="J216" i="52"/>
  <c r="J156" i="52"/>
  <c r="J157" i="52" s="1"/>
  <c r="K152" i="52"/>
  <c r="K153" i="52"/>
  <c r="K17" i="52"/>
  <c r="M18" i="52"/>
  <c r="B72" i="120"/>
  <c r="B71" i="120"/>
  <c r="B49" i="120"/>
  <c r="M267" i="52" l="1"/>
  <c r="Q118" i="52"/>
  <c r="M118" i="52" s="1"/>
  <c r="M266" i="52"/>
  <c r="J32" i="52"/>
  <c r="M541" i="66"/>
  <c r="Q542" i="66"/>
  <c r="R541" i="66" s="1"/>
  <c r="M540" i="66"/>
  <c r="M314" i="52"/>
  <c r="R138" i="66"/>
  <c r="R139" i="66"/>
  <c r="Q154" i="66"/>
  <c r="M154" i="66" s="1"/>
  <c r="R136" i="66"/>
  <c r="R142" i="66"/>
  <c r="M464" i="66"/>
  <c r="R322" i="68"/>
  <c r="K361" i="68"/>
  <c r="M362" i="68"/>
  <c r="K360" i="68"/>
  <c r="K359" i="68"/>
  <c r="R384" i="68"/>
  <c r="M268" i="68"/>
  <c r="R266" i="68"/>
  <c r="R267" i="68"/>
  <c r="R563" i="66"/>
  <c r="Q368" i="68"/>
  <c r="Q369" i="68" s="1"/>
  <c r="Q370" i="68" s="1"/>
  <c r="M326" i="68"/>
  <c r="R323" i="68"/>
  <c r="R324" i="68"/>
  <c r="M386" i="68"/>
  <c r="R363" i="68"/>
  <c r="R365" i="68"/>
  <c r="R328" i="68"/>
  <c r="R366" i="68"/>
  <c r="R265" i="68"/>
  <c r="J368" i="68"/>
  <c r="K365" i="68"/>
  <c r="K363" i="68"/>
  <c r="R330" i="68"/>
  <c r="M555" i="66"/>
  <c r="K366" i="68"/>
  <c r="M367" i="68"/>
  <c r="M331" i="68"/>
  <c r="R329" i="68"/>
  <c r="R383" i="68"/>
  <c r="R385" i="68"/>
  <c r="M391" i="68"/>
  <c r="R389" i="68"/>
  <c r="R387" i="68"/>
  <c r="R390" i="68"/>
  <c r="M515" i="66"/>
  <c r="J516" i="66"/>
  <c r="Q516" i="66"/>
  <c r="M556" i="66"/>
  <c r="M455" i="66"/>
  <c r="J456" i="66"/>
  <c r="K454" i="66" s="1"/>
  <c r="M454" i="66"/>
  <c r="K505" i="66"/>
  <c r="M505" i="66"/>
  <c r="Q506" i="66"/>
  <c r="R499" i="66" s="1"/>
  <c r="Q456" i="66"/>
  <c r="R450" i="66" s="1"/>
  <c r="R566" i="66"/>
  <c r="R562" i="66"/>
  <c r="R564" i="66"/>
  <c r="M504" i="66"/>
  <c r="P307" i="68"/>
  <c r="Q306" i="68"/>
  <c r="R301" i="68"/>
  <c r="R300" i="68"/>
  <c r="M303" i="68"/>
  <c r="M156" i="68"/>
  <c r="F101" i="68"/>
  <c r="Q100" i="68"/>
  <c r="J100" i="68"/>
  <c r="M150" i="68"/>
  <c r="F107" i="68"/>
  <c r="Q106" i="68"/>
  <c r="J106" i="68"/>
  <c r="M99" i="68"/>
  <c r="F68" i="68"/>
  <c r="Q67" i="68"/>
  <c r="J67" i="68"/>
  <c r="F152" i="68"/>
  <c r="J151" i="68"/>
  <c r="Q151" i="68"/>
  <c r="F158" i="68"/>
  <c r="Q157" i="68"/>
  <c r="J157" i="68"/>
  <c r="M234" i="68"/>
  <c r="M162" i="68"/>
  <c r="M93" i="68"/>
  <c r="M105" i="68"/>
  <c r="F236" i="68"/>
  <c r="Q235" i="68"/>
  <c r="J235" i="68"/>
  <c r="M66" i="68"/>
  <c r="F164" i="68"/>
  <c r="J163" i="68"/>
  <c r="Q163" i="68"/>
  <c r="F95" i="68"/>
  <c r="J94" i="68"/>
  <c r="Q94" i="68"/>
  <c r="R392" i="68"/>
  <c r="Q397" i="68"/>
  <c r="R332" i="68"/>
  <c r="Q337" i="68"/>
  <c r="Q338" i="68" s="1"/>
  <c r="Q339" i="68" s="1"/>
  <c r="J270" i="68"/>
  <c r="J271" i="68" s="1"/>
  <c r="M271" i="68" s="1"/>
  <c r="R468" i="66"/>
  <c r="R467" i="66"/>
  <c r="R565" i="66"/>
  <c r="R569" i="66"/>
  <c r="R567" i="66"/>
  <c r="R568" i="66"/>
  <c r="R582" i="66"/>
  <c r="R588" i="66"/>
  <c r="R589" i="66"/>
  <c r="R358" i="66"/>
  <c r="R361" i="66"/>
  <c r="R434" i="66"/>
  <c r="R439" i="66"/>
  <c r="R431" i="66"/>
  <c r="R430" i="66"/>
  <c r="R323" i="66"/>
  <c r="R325" i="66"/>
  <c r="R260" i="66"/>
  <c r="R265" i="66"/>
  <c r="R223" i="66"/>
  <c r="R229" i="66"/>
  <c r="R215" i="66"/>
  <c r="R220" i="66"/>
  <c r="R483" i="66"/>
  <c r="R488" i="66"/>
  <c r="R478" i="66"/>
  <c r="R462" i="66"/>
  <c r="R587" i="66"/>
  <c r="K434" i="66"/>
  <c r="M207" i="66"/>
  <c r="K429" i="66"/>
  <c r="R583" i="66"/>
  <c r="R586" i="66"/>
  <c r="R585" i="66"/>
  <c r="R584" i="66"/>
  <c r="Q217" i="66"/>
  <c r="R217" i="66" s="1"/>
  <c r="K433" i="66"/>
  <c r="K435" i="66"/>
  <c r="M216" i="66"/>
  <c r="K431" i="66"/>
  <c r="R428" i="66"/>
  <c r="R425" i="66"/>
  <c r="R427" i="66"/>
  <c r="R424" i="66"/>
  <c r="R426" i="66"/>
  <c r="R429" i="66"/>
  <c r="R435" i="66"/>
  <c r="J208" i="66"/>
  <c r="R438" i="66"/>
  <c r="K425" i="66"/>
  <c r="K428" i="66"/>
  <c r="R436" i="66"/>
  <c r="R437" i="66"/>
  <c r="R440" i="66"/>
  <c r="R433" i="66"/>
  <c r="K426" i="66"/>
  <c r="K424" i="66"/>
  <c r="K437" i="66"/>
  <c r="K438" i="66"/>
  <c r="K436" i="66"/>
  <c r="Q94" i="66"/>
  <c r="R319" i="66"/>
  <c r="R320" i="66"/>
  <c r="R322" i="66"/>
  <c r="R324" i="66"/>
  <c r="R321" i="66"/>
  <c r="F59" i="66"/>
  <c r="Q59" i="66" s="1"/>
  <c r="K57" i="66"/>
  <c r="M312" i="66"/>
  <c r="Q313" i="66"/>
  <c r="M57" i="66"/>
  <c r="J58" i="66"/>
  <c r="R356" i="66"/>
  <c r="R393" i="68"/>
  <c r="K324" i="66"/>
  <c r="R355" i="66"/>
  <c r="K322" i="66"/>
  <c r="K323" i="66"/>
  <c r="R360" i="66"/>
  <c r="R395" i="68"/>
  <c r="R394" i="68"/>
  <c r="K321" i="66"/>
  <c r="K326" i="66"/>
  <c r="K319" i="66"/>
  <c r="R357" i="66"/>
  <c r="R359" i="66"/>
  <c r="K346" i="68"/>
  <c r="R362" i="66"/>
  <c r="K345" i="68"/>
  <c r="K344" i="68"/>
  <c r="K550" i="66"/>
  <c r="K553" i="66"/>
  <c r="K551" i="66"/>
  <c r="J558" i="66"/>
  <c r="J559" i="66" s="1"/>
  <c r="AC35" i="116" s="1" a="1"/>
  <c r="AC35" i="116" s="1"/>
  <c r="K555" i="66"/>
  <c r="K549" i="66"/>
  <c r="K556" i="66"/>
  <c r="K374" i="68"/>
  <c r="J378" i="68"/>
  <c r="J379" i="68" s="1"/>
  <c r="K373" i="68"/>
  <c r="K375" i="68"/>
  <c r="K500" i="66"/>
  <c r="R333" i="68"/>
  <c r="K502" i="66"/>
  <c r="K499" i="66"/>
  <c r="K497" i="66"/>
  <c r="R334" i="68"/>
  <c r="K504" i="66"/>
  <c r="R335" i="68"/>
  <c r="K276" i="66"/>
  <c r="K120" i="66"/>
  <c r="K286" i="66"/>
  <c r="K335" i="68"/>
  <c r="K577" i="66"/>
  <c r="J398" i="66"/>
  <c r="K478" i="66"/>
  <c r="K498" i="66"/>
  <c r="J293" i="66"/>
  <c r="K565" i="66"/>
  <c r="J155" i="66"/>
  <c r="K483" i="66"/>
  <c r="K215" i="66"/>
  <c r="K214" i="66"/>
  <c r="K332" i="68"/>
  <c r="K584" i="66"/>
  <c r="R224" i="66"/>
  <c r="K199" i="66"/>
  <c r="K223" i="66"/>
  <c r="J329" i="66"/>
  <c r="K216" i="66"/>
  <c r="K575" i="66"/>
  <c r="K171" i="66"/>
  <c r="M336" i="68"/>
  <c r="K574" i="66"/>
  <c r="K583" i="66"/>
  <c r="K481" i="66"/>
  <c r="K573" i="66"/>
  <c r="K576" i="66"/>
  <c r="K580" i="66"/>
  <c r="K572" i="66"/>
  <c r="R464" i="66"/>
  <c r="K217" i="66"/>
  <c r="J348" i="68"/>
  <c r="J349" i="68" s="1"/>
  <c r="J350" i="68" s="1"/>
  <c r="K486" i="66"/>
  <c r="K482" i="66"/>
  <c r="K489" i="66"/>
  <c r="K484" i="66"/>
  <c r="K485" i="66"/>
  <c r="K225" i="66"/>
  <c r="M11" i="66"/>
  <c r="M293" i="68"/>
  <c r="K590" i="66"/>
  <c r="K224" i="66"/>
  <c r="K226" i="66"/>
  <c r="K474" i="66"/>
  <c r="K587" i="66"/>
  <c r="R476" i="66"/>
  <c r="R473" i="66"/>
  <c r="R214" i="66"/>
  <c r="K473" i="66"/>
  <c r="K472" i="66"/>
  <c r="M396" i="68"/>
  <c r="R226" i="66"/>
  <c r="R120" i="66"/>
  <c r="M80" i="52"/>
  <c r="R374" i="68"/>
  <c r="K471" i="66"/>
  <c r="K479" i="66"/>
  <c r="Q232" i="66"/>
  <c r="K476" i="66"/>
  <c r="K585" i="66"/>
  <c r="K582" i="66"/>
  <c r="K393" i="68"/>
  <c r="R216" i="66"/>
  <c r="K475" i="66"/>
  <c r="K586" i="66"/>
  <c r="M347" i="68"/>
  <c r="R343" i="68"/>
  <c r="R345" i="68"/>
  <c r="R346" i="68"/>
  <c r="R475" i="66"/>
  <c r="R471" i="66"/>
  <c r="K394" i="68"/>
  <c r="K392" i="68"/>
  <c r="R225" i="66"/>
  <c r="K334" i="68"/>
  <c r="R485" i="66"/>
  <c r="R479" i="66"/>
  <c r="R482" i="66"/>
  <c r="R486" i="66"/>
  <c r="R484" i="66"/>
  <c r="R481" i="66"/>
  <c r="R489" i="66"/>
  <c r="R461" i="66"/>
  <c r="R472" i="66"/>
  <c r="R474" i="66"/>
  <c r="R463" i="66"/>
  <c r="M377" i="68"/>
  <c r="M579" i="66"/>
  <c r="K579" i="66"/>
  <c r="R375" i="68"/>
  <c r="Q378" i="68"/>
  <c r="R378" i="68" s="1"/>
  <c r="R373" i="68"/>
  <c r="J592" i="66"/>
  <c r="R262" i="66"/>
  <c r="Q269" i="66"/>
  <c r="Q270" i="66" s="1"/>
  <c r="R261" i="66"/>
  <c r="R259" i="66"/>
  <c r="J315" i="52"/>
  <c r="M315" i="52" s="1"/>
  <c r="R79" i="52"/>
  <c r="F23" i="98"/>
  <c r="J22" i="98"/>
  <c r="Q22" i="98"/>
  <c r="M121" i="98"/>
  <c r="M72" i="68"/>
  <c r="M151" i="98"/>
  <c r="M240" i="68"/>
  <c r="F123" i="98"/>
  <c r="Q122" i="98"/>
  <c r="J122" i="98"/>
  <c r="M51" i="98"/>
  <c r="F73" i="98"/>
  <c r="Q72" i="98"/>
  <c r="J72" i="98"/>
  <c r="F113" i="68"/>
  <c r="J112" i="68"/>
  <c r="Q112" i="68"/>
  <c r="F170" i="68"/>
  <c r="Q169" i="68"/>
  <c r="J169" i="68"/>
  <c r="F103" i="98"/>
  <c r="J102" i="98"/>
  <c r="Q102" i="98"/>
  <c r="F197" i="68"/>
  <c r="Q196" i="68"/>
  <c r="J196" i="68"/>
  <c r="F153" i="98"/>
  <c r="J152" i="98"/>
  <c r="Q152" i="98"/>
  <c r="F242" i="68"/>
  <c r="J241" i="68"/>
  <c r="Q241" i="68"/>
  <c r="M21" i="98"/>
  <c r="F53" i="98"/>
  <c r="J52" i="98"/>
  <c r="Q52" i="98"/>
  <c r="M71" i="98"/>
  <c r="M111" i="68"/>
  <c r="M168" i="68"/>
  <c r="M101" i="98"/>
  <c r="M195" i="68"/>
  <c r="F74" i="68"/>
  <c r="Q73" i="68"/>
  <c r="J73" i="68"/>
  <c r="M161" i="66"/>
  <c r="R553" i="66"/>
  <c r="R552" i="66"/>
  <c r="R551" i="66"/>
  <c r="R550" i="66"/>
  <c r="R548" i="66"/>
  <c r="R549" i="66"/>
  <c r="R555" i="66"/>
  <c r="R556" i="66"/>
  <c r="R75" i="52"/>
  <c r="R76" i="52"/>
  <c r="R78" i="52"/>
  <c r="R77" i="52"/>
  <c r="J318" i="68"/>
  <c r="J319" i="68" s="1"/>
  <c r="K315" i="68"/>
  <c r="K313" i="68"/>
  <c r="K314" i="68"/>
  <c r="K316" i="68"/>
  <c r="K566" i="66"/>
  <c r="Q283" i="68"/>
  <c r="Q348" i="68"/>
  <c r="Q349" i="68" s="1"/>
  <c r="Q350" i="68" s="1"/>
  <c r="M207" i="68"/>
  <c r="M224" i="68"/>
  <c r="M213" i="68"/>
  <c r="M179" i="68"/>
  <c r="M56" i="68"/>
  <c r="F58" i="68"/>
  <c r="J57" i="68"/>
  <c r="Q57" i="68"/>
  <c r="F215" i="68"/>
  <c r="Q215" i="68" s="1"/>
  <c r="Q214" i="68"/>
  <c r="K129" i="68"/>
  <c r="M129" i="68"/>
  <c r="F131" i="68"/>
  <c r="J130" i="68"/>
  <c r="Q130" i="68"/>
  <c r="F226" i="68"/>
  <c r="Q226" i="68" s="1"/>
  <c r="Q225" i="68"/>
  <c r="M225" i="68" s="1"/>
  <c r="M11" i="68"/>
  <c r="F13" i="68"/>
  <c r="J12" i="68"/>
  <c r="Q12" i="68"/>
  <c r="M39" i="68"/>
  <c r="F41" i="68"/>
  <c r="J40" i="68"/>
  <c r="Q40" i="68"/>
  <c r="K83" i="68"/>
  <c r="M83" i="68"/>
  <c r="F85" i="68"/>
  <c r="J84" i="68"/>
  <c r="Q84" i="68"/>
  <c r="K123" i="68"/>
  <c r="M123" i="68"/>
  <c r="F125" i="68"/>
  <c r="J124" i="68"/>
  <c r="Q124" i="68"/>
  <c r="F181" i="68"/>
  <c r="Q181" i="68" s="1"/>
  <c r="Q180" i="68"/>
  <c r="F209" i="68"/>
  <c r="Q209" i="68" s="1"/>
  <c r="Q208" i="68"/>
  <c r="M140" i="68"/>
  <c r="F142" i="68"/>
  <c r="J142" i="68" s="1"/>
  <c r="K142" i="68" s="1"/>
  <c r="Q141" i="68"/>
  <c r="M45" i="68"/>
  <c r="F47" i="68"/>
  <c r="Q46" i="68"/>
  <c r="J46" i="68"/>
  <c r="M404" i="66"/>
  <c r="M335" i="66"/>
  <c r="M390" i="66"/>
  <c r="K390" i="66"/>
  <c r="F392" i="66"/>
  <c r="Q391" i="66"/>
  <c r="J391" i="66"/>
  <c r="F337" i="66"/>
  <c r="J336" i="66"/>
  <c r="Q336" i="66"/>
  <c r="F406" i="66"/>
  <c r="J405" i="66"/>
  <c r="Q405" i="66"/>
  <c r="M381" i="66"/>
  <c r="K381" i="66"/>
  <c r="F383" i="66"/>
  <c r="J383" i="66" s="1"/>
  <c r="Q382" i="66"/>
  <c r="J382" i="66"/>
  <c r="K564" i="66"/>
  <c r="M49" i="66"/>
  <c r="K567" i="66"/>
  <c r="K562" i="66"/>
  <c r="K563" i="66"/>
  <c r="M252" i="52"/>
  <c r="Q277" i="66"/>
  <c r="J277" i="66"/>
  <c r="F51" i="66"/>
  <c r="J50" i="66"/>
  <c r="M253" i="52"/>
  <c r="K570" i="66"/>
  <c r="Q558" i="66"/>
  <c r="Q559" i="66" s="1"/>
  <c r="Q172" i="66"/>
  <c r="J172" i="66"/>
  <c r="F14" i="66"/>
  <c r="Q14" i="66" s="1"/>
  <c r="J13" i="66"/>
  <c r="M239" i="66"/>
  <c r="M285" i="66"/>
  <c r="M71" i="66"/>
  <c r="F287" i="66"/>
  <c r="J287" i="66" s="1"/>
  <c r="Q286" i="66"/>
  <c r="F241" i="66"/>
  <c r="Q240" i="66"/>
  <c r="J240" i="66"/>
  <c r="M107" i="66"/>
  <c r="F73" i="66"/>
  <c r="J72" i="66"/>
  <c r="Q72" i="66"/>
  <c r="M171" i="66"/>
  <c r="F109" i="66"/>
  <c r="J108" i="66"/>
  <c r="Q108" i="66"/>
  <c r="M299" i="66"/>
  <c r="F173" i="66"/>
  <c r="F187" i="66"/>
  <c r="Q186" i="66"/>
  <c r="J186" i="66"/>
  <c r="F163" i="66"/>
  <c r="Q162" i="66"/>
  <c r="M276" i="66"/>
  <c r="M12" i="66"/>
  <c r="M185" i="66"/>
  <c r="F278" i="66"/>
  <c r="F301" i="66"/>
  <c r="J300" i="66"/>
  <c r="Q300" i="66"/>
  <c r="J25" i="66"/>
  <c r="Q25" i="66"/>
  <c r="M557" i="66"/>
  <c r="J465" i="66"/>
  <c r="Q465" i="66"/>
  <c r="R465" i="66" s="1"/>
  <c r="M84" i="66"/>
  <c r="J85" i="66"/>
  <c r="Q85" i="66"/>
  <c r="Q95" i="66"/>
  <c r="J95" i="66"/>
  <c r="J419" i="66"/>
  <c r="Q419" i="66"/>
  <c r="M418" i="66"/>
  <c r="M349" i="66"/>
  <c r="Q350" i="66"/>
  <c r="J350" i="66"/>
  <c r="M226" i="66"/>
  <c r="J227" i="66"/>
  <c r="Q227" i="66"/>
  <c r="R227" i="66" s="1"/>
  <c r="M252" i="66"/>
  <c r="M199" i="66"/>
  <c r="R252" i="66"/>
  <c r="Q200" i="66"/>
  <c r="R200" i="66" s="1"/>
  <c r="J200" i="66"/>
  <c r="Q253" i="66"/>
  <c r="R253" i="66" s="1"/>
  <c r="J253" i="66"/>
  <c r="J218" i="66"/>
  <c r="Q218" i="66"/>
  <c r="R218" i="66" s="1"/>
  <c r="M262" i="66"/>
  <c r="Q263" i="66"/>
  <c r="R263" i="66" s="1"/>
  <c r="J263" i="66"/>
  <c r="J139" i="66"/>
  <c r="M120" i="66"/>
  <c r="M147" i="66"/>
  <c r="K147" i="66"/>
  <c r="Q140" i="66"/>
  <c r="R140" i="66" s="1"/>
  <c r="K129" i="66"/>
  <c r="M129" i="66"/>
  <c r="K138" i="66"/>
  <c r="M138" i="66"/>
  <c r="J121" i="66"/>
  <c r="Q121" i="66"/>
  <c r="J130" i="66"/>
  <c r="Q130" i="66"/>
  <c r="R130" i="66" s="1"/>
  <c r="Q35" i="66"/>
  <c r="J35" i="66"/>
  <c r="M24" i="66"/>
  <c r="J148" i="66"/>
  <c r="Q148" i="66"/>
  <c r="R148" i="66" s="1"/>
  <c r="M276" i="52"/>
  <c r="M275" i="52"/>
  <c r="Q82" i="52"/>
  <c r="M81" i="52"/>
  <c r="B51" i="120"/>
  <c r="B50" i="120"/>
  <c r="Y35" i="114" l="1" a="1"/>
  <c r="Y35" i="114" s="1"/>
  <c r="R539" i="66"/>
  <c r="R533" i="66"/>
  <c r="R538" i="66"/>
  <c r="R536" i="66"/>
  <c r="R534" i="66"/>
  <c r="R537" i="66"/>
  <c r="M542" i="66"/>
  <c r="R535" i="66"/>
  <c r="R540" i="66"/>
  <c r="K455" i="66"/>
  <c r="Q155" i="66"/>
  <c r="Q156" i="66" s="1"/>
  <c r="M368" i="68"/>
  <c r="J369" i="68"/>
  <c r="J370" i="68" s="1"/>
  <c r="M370" i="68" s="1"/>
  <c r="R503" i="66"/>
  <c r="R500" i="66"/>
  <c r="R524" i="66"/>
  <c r="R523" i="66"/>
  <c r="R525" i="66"/>
  <c r="R526" i="66"/>
  <c r="R527" i="66"/>
  <c r="R529" i="66"/>
  <c r="R528" i="66"/>
  <c r="R530" i="66"/>
  <c r="R531" i="66"/>
  <c r="R501" i="66"/>
  <c r="R497" i="66"/>
  <c r="R502" i="66"/>
  <c r="R505" i="66"/>
  <c r="M506" i="66"/>
  <c r="K451" i="66"/>
  <c r="R498" i="66"/>
  <c r="AS54" i="115" a="1"/>
  <c r="AS54" i="115" s="1"/>
  <c r="M516" i="66"/>
  <c r="Q517" i="66"/>
  <c r="J517" i="66"/>
  <c r="R504" i="66"/>
  <c r="J457" i="66"/>
  <c r="J458" i="66" s="1"/>
  <c r="K35" i="116" s="1" a="1"/>
  <c r="K35" i="116" s="1"/>
  <c r="K448" i="66"/>
  <c r="K449" i="66"/>
  <c r="K447" i="66"/>
  <c r="K450" i="66"/>
  <c r="K452" i="66"/>
  <c r="Q457" i="66"/>
  <c r="Q458" i="66" s="1"/>
  <c r="R449" i="66"/>
  <c r="R448" i="66"/>
  <c r="R447" i="66"/>
  <c r="R454" i="66"/>
  <c r="R453" i="66"/>
  <c r="M456" i="66"/>
  <c r="R452" i="66"/>
  <c r="R451" i="66"/>
  <c r="R455" i="66"/>
  <c r="M306" i="68"/>
  <c r="P308" i="68"/>
  <c r="Q307" i="68"/>
  <c r="M157" i="68"/>
  <c r="M94" i="68"/>
  <c r="F69" i="68"/>
  <c r="Q69" i="68" s="1"/>
  <c r="R67" i="68" s="1"/>
  <c r="J68" i="68"/>
  <c r="Q68" i="68"/>
  <c r="M67" i="68"/>
  <c r="F96" i="68"/>
  <c r="Q96" i="68" s="1"/>
  <c r="J95" i="68"/>
  <c r="Q95" i="68"/>
  <c r="F159" i="68"/>
  <c r="Q159" i="68" s="1"/>
  <c r="R157" i="68" s="1"/>
  <c r="J158" i="68"/>
  <c r="Q158" i="68"/>
  <c r="M100" i="68"/>
  <c r="M235" i="68"/>
  <c r="M151" i="68"/>
  <c r="F102" i="68"/>
  <c r="Q102" i="68" s="1"/>
  <c r="R100" i="68" s="1"/>
  <c r="Q101" i="68"/>
  <c r="J101" i="68"/>
  <c r="F165" i="68"/>
  <c r="Q165" i="68" s="1"/>
  <c r="Q164" i="68"/>
  <c r="J164" i="68"/>
  <c r="F237" i="68"/>
  <c r="Q237" i="68" s="1"/>
  <c r="J236" i="68"/>
  <c r="Q236" i="68"/>
  <c r="F153" i="68"/>
  <c r="Q153" i="68" s="1"/>
  <c r="R151" i="68" s="1"/>
  <c r="J152" i="68"/>
  <c r="Q152" i="68"/>
  <c r="M106" i="68"/>
  <c r="F108" i="68"/>
  <c r="Q108" i="68" s="1"/>
  <c r="R106" i="68" s="1"/>
  <c r="Q107" i="68"/>
  <c r="J107" i="68"/>
  <c r="M163" i="68"/>
  <c r="Q398" i="68"/>
  <c r="R398" i="68" s="1"/>
  <c r="Q233" i="66"/>
  <c r="Q234" i="66" s="1"/>
  <c r="Q51" i="66"/>
  <c r="F52" i="66"/>
  <c r="M217" i="66"/>
  <c r="K208" i="66"/>
  <c r="M208" i="66"/>
  <c r="M94" i="66"/>
  <c r="Q209" i="66"/>
  <c r="R209" i="66" s="1"/>
  <c r="J209" i="66"/>
  <c r="K209" i="66" s="1"/>
  <c r="F60" i="66"/>
  <c r="J59" i="66"/>
  <c r="M59" i="66" s="1"/>
  <c r="Q314" i="66"/>
  <c r="J314" i="66"/>
  <c r="M313" i="66"/>
  <c r="K58" i="66"/>
  <c r="M58" i="66"/>
  <c r="K552" i="66"/>
  <c r="M339" i="68"/>
  <c r="M350" i="68"/>
  <c r="J294" i="66"/>
  <c r="K139" i="66"/>
  <c r="J156" i="66"/>
  <c r="T35" i="113" s="1" a="1"/>
  <c r="T35" i="113" s="1"/>
  <c r="K589" i="66"/>
  <c r="J330" i="66"/>
  <c r="AL35" i="114" s="1" a="1"/>
  <c r="AL35" i="114" s="1"/>
  <c r="J233" i="66"/>
  <c r="K172" i="66"/>
  <c r="K277" i="66"/>
  <c r="K287" i="66"/>
  <c r="J507" i="66"/>
  <c r="J399" i="66"/>
  <c r="Q379" i="68"/>
  <c r="M232" i="66"/>
  <c r="J593" i="66"/>
  <c r="R121" i="66"/>
  <c r="M348" i="68"/>
  <c r="M319" i="68"/>
  <c r="M73" i="68"/>
  <c r="M52" i="98"/>
  <c r="F198" i="68"/>
  <c r="Q198" i="68" s="1"/>
  <c r="Q197" i="68"/>
  <c r="J197" i="68"/>
  <c r="K196" i="68" s="1"/>
  <c r="M102" i="98"/>
  <c r="M112" i="68"/>
  <c r="F124" i="98"/>
  <c r="Q123" i="98"/>
  <c r="F24" i="98"/>
  <c r="Q23" i="98"/>
  <c r="F54" i="98"/>
  <c r="Q53" i="98"/>
  <c r="M241" i="68"/>
  <c r="M152" i="98"/>
  <c r="M196" i="68"/>
  <c r="F104" i="98"/>
  <c r="Q103" i="98"/>
  <c r="F171" i="68"/>
  <c r="Q171" i="68" s="1"/>
  <c r="Q170" i="68"/>
  <c r="J170" i="68"/>
  <c r="K169" i="68" s="1"/>
  <c r="F114" i="68"/>
  <c r="Q114" i="68" s="1"/>
  <c r="J113" i="68"/>
  <c r="K112" i="68" s="1"/>
  <c r="Q113" i="68"/>
  <c r="F74" i="98"/>
  <c r="Q73" i="98"/>
  <c r="M122" i="98"/>
  <c r="F75" i="68"/>
  <c r="Q74" i="68"/>
  <c r="J74" i="68"/>
  <c r="F243" i="68"/>
  <c r="Q243" i="68" s="1"/>
  <c r="Q242" i="68"/>
  <c r="J242" i="68"/>
  <c r="F154" i="98"/>
  <c r="Q153" i="98"/>
  <c r="M169" i="68"/>
  <c r="M72" i="98"/>
  <c r="M22" i="98"/>
  <c r="M162" i="66"/>
  <c r="Q284" i="68"/>
  <c r="Q285" i="68" s="1"/>
  <c r="M283" i="68"/>
  <c r="Q507" i="66"/>
  <c r="M208" i="68"/>
  <c r="M214" i="68"/>
  <c r="M180" i="68"/>
  <c r="F210" i="68"/>
  <c r="Q210" i="68" s="1"/>
  <c r="R208" i="68" s="1"/>
  <c r="J209" i="68"/>
  <c r="J210" i="68" s="1"/>
  <c r="F182" i="68"/>
  <c r="Q182" i="68" s="1"/>
  <c r="R181" i="68" s="1"/>
  <c r="J181" i="68"/>
  <c r="F227" i="68"/>
  <c r="Q227" i="68" s="1"/>
  <c r="J226" i="68"/>
  <c r="F216" i="68"/>
  <c r="Q216" i="68" s="1"/>
  <c r="J215" i="68"/>
  <c r="J216" i="68" s="1"/>
  <c r="M46" i="68"/>
  <c r="F48" i="68"/>
  <c r="Q48" i="68" s="1"/>
  <c r="J47" i="68"/>
  <c r="J48" i="68" s="1"/>
  <c r="Q47" i="68"/>
  <c r="M141" i="68"/>
  <c r="F143" i="68"/>
  <c r="Q143" i="68" s="1"/>
  <c r="R141" i="68" s="1"/>
  <c r="Q142" i="68"/>
  <c r="K124" i="68"/>
  <c r="M124" i="68"/>
  <c r="F126" i="68"/>
  <c r="Q126" i="68" s="1"/>
  <c r="J125" i="68"/>
  <c r="Q125" i="68"/>
  <c r="K84" i="68"/>
  <c r="M84" i="68"/>
  <c r="F86" i="68"/>
  <c r="Q86" i="68" s="1"/>
  <c r="R84" i="68" s="1"/>
  <c r="J85" i="68"/>
  <c r="Q85" i="68"/>
  <c r="M40" i="68"/>
  <c r="F42" i="68"/>
  <c r="Q42" i="68" s="1"/>
  <c r="J41" i="68"/>
  <c r="J42" i="68" s="1"/>
  <c r="Q41" i="68"/>
  <c r="M12" i="68"/>
  <c r="F14" i="68"/>
  <c r="Q14" i="68" s="1"/>
  <c r="J13" i="68"/>
  <c r="J14" i="68" s="1"/>
  <c r="Q13" i="68"/>
  <c r="K130" i="68"/>
  <c r="M130" i="68"/>
  <c r="F132" i="68"/>
  <c r="Q132" i="68" s="1"/>
  <c r="R130" i="68" s="1"/>
  <c r="J131" i="68"/>
  <c r="Q131" i="68"/>
  <c r="M57" i="68"/>
  <c r="F59" i="68"/>
  <c r="Q59" i="68" s="1"/>
  <c r="Q58" i="68"/>
  <c r="J58" i="68"/>
  <c r="J59" i="68" s="1"/>
  <c r="F393" i="66"/>
  <c r="Q392" i="66"/>
  <c r="J392" i="66"/>
  <c r="M405" i="66"/>
  <c r="F407" i="66"/>
  <c r="F408" i="66" s="1"/>
  <c r="J406" i="66"/>
  <c r="Q406" i="66"/>
  <c r="M336" i="66"/>
  <c r="K383" i="66"/>
  <c r="F338" i="66"/>
  <c r="F339" i="66" s="1"/>
  <c r="Q339" i="66" s="1"/>
  <c r="J337" i="66"/>
  <c r="Q337" i="66"/>
  <c r="M382" i="66"/>
  <c r="K382" i="66"/>
  <c r="F384" i="66"/>
  <c r="Q383" i="66"/>
  <c r="R383" i="66" s="1"/>
  <c r="M391" i="66"/>
  <c r="K391" i="66"/>
  <c r="K50" i="66"/>
  <c r="M50" i="66"/>
  <c r="J278" i="66"/>
  <c r="Q278" i="66"/>
  <c r="F53" i="66"/>
  <c r="Q53" i="66" s="1"/>
  <c r="J51" i="66"/>
  <c r="M559" i="66"/>
  <c r="Q173" i="66"/>
  <c r="J173" i="66"/>
  <c r="J163" i="66"/>
  <c r="Q163" i="66"/>
  <c r="F110" i="66"/>
  <c r="F111" i="66" s="1"/>
  <c r="Q111" i="66" s="1"/>
  <c r="Q109" i="66"/>
  <c r="J109" i="66"/>
  <c r="Q315" i="66"/>
  <c r="J315" i="66"/>
  <c r="F164" i="66"/>
  <c r="M172" i="66"/>
  <c r="F174" i="66"/>
  <c r="F175" i="66" s="1"/>
  <c r="M240" i="66"/>
  <c r="M300" i="66"/>
  <c r="M186" i="66"/>
  <c r="M13" i="66"/>
  <c r="F15" i="66"/>
  <c r="Q15" i="66" s="1"/>
  <c r="J14" i="66"/>
  <c r="F302" i="66"/>
  <c r="F303" i="66" s="1"/>
  <c r="Q303" i="66" s="1"/>
  <c r="Q301" i="66"/>
  <c r="J301" i="66"/>
  <c r="F242" i="66"/>
  <c r="F243" i="66" s="1"/>
  <c r="Q243" i="66" s="1"/>
  <c r="Q241" i="66"/>
  <c r="J241" i="66"/>
  <c r="M277" i="66"/>
  <c r="F188" i="66"/>
  <c r="F189" i="66" s="1"/>
  <c r="Q187" i="66"/>
  <c r="J187" i="66"/>
  <c r="M72" i="66"/>
  <c r="M286" i="66"/>
  <c r="F279" i="66"/>
  <c r="F280" i="66" s="1"/>
  <c r="Q280" i="66" s="1"/>
  <c r="M108" i="66"/>
  <c r="F74" i="66"/>
  <c r="F75" i="66" s="1"/>
  <c r="Q75" i="66" s="1"/>
  <c r="J73" i="66"/>
  <c r="Q73" i="66"/>
  <c r="F288" i="66"/>
  <c r="Q287" i="66"/>
  <c r="J26" i="66"/>
  <c r="Q26" i="66"/>
  <c r="M465" i="66"/>
  <c r="Q466" i="66"/>
  <c r="R466" i="66" s="1"/>
  <c r="J466" i="66"/>
  <c r="M85" i="66"/>
  <c r="Q96" i="66"/>
  <c r="J96" i="66"/>
  <c r="Q86" i="66"/>
  <c r="J86" i="66"/>
  <c r="M95" i="66"/>
  <c r="M419" i="66"/>
  <c r="Q420" i="66"/>
  <c r="M420" i="66" s="1"/>
  <c r="M200" i="66"/>
  <c r="M350" i="66"/>
  <c r="J351" i="66"/>
  <c r="Q351" i="66"/>
  <c r="Q580" i="66"/>
  <c r="P581" i="66"/>
  <c r="AQ52" i="116" s="1" a="1"/>
  <c r="AQ52" i="116" s="1"/>
  <c r="K200" i="66"/>
  <c r="M572" i="66"/>
  <c r="J210" i="66"/>
  <c r="Q210" i="66"/>
  <c r="R210" i="66" s="1"/>
  <c r="M263" i="66"/>
  <c r="M218" i="66"/>
  <c r="K218" i="66"/>
  <c r="M227" i="66"/>
  <c r="K227" i="66"/>
  <c r="J264" i="66"/>
  <c r="Q264" i="66"/>
  <c r="R264" i="66" s="1"/>
  <c r="Q254" i="66"/>
  <c r="R254" i="66" s="1"/>
  <c r="J254" i="66"/>
  <c r="M253" i="66"/>
  <c r="J201" i="66"/>
  <c r="Q201" i="66"/>
  <c r="R201" i="66" s="1"/>
  <c r="J219" i="66"/>
  <c r="Q219" i="66"/>
  <c r="R219" i="66" s="1"/>
  <c r="Q228" i="66"/>
  <c r="R228" i="66" s="1"/>
  <c r="J228" i="66"/>
  <c r="M139" i="66"/>
  <c r="J203" i="66"/>
  <c r="J140" i="66"/>
  <c r="K148" i="66"/>
  <c r="M148" i="66"/>
  <c r="K130" i="66"/>
  <c r="M130" i="66"/>
  <c r="M121" i="66"/>
  <c r="K121" i="66"/>
  <c r="Q141" i="66"/>
  <c r="R141" i="66" s="1"/>
  <c r="J131" i="66"/>
  <c r="Q131" i="66"/>
  <c r="R131" i="66" s="1"/>
  <c r="J122" i="66"/>
  <c r="Q122" i="66"/>
  <c r="Q38" i="66"/>
  <c r="J36" i="66"/>
  <c r="Q36" i="66"/>
  <c r="J149" i="66"/>
  <c r="Q149" i="66"/>
  <c r="R149" i="66" s="1"/>
  <c r="M82" i="52"/>
  <c r="H40" i="116"/>
  <c r="H34" i="116"/>
  <c r="W31" i="116"/>
  <c r="X27" i="116" s="1"/>
  <c r="T31" i="116"/>
  <c r="T27" i="116" s="1"/>
  <c r="N31" i="116"/>
  <c r="Q27" i="116" s="1"/>
  <c r="K31" i="116"/>
  <c r="L27" i="116" s="1"/>
  <c r="Z26" i="116"/>
  <c r="Y26" i="116"/>
  <c r="X26" i="116"/>
  <c r="W26" i="116"/>
  <c r="U26" i="116"/>
  <c r="T26" i="116"/>
  <c r="S26" i="116"/>
  <c r="Q26" i="116"/>
  <c r="P26" i="116"/>
  <c r="O26" i="116"/>
  <c r="N26" i="116"/>
  <c r="L26" i="116"/>
  <c r="K26" i="116"/>
  <c r="J26" i="116"/>
  <c r="Z25" i="116"/>
  <c r="Y25" i="116"/>
  <c r="X25" i="116"/>
  <c r="W25" i="116"/>
  <c r="U25" i="116"/>
  <c r="T25" i="116"/>
  <c r="S25" i="116"/>
  <c r="Q25" i="116"/>
  <c r="P25" i="116"/>
  <c r="O25" i="116"/>
  <c r="N25" i="116"/>
  <c r="L25" i="116"/>
  <c r="K25" i="116"/>
  <c r="J25" i="116"/>
  <c r="B18" i="116"/>
  <c r="B17" i="116"/>
  <c r="B9" i="116"/>
  <c r="B6" i="116"/>
  <c r="F3" i="116"/>
  <c r="C3" i="116"/>
  <c r="H40" i="115"/>
  <c r="H34" i="115"/>
  <c r="W31" i="115"/>
  <c r="Z27" i="115" s="1"/>
  <c r="T31" i="115"/>
  <c r="T27" i="115" s="1"/>
  <c r="N31" i="115"/>
  <c r="N27" i="115" s="1"/>
  <c r="K31" i="115"/>
  <c r="L27" i="115" s="1"/>
  <c r="Z26" i="115"/>
  <c r="Y26" i="115"/>
  <c r="X26" i="115"/>
  <c r="W26" i="115"/>
  <c r="U26" i="115"/>
  <c r="T26" i="115"/>
  <c r="S26" i="115"/>
  <c r="Q26" i="115"/>
  <c r="P26" i="115"/>
  <c r="O26" i="115"/>
  <c r="N26" i="115"/>
  <c r="L26" i="115"/>
  <c r="K26" i="115"/>
  <c r="J26" i="115"/>
  <c r="Z25" i="115"/>
  <c r="Y25" i="115"/>
  <c r="X25" i="115"/>
  <c r="W25" i="115"/>
  <c r="U25" i="115"/>
  <c r="T25" i="115"/>
  <c r="S25" i="115"/>
  <c r="Q25" i="115"/>
  <c r="P25" i="115"/>
  <c r="O25" i="115"/>
  <c r="N25" i="115"/>
  <c r="L25" i="115"/>
  <c r="K25" i="115"/>
  <c r="J25" i="115"/>
  <c r="B18" i="115"/>
  <c r="B17" i="115"/>
  <c r="B9" i="115"/>
  <c r="B6" i="115"/>
  <c r="C3" i="115"/>
  <c r="H40" i="114"/>
  <c r="H34" i="114"/>
  <c r="W31" i="114"/>
  <c r="Z27" i="114" s="1"/>
  <c r="T31" i="114"/>
  <c r="T27" i="114" s="1"/>
  <c r="N31" i="114"/>
  <c r="O27" i="114" s="1"/>
  <c r="K31" i="114"/>
  <c r="L27" i="114" s="1"/>
  <c r="Z26" i="114"/>
  <c r="Y26" i="114"/>
  <c r="X26" i="114"/>
  <c r="W26" i="114"/>
  <c r="U26" i="114"/>
  <c r="T26" i="114"/>
  <c r="S26" i="114"/>
  <c r="Q26" i="114"/>
  <c r="P26" i="114"/>
  <c r="O26" i="114"/>
  <c r="N26" i="114"/>
  <c r="L26" i="114"/>
  <c r="K26" i="114"/>
  <c r="J26" i="114"/>
  <c r="Z25" i="114"/>
  <c r="Y25" i="114"/>
  <c r="X25" i="114"/>
  <c r="W25" i="114"/>
  <c r="U25" i="114"/>
  <c r="T25" i="114"/>
  <c r="S25" i="114"/>
  <c r="Q25" i="114"/>
  <c r="P25" i="114"/>
  <c r="O25" i="114"/>
  <c r="N25" i="114"/>
  <c r="L25" i="114"/>
  <c r="K25" i="114"/>
  <c r="J25" i="114"/>
  <c r="B18" i="114"/>
  <c r="B17" i="114"/>
  <c r="B9" i="114"/>
  <c r="B6" i="114"/>
  <c r="C3" i="114"/>
  <c r="H40" i="113"/>
  <c r="H34" i="113"/>
  <c r="N31" i="113"/>
  <c r="K31" i="113"/>
  <c r="B18" i="113"/>
  <c r="B17" i="113"/>
  <c r="B9" i="113"/>
  <c r="B6" i="113"/>
  <c r="F3" i="113"/>
  <c r="C3" i="113"/>
  <c r="P35" i="116" l="1" a="1"/>
  <c r="P35" i="116" s="1"/>
  <c r="Y35" i="113" a="1"/>
  <c r="Y35" i="113" s="1"/>
  <c r="W35" i="113" s="1"/>
  <c r="AQ35" i="113" a="1"/>
  <c r="AQ35" i="113" s="1"/>
  <c r="M379" i="68"/>
  <c r="AH37" i="116" a="1"/>
  <c r="AH37" i="116" s="1"/>
  <c r="Q519" i="66"/>
  <c r="Q518" i="66"/>
  <c r="J518" i="66"/>
  <c r="M517" i="66"/>
  <c r="Q244" i="68"/>
  <c r="Q245" i="68" s="1"/>
  <c r="Q246" i="68" s="1"/>
  <c r="R236" i="68"/>
  <c r="Q49" i="68"/>
  <c r="Q50" i="68" s="1"/>
  <c r="Q51" i="68" s="1"/>
  <c r="Q308" i="68"/>
  <c r="Q309" i="68" s="1"/>
  <c r="Q310" i="68" s="1"/>
  <c r="M310" i="68" s="1"/>
  <c r="R304" i="68"/>
  <c r="R305" i="68"/>
  <c r="M307" i="68"/>
  <c r="R164" i="68"/>
  <c r="R306" i="68"/>
  <c r="Q115" i="68"/>
  <c r="Q116" i="68" s="1"/>
  <c r="Q117" i="68" s="1"/>
  <c r="Q172" i="68"/>
  <c r="Q173" i="68" s="1"/>
  <c r="Q174" i="68" s="1"/>
  <c r="K152" i="68"/>
  <c r="M152" i="68"/>
  <c r="R160" i="68"/>
  <c r="R161" i="68"/>
  <c r="R162" i="68"/>
  <c r="R152" i="68"/>
  <c r="R148" i="68"/>
  <c r="R149" i="68"/>
  <c r="R150" i="68"/>
  <c r="K101" i="68"/>
  <c r="M101" i="68"/>
  <c r="M95" i="68"/>
  <c r="R158" i="68"/>
  <c r="R154" i="68"/>
  <c r="R155" i="68"/>
  <c r="R156" i="68"/>
  <c r="K107" i="68"/>
  <c r="M107" i="68"/>
  <c r="R95" i="68"/>
  <c r="R91" i="68"/>
  <c r="R92" i="68"/>
  <c r="R93" i="68"/>
  <c r="R107" i="68"/>
  <c r="J244" i="68"/>
  <c r="M236" i="68"/>
  <c r="R101" i="68"/>
  <c r="R97" i="68"/>
  <c r="R98" i="68"/>
  <c r="R99" i="68"/>
  <c r="R68" i="68"/>
  <c r="R64" i="68"/>
  <c r="R65" i="68"/>
  <c r="R66" i="68"/>
  <c r="R103" i="68"/>
  <c r="R104" i="68"/>
  <c r="R105" i="68"/>
  <c r="R232" i="68"/>
  <c r="R233" i="68"/>
  <c r="R234" i="68"/>
  <c r="R163" i="68"/>
  <c r="M164" i="68"/>
  <c r="R235" i="68"/>
  <c r="K158" i="68"/>
  <c r="M158" i="68"/>
  <c r="M68" i="68"/>
  <c r="R94" i="68"/>
  <c r="Q399" i="68"/>
  <c r="K238" i="68"/>
  <c r="K239" i="68"/>
  <c r="K240" i="68"/>
  <c r="K241" i="68"/>
  <c r="K211" i="68"/>
  <c r="K212" i="68"/>
  <c r="K213" i="68"/>
  <c r="K214" i="68"/>
  <c r="J199" i="68"/>
  <c r="J200" i="68" s="1"/>
  <c r="J201" i="68" s="1"/>
  <c r="K193" i="68"/>
  <c r="K194" i="68"/>
  <c r="K195" i="68"/>
  <c r="J217" i="68"/>
  <c r="J218" i="68" s="1"/>
  <c r="J219" i="68" s="1"/>
  <c r="K205" i="68"/>
  <c r="K206" i="68"/>
  <c r="K207" i="68"/>
  <c r="K208" i="68"/>
  <c r="R196" i="68"/>
  <c r="Q199" i="68"/>
  <c r="K166" i="68"/>
  <c r="K167" i="68"/>
  <c r="K168" i="68"/>
  <c r="K109" i="68"/>
  <c r="K110" i="68"/>
  <c r="K111" i="68"/>
  <c r="Q75" i="68"/>
  <c r="Q76" i="68" s="1"/>
  <c r="Q77" i="68" s="1"/>
  <c r="Q78" i="68" s="1"/>
  <c r="F78" i="68"/>
  <c r="Q408" i="66"/>
  <c r="J384" i="66"/>
  <c r="K384" i="66" s="1"/>
  <c r="F385" i="66"/>
  <c r="Q385" i="66" s="1"/>
  <c r="F395" i="66"/>
  <c r="F394" i="66"/>
  <c r="Q394" i="66" s="1"/>
  <c r="J288" i="66"/>
  <c r="K288" i="66" s="1"/>
  <c r="F289" i="66"/>
  <c r="Q289" i="66" s="1"/>
  <c r="J189" i="66"/>
  <c r="Q189" i="66"/>
  <c r="Q175" i="66"/>
  <c r="Q60" i="66"/>
  <c r="F61" i="66"/>
  <c r="Q61" i="66" s="1"/>
  <c r="Q52" i="66"/>
  <c r="F16" i="66"/>
  <c r="M209" i="66"/>
  <c r="M314" i="66"/>
  <c r="J60" i="66"/>
  <c r="F62" i="66"/>
  <c r="Q62" i="66" s="1"/>
  <c r="M458" i="66"/>
  <c r="K201" i="66"/>
  <c r="J594" i="66"/>
  <c r="K278" i="66"/>
  <c r="J234" i="66"/>
  <c r="AL35" i="113" s="1" a="1"/>
  <c r="AL35" i="113" s="1"/>
  <c r="M140" i="66"/>
  <c r="J508" i="66"/>
  <c r="K501" i="66"/>
  <c r="R379" i="68"/>
  <c r="M156" i="66"/>
  <c r="Q581" i="66"/>
  <c r="R122" i="66"/>
  <c r="G14" i="113" a="1"/>
  <c r="G14" i="113" s="1"/>
  <c r="G13" i="113" s="1"/>
  <c r="D14" i="113" a="1"/>
  <c r="D14" i="113" s="1"/>
  <c r="F14" i="113" a="1"/>
  <c r="F14" i="113" s="1"/>
  <c r="F13" i="113" s="1"/>
  <c r="C14" i="113" a="1"/>
  <c r="C14" i="113" s="1"/>
  <c r="C13" i="113" s="1"/>
  <c r="F14" i="114" a="1"/>
  <c r="F14" i="114" s="1"/>
  <c r="F13" i="114" s="1"/>
  <c r="C14" i="114" a="1"/>
  <c r="C14" i="114" s="1"/>
  <c r="C13" i="114" s="1"/>
  <c r="G14" i="114" a="1"/>
  <c r="G14" i="114" s="1"/>
  <c r="G13" i="114" s="1"/>
  <c r="D14" i="114" a="1"/>
  <c r="D14" i="114" s="1"/>
  <c r="F14" i="115" a="1"/>
  <c r="F14" i="115" s="1"/>
  <c r="F13" i="115" s="1"/>
  <c r="C14" i="115" a="1"/>
  <c r="C14" i="115" s="1"/>
  <c r="C13" i="115" s="1"/>
  <c r="G14" i="115" a="1"/>
  <c r="G14" i="115" s="1"/>
  <c r="G13" i="115" s="1"/>
  <c r="D14" i="115" a="1"/>
  <c r="D14" i="115" s="1"/>
  <c r="G14" i="116" a="1"/>
  <c r="G14" i="116" s="1"/>
  <c r="G13" i="116" s="1"/>
  <c r="D14" i="116" a="1"/>
  <c r="D14" i="116" s="1"/>
  <c r="F14" i="116" a="1"/>
  <c r="F14" i="116" s="1"/>
  <c r="F13" i="116" s="1"/>
  <c r="C14" i="116" a="1"/>
  <c r="C14" i="116" s="1"/>
  <c r="C13" i="116" s="1"/>
  <c r="R152" i="98"/>
  <c r="R72" i="98"/>
  <c r="M243" i="68"/>
  <c r="R238" i="68"/>
  <c r="R239" i="68"/>
  <c r="R240" i="68"/>
  <c r="M114" i="68"/>
  <c r="R109" i="68"/>
  <c r="R110" i="68"/>
  <c r="R111" i="68"/>
  <c r="M171" i="68"/>
  <c r="R166" i="68"/>
  <c r="R167" i="68"/>
  <c r="R168" i="68"/>
  <c r="Q24" i="98"/>
  <c r="Q25" i="98" s="1"/>
  <c r="Q26" i="98" s="1"/>
  <c r="R19" i="98"/>
  <c r="R20" i="98"/>
  <c r="R21" i="98"/>
  <c r="R122" i="98"/>
  <c r="Q124" i="98"/>
  <c r="Q125" i="98" s="1"/>
  <c r="Q126" i="98" s="1"/>
  <c r="R119" i="98"/>
  <c r="R120" i="98"/>
  <c r="R121" i="98"/>
  <c r="R169" i="68"/>
  <c r="K197" i="68"/>
  <c r="M197" i="68"/>
  <c r="M242" i="68"/>
  <c r="K242" i="68"/>
  <c r="M74" i="68"/>
  <c r="Q74" i="98"/>
  <c r="Q75" i="98" s="1"/>
  <c r="Q76" i="98" s="1"/>
  <c r="R69" i="98"/>
  <c r="R70" i="98"/>
  <c r="R71" i="98"/>
  <c r="R113" i="68"/>
  <c r="M170" i="68"/>
  <c r="K170" i="68"/>
  <c r="R52" i="98"/>
  <c r="Q54" i="98"/>
  <c r="Q55" i="98" s="1"/>
  <c r="Q56" i="98" s="1"/>
  <c r="R49" i="98"/>
  <c r="R50" i="98"/>
  <c r="R51" i="98"/>
  <c r="R197" i="68"/>
  <c r="R241" i="68"/>
  <c r="M285" i="68"/>
  <c r="R112" i="68"/>
  <c r="Q154" i="98"/>
  <c r="Q155" i="98" s="1"/>
  <c r="R149" i="98"/>
  <c r="R150" i="98"/>
  <c r="R151" i="98"/>
  <c r="R242" i="68"/>
  <c r="R22" i="98"/>
  <c r="M113" i="68"/>
  <c r="K113" i="68"/>
  <c r="R170" i="68"/>
  <c r="Q104" i="98"/>
  <c r="R99" i="98"/>
  <c r="R100" i="98"/>
  <c r="R101" i="98"/>
  <c r="M198" i="68"/>
  <c r="R193" i="68"/>
  <c r="R194" i="68"/>
  <c r="R195" i="68"/>
  <c r="R12" i="68"/>
  <c r="R85" i="68"/>
  <c r="R58" i="68"/>
  <c r="R131" i="68"/>
  <c r="Q508" i="66"/>
  <c r="Q509" i="66" s="1"/>
  <c r="M507" i="66"/>
  <c r="K54" i="68"/>
  <c r="J60" i="68"/>
  <c r="J61" i="68" s="1"/>
  <c r="M59" i="68"/>
  <c r="K55" i="68"/>
  <c r="K56" i="68"/>
  <c r="K57" i="68"/>
  <c r="M42" i="68"/>
  <c r="K37" i="68"/>
  <c r="K38" i="68"/>
  <c r="K39" i="68"/>
  <c r="K40" i="68"/>
  <c r="R215" i="68"/>
  <c r="R211" i="68"/>
  <c r="M216" i="68"/>
  <c r="R212" i="68"/>
  <c r="R213" i="68"/>
  <c r="R180" i="68"/>
  <c r="R37" i="68"/>
  <c r="R38" i="68"/>
  <c r="R39" i="68"/>
  <c r="R125" i="68"/>
  <c r="M226" i="68"/>
  <c r="K226" i="68"/>
  <c r="R54" i="68"/>
  <c r="R55" i="68"/>
  <c r="R56" i="68"/>
  <c r="R13" i="68"/>
  <c r="R47" i="68"/>
  <c r="R225" i="68"/>
  <c r="M227" i="68"/>
  <c r="Q228" i="68"/>
  <c r="Q229" i="68" s="1"/>
  <c r="AH37" i="114" s="1" a="1"/>
  <c r="AH37" i="114" s="1"/>
  <c r="R222" i="68"/>
  <c r="R223" i="68"/>
  <c r="R224" i="68"/>
  <c r="R214" i="68"/>
  <c r="K9" i="68"/>
  <c r="J15" i="68"/>
  <c r="J16" i="68" s="1"/>
  <c r="L37" i="108" s="1" a="1"/>
  <c r="L37" i="108" s="1"/>
  <c r="M14" i="68"/>
  <c r="K10" i="68"/>
  <c r="K11" i="68"/>
  <c r="M126" i="68"/>
  <c r="R121" i="68"/>
  <c r="Q133" i="68"/>
  <c r="R122" i="68"/>
  <c r="R123" i="68"/>
  <c r="K43" i="68"/>
  <c r="M48" i="68"/>
  <c r="K44" i="68"/>
  <c r="J49" i="68"/>
  <c r="K45" i="68"/>
  <c r="M181" i="68"/>
  <c r="K181" i="68"/>
  <c r="R124" i="68"/>
  <c r="Q15" i="68"/>
  <c r="Q16" i="68" s="1"/>
  <c r="Q37" i="108" s="1" a="1"/>
  <c r="Q37" i="108" s="1"/>
  <c r="R9" i="68"/>
  <c r="R10" i="68"/>
  <c r="R11" i="68"/>
  <c r="R43" i="68"/>
  <c r="R44" i="68"/>
  <c r="R45" i="68"/>
  <c r="R177" i="68"/>
  <c r="Q183" i="68"/>
  <c r="Q184" i="68" s="1"/>
  <c r="M182" i="68"/>
  <c r="R178" i="68"/>
  <c r="R179" i="68"/>
  <c r="M209" i="68"/>
  <c r="K209" i="68"/>
  <c r="R46" i="68"/>
  <c r="K12" i="68"/>
  <c r="R81" i="68"/>
  <c r="R82" i="68"/>
  <c r="R83" i="68"/>
  <c r="K46" i="68"/>
  <c r="R209" i="68"/>
  <c r="M210" i="68"/>
  <c r="R205" i="68"/>
  <c r="Q217" i="68"/>
  <c r="R206" i="68"/>
  <c r="R207" i="68"/>
  <c r="R40" i="68"/>
  <c r="M132" i="68"/>
  <c r="R127" i="68"/>
  <c r="R128" i="68"/>
  <c r="R129" i="68"/>
  <c r="R41" i="68"/>
  <c r="R138" i="68"/>
  <c r="R139" i="68"/>
  <c r="R140" i="68"/>
  <c r="K215" i="68"/>
  <c r="M215" i="68"/>
  <c r="R226" i="68"/>
  <c r="R57" i="68"/>
  <c r="K58" i="68"/>
  <c r="M58" i="68"/>
  <c r="Q60" i="68"/>
  <c r="Q61" i="68" s="1"/>
  <c r="K131" i="68"/>
  <c r="M131" i="68"/>
  <c r="M13" i="68"/>
  <c r="K13" i="68"/>
  <c r="K41" i="68"/>
  <c r="M41" i="68"/>
  <c r="K85" i="68"/>
  <c r="M85" i="68"/>
  <c r="Q87" i="68"/>
  <c r="Q88" i="68" s="1"/>
  <c r="M86" i="68"/>
  <c r="K125" i="68"/>
  <c r="M125" i="68"/>
  <c r="R142" i="68"/>
  <c r="M142" i="68"/>
  <c r="M143" i="68"/>
  <c r="Q144" i="68"/>
  <c r="Q145" i="68" s="1"/>
  <c r="K47" i="68"/>
  <c r="M47" i="68"/>
  <c r="M337" i="66"/>
  <c r="M392" i="66"/>
  <c r="K392" i="66"/>
  <c r="F340" i="66"/>
  <c r="J338" i="66"/>
  <c r="Q338" i="66"/>
  <c r="Q393" i="66"/>
  <c r="J393" i="66"/>
  <c r="M383" i="66"/>
  <c r="M406" i="66"/>
  <c r="F409" i="66"/>
  <c r="Q407" i="66"/>
  <c r="J407" i="66"/>
  <c r="F386" i="66"/>
  <c r="Q384" i="66"/>
  <c r="M51" i="66"/>
  <c r="J279" i="66"/>
  <c r="Q279" i="66"/>
  <c r="F54" i="66"/>
  <c r="Q54" i="66" s="1"/>
  <c r="J53" i="66"/>
  <c r="M173" i="66"/>
  <c r="J174" i="66"/>
  <c r="Q174" i="66"/>
  <c r="J164" i="66"/>
  <c r="Q164" i="66"/>
  <c r="M163" i="66"/>
  <c r="M241" i="66"/>
  <c r="M73" i="66"/>
  <c r="F76" i="66"/>
  <c r="J74" i="66"/>
  <c r="Q74" i="66"/>
  <c r="M278" i="66"/>
  <c r="F304" i="66"/>
  <c r="Q302" i="66"/>
  <c r="J302" i="66"/>
  <c r="F281" i="66"/>
  <c r="M14" i="66"/>
  <c r="M187" i="66"/>
  <c r="F244" i="66"/>
  <c r="Q242" i="66"/>
  <c r="J242" i="66"/>
  <c r="F17" i="66"/>
  <c r="M109" i="66"/>
  <c r="F165" i="66"/>
  <c r="F166" i="66" s="1"/>
  <c r="Q166" i="66" s="1"/>
  <c r="F190" i="66"/>
  <c r="J188" i="66"/>
  <c r="Q188" i="66"/>
  <c r="M315" i="66"/>
  <c r="F112" i="66"/>
  <c r="J110" i="66"/>
  <c r="Q110" i="66"/>
  <c r="M287" i="66"/>
  <c r="M301" i="66"/>
  <c r="F290" i="66"/>
  <c r="J290" i="66" s="1"/>
  <c r="Q288" i="66"/>
  <c r="F176" i="66"/>
  <c r="Q317" i="66"/>
  <c r="J317" i="66"/>
  <c r="J27" i="66"/>
  <c r="Q27" i="66"/>
  <c r="M466" i="66"/>
  <c r="Q87" i="66"/>
  <c r="J87" i="66"/>
  <c r="M96" i="66"/>
  <c r="J98" i="66"/>
  <c r="Q98" i="66"/>
  <c r="Q99" i="66" s="1"/>
  <c r="M86" i="66"/>
  <c r="Q423" i="66"/>
  <c r="M351" i="66"/>
  <c r="J353" i="66"/>
  <c r="Q353" i="66"/>
  <c r="Q354" i="66" s="1"/>
  <c r="M580" i="66"/>
  <c r="J141" i="66"/>
  <c r="M264" i="66"/>
  <c r="M254" i="66"/>
  <c r="M228" i="66"/>
  <c r="K228" i="66"/>
  <c r="Q266" i="66"/>
  <c r="R266" i="66" s="1"/>
  <c r="J266" i="66"/>
  <c r="M210" i="66"/>
  <c r="K210" i="66"/>
  <c r="J230" i="66"/>
  <c r="Q230" i="66"/>
  <c r="R230" i="66" s="1"/>
  <c r="M219" i="66"/>
  <c r="K219" i="66"/>
  <c r="J221" i="66"/>
  <c r="Q221" i="66"/>
  <c r="R221" i="66" s="1"/>
  <c r="J255" i="66"/>
  <c r="Q255" i="66"/>
  <c r="Q212" i="66"/>
  <c r="R212" i="66" s="1"/>
  <c r="J212" i="66"/>
  <c r="M201" i="66"/>
  <c r="Q203" i="66"/>
  <c r="R203" i="66" s="1"/>
  <c r="K140" i="66"/>
  <c r="M122" i="66"/>
  <c r="K122" i="66"/>
  <c r="M131" i="66"/>
  <c r="K131" i="66"/>
  <c r="M149" i="66"/>
  <c r="K149" i="66"/>
  <c r="J123" i="66"/>
  <c r="Q123" i="66"/>
  <c r="J132" i="66"/>
  <c r="Q132" i="66"/>
  <c r="R132" i="66" s="1"/>
  <c r="J150" i="66"/>
  <c r="Q150" i="66"/>
  <c r="R150" i="66" s="1"/>
  <c r="M36" i="66"/>
  <c r="J38" i="66"/>
  <c r="U27" i="116"/>
  <c r="W27" i="116"/>
  <c r="Z27" i="116"/>
  <c r="K27" i="116"/>
  <c r="N27" i="116"/>
  <c r="Y27" i="116"/>
  <c r="O27" i="116"/>
  <c r="K27" i="115"/>
  <c r="O27" i="115"/>
  <c r="P27" i="115"/>
  <c r="Q27" i="115"/>
  <c r="P27" i="116"/>
  <c r="N27" i="114"/>
  <c r="P27" i="114"/>
  <c r="W27" i="115"/>
  <c r="Q27" i="114"/>
  <c r="X27" i="115"/>
  <c r="U27" i="115"/>
  <c r="Y27" i="115"/>
  <c r="U27" i="114"/>
  <c r="K27" i="114"/>
  <c r="W27" i="114"/>
  <c r="X27" i="114"/>
  <c r="Y27" i="114"/>
  <c r="AO35" i="113" l="1"/>
  <c r="R421" i="66"/>
  <c r="Q442" i="66"/>
  <c r="Q443" i="66" s="1"/>
  <c r="AL36" i="116" a="1"/>
  <c r="AL36" i="116" s="1"/>
  <c r="AL35" i="116" a="1"/>
  <c r="AL35" i="116" s="1"/>
  <c r="M399" i="68"/>
  <c r="AQ37" i="116" a="1"/>
  <c r="AQ37" i="116" s="1"/>
  <c r="M384" i="66"/>
  <c r="S9" i="121"/>
  <c r="Y9" i="121" s="1"/>
  <c r="O37" i="108"/>
  <c r="AG9" i="57" s="1" a="1"/>
  <c r="AG9" i="57" s="1"/>
  <c r="M518" i="66"/>
  <c r="J520" i="66"/>
  <c r="Q520" i="66"/>
  <c r="D75" i="83" a="1"/>
  <c r="D75" i="83" s="1"/>
  <c r="R70" i="68"/>
  <c r="R399" i="68"/>
  <c r="K236" i="68"/>
  <c r="J115" i="68"/>
  <c r="J116" i="68" s="1"/>
  <c r="J117" i="68" s="1"/>
  <c r="M117" i="68" s="1"/>
  <c r="M165" i="68"/>
  <c r="K160" i="68"/>
  <c r="K161" i="68"/>
  <c r="K162" i="68"/>
  <c r="K163" i="68"/>
  <c r="M69" i="68"/>
  <c r="K64" i="68"/>
  <c r="K65" i="68"/>
  <c r="K66" i="68"/>
  <c r="K67" i="68"/>
  <c r="M96" i="68"/>
  <c r="K91" i="68"/>
  <c r="K92" i="68"/>
  <c r="K93" i="68"/>
  <c r="K94" i="68"/>
  <c r="M237" i="68"/>
  <c r="K232" i="68"/>
  <c r="K233" i="68"/>
  <c r="K234" i="68"/>
  <c r="K235" i="68"/>
  <c r="M108" i="68"/>
  <c r="K103" i="68"/>
  <c r="K104" i="68"/>
  <c r="K105" i="68"/>
  <c r="K106" i="68"/>
  <c r="M159" i="68"/>
  <c r="K154" i="68"/>
  <c r="K155" i="68"/>
  <c r="K156" i="68"/>
  <c r="K157" i="68"/>
  <c r="M102" i="68"/>
  <c r="K97" i="68"/>
  <c r="K98" i="68"/>
  <c r="K99" i="68"/>
  <c r="K100" i="68"/>
  <c r="K164" i="68"/>
  <c r="M153" i="68"/>
  <c r="K148" i="68"/>
  <c r="K149" i="68"/>
  <c r="K150" i="68"/>
  <c r="K151" i="68"/>
  <c r="J172" i="68"/>
  <c r="J173" i="68" s="1"/>
  <c r="J174" i="68" s="1"/>
  <c r="M174" i="68" s="1"/>
  <c r="K68" i="68"/>
  <c r="K95" i="68"/>
  <c r="J245" i="68"/>
  <c r="J246" i="68" s="1"/>
  <c r="M246" i="68" s="1"/>
  <c r="R72" i="68"/>
  <c r="R74" i="68"/>
  <c r="R71" i="68"/>
  <c r="R73" i="68"/>
  <c r="Q200" i="68"/>
  <c r="Q201" i="68" s="1"/>
  <c r="M201" i="68" s="1"/>
  <c r="K74" i="68"/>
  <c r="J76" i="68"/>
  <c r="J77" i="68" s="1"/>
  <c r="J78" i="68" s="1"/>
  <c r="R97" i="66"/>
  <c r="R98" i="66"/>
  <c r="Q16" i="66"/>
  <c r="J16" i="66"/>
  <c r="R351" i="66"/>
  <c r="R352" i="66"/>
  <c r="R578" i="66"/>
  <c r="R579" i="66"/>
  <c r="R580" i="66"/>
  <c r="R420" i="66"/>
  <c r="R422" i="66"/>
  <c r="Q395" i="66"/>
  <c r="J395" i="66"/>
  <c r="M60" i="66"/>
  <c r="M189" i="66"/>
  <c r="R52" i="66"/>
  <c r="F63" i="66"/>
  <c r="Q63" i="66" s="1"/>
  <c r="J62" i="66"/>
  <c r="K60" i="66"/>
  <c r="D13" i="113"/>
  <c r="D13" i="114"/>
  <c r="D13" i="116"/>
  <c r="D13" i="115"/>
  <c r="Q592" i="66"/>
  <c r="K422" i="66"/>
  <c r="J509" i="66"/>
  <c r="M509" i="66" s="1"/>
  <c r="K141" i="66"/>
  <c r="K290" i="66"/>
  <c r="K279" i="66"/>
  <c r="K261" i="66"/>
  <c r="M234" i="66"/>
  <c r="K174" i="66"/>
  <c r="Q105" i="98"/>
  <c r="Q106" i="98" s="1"/>
  <c r="R102" i="98"/>
  <c r="R123" i="66"/>
  <c r="D75" i="120" a="1"/>
  <c r="D75" i="120" s="1"/>
  <c r="M184" i="68"/>
  <c r="M229" i="68"/>
  <c r="M88" i="68"/>
  <c r="M145" i="68"/>
  <c r="Q156" i="98"/>
  <c r="M75" i="68"/>
  <c r="K70" i="68"/>
  <c r="K71" i="68"/>
  <c r="K72" i="68"/>
  <c r="K73" i="68"/>
  <c r="R46" i="66"/>
  <c r="R48" i="66"/>
  <c r="R47" i="66"/>
  <c r="R49" i="66"/>
  <c r="R50" i="66"/>
  <c r="R51" i="66"/>
  <c r="M288" i="66"/>
  <c r="R53" i="66"/>
  <c r="M279" i="66"/>
  <c r="M61" i="68"/>
  <c r="M217" i="68"/>
  <c r="Q218" i="68"/>
  <c r="Q219" i="68" s="1"/>
  <c r="M16" i="68"/>
  <c r="Q134" i="68"/>
  <c r="Q135" i="68" s="1"/>
  <c r="M135" i="68" s="1"/>
  <c r="M133" i="68"/>
  <c r="J50" i="68"/>
  <c r="J51" i="68" s="1"/>
  <c r="M49" i="68"/>
  <c r="M338" i="66"/>
  <c r="F341" i="66"/>
  <c r="J340" i="66"/>
  <c r="Q340" i="66"/>
  <c r="F387" i="66"/>
  <c r="Q387" i="66" s="1"/>
  <c r="R385" i="66" s="1"/>
  <c r="Q386" i="66"/>
  <c r="J386" i="66"/>
  <c r="K393" i="66"/>
  <c r="M393" i="66"/>
  <c r="M407" i="66"/>
  <c r="F396" i="66"/>
  <c r="Q396" i="66" s="1"/>
  <c r="R394" i="66" s="1"/>
  <c r="F410" i="66"/>
  <c r="J409" i="66"/>
  <c r="Q409" i="66"/>
  <c r="J54" i="66"/>
  <c r="M53" i="66"/>
  <c r="J281" i="66"/>
  <c r="Q281" i="66"/>
  <c r="Q165" i="66"/>
  <c r="J165" i="66"/>
  <c r="M164" i="66"/>
  <c r="K164" i="66"/>
  <c r="Q176" i="66"/>
  <c r="J176" i="66"/>
  <c r="R93" i="66"/>
  <c r="R92" i="66"/>
  <c r="R94" i="66"/>
  <c r="R91" i="66"/>
  <c r="R95" i="66"/>
  <c r="R96" i="66"/>
  <c r="M317" i="66"/>
  <c r="K317" i="66"/>
  <c r="F167" i="66"/>
  <c r="J167" i="66" s="1"/>
  <c r="Q318" i="66"/>
  <c r="M174" i="66"/>
  <c r="M242" i="66"/>
  <c r="F282" i="66"/>
  <c r="Q282" i="66" s="1"/>
  <c r="R280" i="66" s="1"/>
  <c r="F177" i="66"/>
  <c r="Q177" i="66" s="1"/>
  <c r="M302" i="66"/>
  <c r="M74" i="66"/>
  <c r="F113" i="66"/>
  <c r="Q112" i="66"/>
  <c r="J112" i="66"/>
  <c r="F245" i="66"/>
  <c r="J244" i="66"/>
  <c r="Q244" i="66"/>
  <c r="F77" i="66"/>
  <c r="J76" i="66"/>
  <c r="Q76" i="66"/>
  <c r="M188" i="66"/>
  <c r="F305" i="66"/>
  <c r="J304" i="66"/>
  <c r="Q304" i="66"/>
  <c r="F191" i="66"/>
  <c r="J190" i="66"/>
  <c r="Q190" i="66"/>
  <c r="F291" i="66"/>
  <c r="Q291" i="66" s="1"/>
  <c r="R289" i="66" s="1"/>
  <c r="Q290" i="66"/>
  <c r="M110" i="66"/>
  <c r="M15" i="66"/>
  <c r="J29" i="66"/>
  <c r="Q30" i="66"/>
  <c r="Q39" i="66"/>
  <c r="R37" i="66" s="1"/>
  <c r="Q469" i="66"/>
  <c r="R469" i="66" s="1"/>
  <c r="J469" i="66"/>
  <c r="M98" i="66"/>
  <c r="M87" i="66"/>
  <c r="J89" i="66"/>
  <c r="Q90" i="66"/>
  <c r="Q100" i="66" s="1"/>
  <c r="Q101" i="66" s="1"/>
  <c r="R415" i="66"/>
  <c r="R416" i="66"/>
  <c r="R417" i="66"/>
  <c r="R418" i="66"/>
  <c r="R419" i="66"/>
  <c r="R572" i="66"/>
  <c r="R353" i="66"/>
  <c r="M353" i="66"/>
  <c r="Q373" i="66"/>
  <c r="R346" i="66"/>
  <c r="R347" i="66"/>
  <c r="R348" i="66"/>
  <c r="R349" i="66"/>
  <c r="R350" i="66"/>
  <c r="R577" i="66"/>
  <c r="R573" i="66"/>
  <c r="R576" i="66"/>
  <c r="R575" i="66"/>
  <c r="R574" i="66"/>
  <c r="M141" i="66"/>
  <c r="M266" i="66"/>
  <c r="M212" i="66"/>
  <c r="K212" i="66"/>
  <c r="R255" i="66"/>
  <c r="M255" i="66"/>
  <c r="M221" i="66"/>
  <c r="K221" i="66"/>
  <c r="M230" i="66"/>
  <c r="K230" i="66"/>
  <c r="M203" i="66"/>
  <c r="K203" i="66"/>
  <c r="M150" i="66"/>
  <c r="K150" i="66"/>
  <c r="M132" i="66"/>
  <c r="K132" i="66"/>
  <c r="K123" i="66"/>
  <c r="M123" i="66"/>
  <c r="J134" i="66"/>
  <c r="Q134" i="66"/>
  <c r="R134" i="66" s="1"/>
  <c r="J125" i="66"/>
  <c r="Q125" i="66"/>
  <c r="R125" i="66" s="1"/>
  <c r="M27" i="66"/>
  <c r="M38" i="66"/>
  <c r="Q152" i="66"/>
  <c r="R152" i="66" s="1"/>
  <c r="J152" i="66"/>
  <c r="B13" i="52"/>
  <c r="C240" i="52"/>
  <c r="D240" i="52"/>
  <c r="C241" i="52"/>
  <c r="D241" i="52"/>
  <c r="C242" i="52"/>
  <c r="D242" i="52"/>
  <c r="C243" i="52"/>
  <c r="D243" i="52"/>
  <c r="C244" i="52"/>
  <c r="D244" i="52"/>
  <c r="B240" i="52"/>
  <c r="B241" i="52"/>
  <c r="B242" i="52"/>
  <c r="B243" i="52"/>
  <c r="B244" i="52"/>
  <c r="C203" i="52"/>
  <c r="C204" i="52"/>
  <c r="C205" i="52"/>
  <c r="C207" i="52"/>
  <c r="B203" i="52"/>
  <c r="B204" i="52"/>
  <c r="B205" i="52"/>
  <c r="B207" i="52"/>
  <c r="C181" i="52"/>
  <c r="C182" i="52"/>
  <c r="C184" i="52"/>
  <c r="C185" i="52"/>
  <c r="B181" i="52"/>
  <c r="B182" i="52"/>
  <c r="B184" i="52"/>
  <c r="B185" i="52"/>
  <c r="C145" i="52"/>
  <c r="C146" i="52"/>
  <c r="C147" i="52"/>
  <c r="C148" i="52"/>
  <c r="C149" i="52"/>
  <c r="B145" i="52"/>
  <c r="B146" i="52"/>
  <c r="B147" i="52"/>
  <c r="B148" i="52"/>
  <c r="B149" i="52"/>
  <c r="C107" i="52"/>
  <c r="C108" i="52"/>
  <c r="C110" i="52"/>
  <c r="C111" i="52"/>
  <c r="B107" i="52"/>
  <c r="B108" i="52"/>
  <c r="B110" i="52"/>
  <c r="B111" i="52"/>
  <c r="C68" i="52"/>
  <c r="C69" i="52"/>
  <c r="C70" i="52"/>
  <c r="C71" i="52"/>
  <c r="C72" i="52"/>
  <c r="B68" i="52"/>
  <c r="B69" i="52"/>
  <c r="B70" i="52"/>
  <c r="B71" i="52"/>
  <c r="B72" i="52"/>
  <c r="C46" i="52"/>
  <c r="C47" i="52"/>
  <c r="C48" i="52"/>
  <c r="C49" i="52"/>
  <c r="C50" i="52"/>
  <c r="B46" i="52"/>
  <c r="B47" i="52"/>
  <c r="B48" i="52"/>
  <c r="B49" i="52"/>
  <c r="B50" i="52"/>
  <c r="C10" i="52"/>
  <c r="F10" i="52" s="1" a="1"/>
  <c r="F10" i="52" s="1"/>
  <c r="C11" i="52"/>
  <c r="C12" i="52"/>
  <c r="C13" i="52"/>
  <c r="C9" i="52"/>
  <c r="R317" i="66" l="1"/>
  <c r="Q328" i="66"/>
  <c r="AP53" i="113" a="1"/>
  <c r="AP53" i="113" s="1"/>
  <c r="AP56" i="113" s="1"/>
  <c r="AP57" i="113" s="1"/>
  <c r="D19" i="124" s="1"/>
  <c r="AC53" i="113" a="1"/>
  <c r="AC53" i="113" s="1"/>
  <c r="AB53" i="113" a="1"/>
  <c r="AB53" i="113" s="1"/>
  <c r="AD53" i="113" a="1"/>
  <c r="AD53" i="113" s="1"/>
  <c r="AQ53" i="108" a="1"/>
  <c r="AQ53" i="108" s="1"/>
  <c r="Y53" i="108" a="1"/>
  <c r="Y53" i="108" s="1"/>
  <c r="AZ53" i="108" a="1"/>
  <c r="AZ53" i="108" s="1"/>
  <c r="AL53" i="108" a="1"/>
  <c r="AL53" i="108" s="1"/>
  <c r="AA53" i="113" a="1"/>
  <c r="AA53" i="113" s="1"/>
  <c r="O53" i="116" a="1"/>
  <c r="O53" i="116" s="1"/>
  <c r="P53" i="116" a="1"/>
  <c r="P53" i="116" s="1"/>
  <c r="U53" i="108" a="1"/>
  <c r="U53" i="108" s="1"/>
  <c r="F107" i="52" a="1"/>
  <c r="F107" i="52" s="1"/>
  <c r="O107" i="52" a="1"/>
  <c r="O107" i="52" s="1"/>
  <c r="O131" i="52" s="1"/>
  <c r="T53" i="115" a="1"/>
  <c r="T53" i="115" s="1"/>
  <c r="AX53" i="113" a="1"/>
  <c r="AX53" i="113" s="1"/>
  <c r="AA53" i="116" a="1"/>
  <c r="AA53" i="116" s="1"/>
  <c r="AS53" i="115" a="1"/>
  <c r="AS53" i="115" s="1"/>
  <c r="AR53" i="115" a="1"/>
  <c r="AR53" i="115" s="1"/>
  <c r="BA53" i="114" a="1"/>
  <c r="BA53" i="114" s="1"/>
  <c r="Z53" i="115" a="1"/>
  <c r="Z53" i="115" s="1"/>
  <c r="AZ53" i="115" a="1"/>
  <c r="AZ53" i="115" s="1"/>
  <c r="BE53" i="113" a="1"/>
  <c r="BE53" i="113" s="1"/>
  <c r="AR53" i="108" a="1"/>
  <c r="AR53" i="108" s="1"/>
  <c r="AS53" i="108" a="1"/>
  <c r="AS53" i="108" s="1"/>
  <c r="U53" i="115" a="1"/>
  <c r="U53" i="115" s="1"/>
  <c r="AW53" i="113" a="1"/>
  <c r="AW53" i="113" s="1"/>
  <c r="Z53" i="114" a="1"/>
  <c r="Z53" i="114" s="1"/>
  <c r="Y53" i="115" a="1"/>
  <c r="Y53" i="115" s="1"/>
  <c r="AR53" i="114" a="1"/>
  <c r="AR53" i="114" s="1"/>
  <c r="W53" i="113" a="1"/>
  <c r="W53" i="113" s="1"/>
  <c r="BD53" i="113" a="1"/>
  <c r="BD53" i="113" s="1"/>
  <c r="AQ53" i="114" a="1"/>
  <c r="AQ53" i="114" s="1"/>
  <c r="BN53" i="113" a="1"/>
  <c r="BN53" i="113" s="1"/>
  <c r="Y53" i="114" a="1"/>
  <c r="Y53" i="114" s="1"/>
  <c r="AL53" i="115" a="1"/>
  <c r="AL53" i="115" s="1"/>
  <c r="AN53" i="115" a="1"/>
  <c r="AN53" i="115" s="1"/>
  <c r="V53" i="114" a="1"/>
  <c r="V53" i="114" s="1"/>
  <c r="W53" i="108" a="1"/>
  <c r="W53" i="108" s="1"/>
  <c r="BC53" i="113" a="1"/>
  <c r="BC53" i="113" s="1"/>
  <c r="AM53" i="115" a="1"/>
  <c r="AM53" i="115" s="1"/>
  <c r="Z53" i="108" a="1"/>
  <c r="Z53" i="108" s="1"/>
  <c r="AE53" i="113" a="1"/>
  <c r="AE53" i="113" s="1"/>
  <c r="BM53" i="113" a="1"/>
  <c r="BM53" i="113" s="1"/>
  <c r="AZ53" i="114" a="1"/>
  <c r="AZ53" i="114" s="1"/>
  <c r="BA53" i="115" a="1"/>
  <c r="BA53" i="115" s="1"/>
  <c r="Y53" i="113" a="1"/>
  <c r="Y53" i="113" s="1"/>
  <c r="AL53" i="114" a="1"/>
  <c r="AL53" i="114" s="1"/>
  <c r="Y53" i="116" a="1"/>
  <c r="Y53" i="116" s="1"/>
  <c r="BA53" i="108" a="1"/>
  <c r="BA53" i="108" s="1"/>
  <c r="AM53" i="108" a="1"/>
  <c r="AM53" i="108" s="1"/>
  <c r="AM56" i="108" s="1"/>
  <c r="X53" i="113" a="1"/>
  <c r="X53" i="113" s="1"/>
  <c r="U53" i="113" a="1"/>
  <c r="U53" i="113" s="1"/>
  <c r="AQ53" i="115" a="1"/>
  <c r="AQ53" i="115" s="1"/>
  <c r="AM53" i="114" a="1"/>
  <c r="AM53" i="114" s="1"/>
  <c r="AA53" i="108" a="1"/>
  <c r="AA53" i="108" s="1"/>
  <c r="BB53" i="115" a="1"/>
  <c r="BB53" i="115" s="1"/>
  <c r="Z53" i="116" a="1"/>
  <c r="Z53" i="116" s="1"/>
  <c r="AN53" i="108" a="1"/>
  <c r="AN53" i="108" s="1"/>
  <c r="AN56" i="108" s="1"/>
  <c r="BB53" i="113" a="1"/>
  <c r="BB53" i="113" s="1"/>
  <c r="V53" i="115" a="1"/>
  <c r="V53" i="115" s="1"/>
  <c r="AU53" i="113" a="1"/>
  <c r="AU53" i="113" s="1"/>
  <c r="BB53" i="108" a="1"/>
  <c r="BB53" i="108" s="1"/>
  <c r="AA53" i="115" a="1"/>
  <c r="AA53" i="115" s="1"/>
  <c r="V53" i="113" a="1"/>
  <c r="V53" i="113" s="1"/>
  <c r="AV53" i="113" a="1"/>
  <c r="AV53" i="113" s="1"/>
  <c r="V53" i="108" a="1"/>
  <c r="V53" i="108" s="1"/>
  <c r="U53" i="114" a="1"/>
  <c r="U53" i="114" s="1"/>
  <c r="S53" i="115" a="1"/>
  <c r="S53" i="115" s="1"/>
  <c r="AK53" i="115" a="1"/>
  <c r="AK53" i="115" s="1"/>
  <c r="X53" i="116" a="1"/>
  <c r="X53" i="116" s="1"/>
  <c r="BK53" i="113" a="1"/>
  <c r="BK53" i="113" s="1"/>
  <c r="T52" i="116" a="1"/>
  <c r="T52" i="116" s="1"/>
  <c r="AT53" i="113" a="1"/>
  <c r="AT53" i="113" s="1"/>
  <c r="X53" i="115" a="1"/>
  <c r="X53" i="115" s="1"/>
  <c r="X53" i="114" a="1"/>
  <c r="X53" i="114" s="1"/>
  <c r="AY53" i="114" a="1"/>
  <c r="AY53" i="114" s="1"/>
  <c r="BA53" i="113" a="1"/>
  <c r="BA53" i="113" s="1"/>
  <c r="T53" i="114" a="1"/>
  <c r="T53" i="114" s="1"/>
  <c r="T53" i="113" a="1"/>
  <c r="T53" i="113" s="1"/>
  <c r="AY53" i="115" a="1"/>
  <c r="AY53" i="115" s="1"/>
  <c r="AP53" i="115" a="1"/>
  <c r="AP53" i="115" s="1"/>
  <c r="AM36" i="108" a="1"/>
  <c r="AM36" i="108" s="1"/>
  <c r="AR36" i="108" a="1"/>
  <c r="AR36" i="108" s="1"/>
  <c r="T36" i="113" a="1"/>
  <c r="T36" i="113" s="1"/>
  <c r="AL36" i="113" a="1"/>
  <c r="AL36" i="113" s="1"/>
  <c r="AQ36" i="115" a="1"/>
  <c r="AQ36" i="115" s="1"/>
  <c r="U36" i="108" a="1"/>
  <c r="U36" i="108" s="1"/>
  <c r="T36" i="114" a="1"/>
  <c r="T36" i="114" s="1"/>
  <c r="Y36" i="113" a="1"/>
  <c r="Y36" i="113" s="1"/>
  <c r="K106" i="135" a="1"/>
  <c r="K106" i="135" s="1"/>
  <c r="F97" i="135" a="1"/>
  <c r="F97" i="135" s="1"/>
  <c r="F114" i="135" a="1"/>
  <c r="F114" i="135" s="1"/>
  <c r="K88" i="135" a="1"/>
  <c r="K88" i="135" s="1"/>
  <c r="K114" i="135" a="1"/>
  <c r="K114" i="135" s="1"/>
  <c r="F88" i="135" a="1"/>
  <c r="F88" i="135" s="1"/>
  <c r="K97" i="135" a="1"/>
  <c r="K97" i="135" s="1"/>
  <c r="F106" i="135" a="1"/>
  <c r="F106" i="135" s="1"/>
  <c r="V52" i="116" a="1"/>
  <c r="V52" i="116" s="1"/>
  <c r="AZ52" i="116" a="1"/>
  <c r="AZ52" i="116" s="1"/>
  <c r="BA52" i="116" a="1"/>
  <c r="BA52" i="116" s="1"/>
  <c r="U52" i="116" a="1"/>
  <c r="U52" i="116" s="1"/>
  <c r="AY52" i="116" a="1"/>
  <c r="AY52" i="116" s="1"/>
  <c r="S52" i="116" a="1"/>
  <c r="S52" i="116" s="1"/>
  <c r="AX52" i="116" a="1"/>
  <c r="AX52" i="116" s="1"/>
  <c r="F46" i="52" a="1"/>
  <c r="F46" i="52" s="1"/>
  <c r="F181" i="52" a="1"/>
  <c r="F181" i="52" s="1"/>
  <c r="F203" i="52" a="1"/>
  <c r="F203" i="52" s="1"/>
  <c r="F69" i="52" a="1"/>
  <c r="F69" i="52" s="1"/>
  <c r="F240" i="52" a="1"/>
  <c r="F240" i="52" s="1"/>
  <c r="F47" i="52" a="1"/>
  <c r="F47" i="52" s="1"/>
  <c r="M520" i="66"/>
  <c r="J521" i="66"/>
  <c r="Q521" i="66"/>
  <c r="F68" i="52" a="1"/>
  <c r="F68" i="52" s="1"/>
  <c r="F146" i="52" a="1"/>
  <c r="F146" i="52" s="1"/>
  <c r="H9" i="52" a="1"/>
  <c r="H9" i="52" s="1"/>
  <c r="F145" i="52" a="1"/>
  <c r="F145" i="52" s="1"/>
  <c r="R24" i="66"/>
  <c r="R22" i="66"/>
  <c r="R28" i="66"/>
  <c r="R29" i="66"/>
  <c r="R23" i="66"/>
  <c r="R25" i="66"/>
  <c r="R26" i="66"/>
  <c r="M16" i="66"/>
  <c r="J17" i="66"/>
  <c r="K16" i="66" s="1"/>
  <c r="Q17" i="66"/>
  <c r="R15" i="66" s="1"/>
  <c r="R316" i="66"/>
  <c r="R281" i="66"/>
  <c r="R175" i="66"/>
  <c r="R27" i="66"/>
  <c r="K395" i="66"/>
  <c r="M395" i="66"/>
  <c r="R62" i="66"/>
  <c r="R395" i="66"/>
  <c r="R59" i="66"/>
  <c r="R57" i="66"/>
  <c r="Q64" i="66"/>
  <c r="Q65" i="66" s="1"/>
  <c r="Q66" i="66" s="1"/>
  <c r="R56" i="66"/>
  <c r="R55" i="66"/>
  <c r="M63" i="66"/>
  <c r="R58" i="66"/>
  <c r="R61" i="66"/>
  <c r="K62" i="66"/>
  <c r="R60" i="66"/>
  <c r="M62" i="66"/>
  <c r="K98" i="66"/>
  <c r="K91" i="66"/>
  <c r="K95" i="66"/>
  <c r="K418" i="66"/>
  <c r="K416" i="66"/>
  <c r="K419" i="66"/>
  <c r="K417" i="66"/>
  <c r="K415" i="66"/>
  <c r="K94" i="66"/>
  <c r="K92" i="66"/>
  <c r="K93" i="66"/>
  <c r="K96" i="66"/>
  <c r="K259" i="66"/>
  <c r="K266" i="66"/>
  <c r="K260" i="66"/>
  <c r="K263" i="66"/>
  <c r="K262" i="66"/>
  <c r="R279" i="66"/>
  <c r="R393" i="66"/>
  <c r="J341" i="66"/>
  <c r="K336" i="66" s="1"/>
  <c r="J373" i="66"/>
  <c r="J442" i="66"/>
  <c r="M54" i="66"/>
  <c r="Q593" i="66"/>
  <c r="R288" i="66"/>
  <c r="K281" i="66"/>
  <c r="K38" i="66"/>
  <c r="K176" i="66"/>
  <c r="K125" i="66"/>
  <c r="R384" i="66"/>
  <c r="K264" i="66"/>
  <c r="H39" i="52" a="1"/>
  <c r="H39" i="52" s="1"/>
  <c r="F38" i="52" a="1"/>
  <c r="F38" i="52" s="1"/>
  <c r="F39" i="52" s="1"/>
  <c r="F40" i="52" s="1"/>
  <c r="H38" i="52" a="1"/>
  <c r="H38" i="52" s="1"/>
  <c r="F35" i="52" a="1"/>
  <c r="F35" i="52" s="1"/>
  <c r="F36" i="52" s="1"/>
  <c r="F37" i="52" s="1"/>
  <c r="F48" i="52" a="1"/>
  <c r="F48" i="52" s="1"/>
  <c r="F70" i="52" a="1"/>
  <c r="F70" i="52" s="1"/>
  <c r="F205" i="52" a="1"/>
  <c r="F205" i="52" s="1"/>
  <c r="F242" i="52" a="1"/>
  <c r="F242" i="52" s="1"/>
  <c r="P9" i="52" a="1"/>
  <c r="P9" i="52" s="1"/>
  <c r="P28" i="52" s="1"/>
  <c r="F9" i="52" a="1"/>
  <c r="F9" i="52" s="1"/>
  <c r="F11" i="52" a="1"/>
  <c r="F11" i="52" s="1"/>
  <c r="F108" i="52" a="1"/>
  <c r="F108" i="52" s="1"/>
  <c r="F147" i="52" a="1"/>
  <c r="F147" i="52" s="1"/>
  <c r="F182" i="52" a="1"/>
  <c r="F182" i="52" s="1"/>
  <c r="F204" i="52" a="1"/>
  <c r="F204" i="52" s="1"/>
  <c r="F235" i="52"/>
  <c r="F241" i="52" a="1"/>
  <c r="F241" i="52" s="1"/>
  <c r="M318" i="66"/>
  <c r="M78" i="68"/>
  <c r="M219" i="68"/>
  <c r="R290" i="66"/>
  <c r="R274" i="66"/>
  <c r="R275" i="66"/>
  <c r="R276" i="66"/>
  <c r="R277" i="66"/>
  <c r="R278" i="66"/>
  <c r="R176" i="66"/>
  <c r="R283" i="66"/>
  <c r="R284" i="66"/>
  <c r="R285" i="66"/>
  <c r="R286" i="66"/>
  <c r="R287" i="66"/>
  <c r="R169" i="66"/>
  <c r="R170" i="66"/>
  <c r="R171" i="66"/>
  <c r="R172" i="66"/>
  <c r="R173" i="66"/>
  <c r="R174" i="66"/>
  <c r="R36" i="66"/>
  <c r="R38" i="66"/>
  <c r="K31" i="66"/>
  <c r="K32" i="66"/>
  <c r="K33" i="66"/>
  <c r="K34" i="66"/>
  <c r="K35" i="66"/>
  <c r="K36" i="66"/>
  <c r="M76" i="66"/>
  <c r="M51" i="68"/>
  <c r="M340" i="66"/>
  <c r="Q410" i="66"/>
  <c r="M409" i="66"/>
  <c r="J410" i="66"/>
  <c r="K386" i="66"/>
  <c r="M386" i="66"/>
  <c r="R389" i="66"/>
  <c r="R388" i="66"/>
  <c r="M396" i="66"/>
  <c r="R390" i="66"/>
  <c r="R391" i="66"/>
  <c r="R386" i="66"/>
  <c r="R379" i="66"/>
  <c r="M387" i="66"/>
  <c r="R380" i="66"/>
  <c r="Q397" i="66"/>
  <c r="R381" i="66"/>
  <c r="R382" i="66"/>
  <c r="Q341" i="66"/>
  <c r="R339" i="66" s="1"/>
  <c r="K46" i="66"/>
  <c r="K47" i="66"/>
  <c r="K48" i="66"/>
  <c r="K49" i="66"/>
  <c r="K51" i="66"/>
  <c r="K53" i="66"/>
  <c r="O10" i="52" a="1"/>
  <c r="O10" i="52" s="1"/>
  <c r="P10" i="52" a="1"/>
  <c r="P10" i="52" s="1"/>
  <c r="P29" i="52" s="1"/>
  <c r="P35" i="52" a="1"/>
  <c r="P35" i="52" s="1"/>
  <c r="P97" i="52" a="1"/>
  <c r="P97" i="52" s="1"/>
  <c r="P230" i="52" a="1"/>
  <c r="P230" i="52" s="1"/>
  <c r="I230" i="52" a="1"/>
  <c r="I230" i="52" s="1"/>
  <c r="P174" i="52" a="1"/>
  <c r="P174" i="52" s="1"/>
  <c r="I229" i="52" a="1"/>
  <c r="I229" i="52" s="1"/>
  <c r="P173" i="52" a="1"/>
  <c r="P173" i="52" s="1"/>
  <c r="P39" i="52" a="1"/>
  <c r="P39" i="52" s="1"/>
  <c r="P38" i="52" a="1"/>
  <c r="P38" i="52" s="1"/>
  <c r="P99" i="52" a="1"/>
  <c r="P99" i="52" s="1"/>
  <c r="P233" i="52" a="1"/>
  <c r="P233" i="52" s="1"/>
  <c r="P232" i="52" a="1"/>
  <c r="P232" i="52" s="1"/>
  <c r="P100" i="52" a="1"/>
  <c r="P100" i="52" s="1"/>
  <c r="M165" i="66"/>
  <c r="R310" i="66"/>
  <c r="R311" i="66"/>
  <c r="R312" i="66"/>
  <c r="R313" i="66"/>
  <c r="R314" i="66"/>
  <c r="R315" i="66"/>
  <c r="K310" i="66"/>
  <c r="K311" i="66"/>
  <c r="K312" i="66"/>
  <c r="K313" i="66"/>
  <c r="K314" i="66"/>
  <c r="K315" i="66"/>
  <c r="R88" i="66"/>
  <c r="Q191" i="66"/>
  <c r="R189" i="66" s="1"/>
  <c r="M190" i="66"/>
  <c r="M244" i="66"/>
  <c r="M281" i="66"/>
  <c r="J245" i="66"/>
  <c r="Q245" i="66"/>
  <c r="R243" i="66" s="1"/>
  <c r="Q292" i="66"/>
  <c r="M282" i="66"/>
  <c r="F168" i="66"/>
  <c r="J168" i="66" s="1"/>
  <c r="Q167" i="66"/>
  <c r="Q305" i="66"/>
  <c r="R303" i="66" s="1"/>
  <c r="M304" i="66"/>
  <c r="J305" i="66"/>
  <c r="J77" i="66"/>
  <c r="M112" i="66"/>
  <c r="M176" i="66"/>
  <c r="M290" i="66"/>
  <c r="Q113" i="66"/>
  <c r="R111" i="66" s="1"/>
  <c r="M177" i="66"/>
  <c r="M291" i="66"/>
  <c r="J191" i="66"/>
  <c r="Q77" i="66"/>
  <c r="R75" i="66" s="1"/>
  <c r="J113" i="66"/>
  <c r="R35" i="66"/>
  <c r="R32" i="66"/>
  <c r="M39" i="66"/>
  <c r="R31" i="66"/>
  <c r="R34" i="66"/>
  <c r="R33" i="66"/>
  <c r="M29" i="66"/>
  <c r="K464" i="66"/>
  <c r="K463" i="66"/>
  <c r="K461" i="66"/>
  <c r="K462" i="66"/>
  <c r="K465" i="66"/>
  <c r="K466" i="66"/>
  <c r="K469" i="66"/>
  <c r="M469" i="66"/>
  <c r="M89" i="66"/>
  <c r="Q444" i="66"/>
  <c r="Q374" i="66"/>
  <c r="Q375" i="66" s="1"/>
  <c r="K346" i="66"/>
  <c r="K347" i="66"/>
  <c r="K348" i="66"/>
  <c r="K349" i="66"/>
  <c r="K350" i="66"/>
  <c r="K351" i="66"/>
  <c r="K353" i="66"/>
  <c r="M592" i="66"/>
  <c r="M152" i="66"/>
  <c r="K152" i="66"/>
  <c r="M125" i="66"/>
  <c r="K134" i="66"/>
  <c r="M134" i="66"/>
  <c r="H35" i="52" a="1"/>
  <c r="H35" i="52" s="1"/>
  <c r="I35" i="52" a="1"/>
  <c r="I35" i="52" s="1"/>
  <c r="P46" i="52" a="1"/>
  <c r="P46" i="52" s="1"/>
  <c r="P61" i="52" s="1"/>
  <c r="O46" i="52" a="1"/>
  <c r="O46" i="52" s="1"/>
  <c r="O61" i="52" s="1"/>
  <c r="I46" i="52" a="1"/>
  <c r="I46" i="52" s="1"/>
  <c r="H46" i="52" a="1"/>
  <c r="H46" i="52" s="1"/>
  <c r="P107" i="52" a="1"/>
  <c r="P107" i="52" s="1"/>
  <c r="P131" i="52" s="1"/>
  <c r="H107" i="52" a="1"/>
  <c r="H107" i="52" s="1"/>
  <c r="I107" i="52" a="1"/>
  <c r="I107" i="52" s="1"/>
  <c r="I170" i="52" a="1"/>
  <c r="I170" i="52" s="1"/>
  <c r="I233" i="52" a="1"/>
  <c r="I233" i="52" s="1"/>
  <c r="J233" i="52" s="1"/>
  <c r="I38" i="52" a="1"/>
  <c r="I38" i="52" s="1"/>
  <c r="Q96" i="52"/>
  <c r="I232" i="52" a="1"/>
  <c r="I232" i="52" s="1"/>
  <c r="P204" i="52" a="1"/>
  <c r="P204" i="52" s="1"/>
  <c r="P224" i="52" s="1"/>
  <c r="I204" i="52" a="1"/>
  <c r="I204" i="52" s="1"/>
  <c r="H204" i="52" a="1"/>
  <c r="H204" i="52" s="1"/>
  <c r="O204" i="52" a="1"/>
  <c r="O204" i="52" s="1"/>
  <c r="O224" i="52" s="1"/>
  <c r="I39" i="52" a="1"/>
  <c r="I39" i="52" s="1"/>
  <c r="O203" i="52" a="1"/>
  <c r="O203" i="52" s="1"/>
  <c r="O223" i="52" s="1"/>
  <c r="P203" i="52" a="1"/>
  <c r="P203" i="52" s="1"/>
  <c r="P223" i="52" s="1"/>
  <c r="H203" i="52" a="1"/>
  <c r="H203" i="52" s="1"/>
  <c r="I203" i="52" a="1"/>
  <c r="I203" i="52" s="1"/>
  <c r="H230" i="52" a="1"/>
  <c r="H230" i="52" s="1"/>
  <c r="O241" i="52" a="1"/>
  <c r="O241" i="52" s="1"/>
  <c r="O257" i="52" s="1"/>
  <c r="I241" i="52" a="1"/>
  <c r="I241" i="52" s="1"/>
  <c r="P241" i="52" a="1"/>
  <c r="P241" i="52" s="1"/>
  <c r="P257" i="52" s="1"/>
  <c r="H241" i="52" a="1"/>
  <c r="H241" i="52" s="1"/>
  <c r="P146" i="52" a="1"/>
  <c r="P146" i="52" s="1"/>
  <c r="P165" i="52" s="1"/>
  <c r="I146" i="52" a="1"/>
  <c r="I146" i="52" s="1"/>
  <c r="O146" i="52" a="1"/>
  <c r="O146" i="52" s="1"/>
  <c r="O165" i="52" s="1"/>
  <c r="H146" i="52" a="1"/>
  <c r="H146" i="52" s="1"/>
  <c r="I174" i="52" a="1"/>
  <c r="I174" i="52" s="1"/>
  <c r="H174" i="52" a="1"/>
  <c r="H174" i="52" s="1"/>
  <c r="O240" i="52" a="1"/>
  <c r="O240" i="52" s="1"/>
  <c r="O256" i="52" s="1"/>
  <c r="I240" i="52" a="1"/>
  <c r="I240" i="52" s="1"/>
  <c r="H240" i="52" a="1"/>
  <c r="H240" i="52" s="1"/>
  <c r="P240" i="52" a="1"/>
  <c r="P240" i="52" s="1"/>
  <c r="P256" i="52" s="1"/>
  <c r="I69" i="52" a="1"/>
  <c r="I69" i="52" s="1"/>
  <c r="P69" i="52" a="1"/>
  <c r="P69" i="52" s="1"/>
  <c r="P90" i="52" s="1"/>
  <c r="O69" i="52" a="1"/>
  <c r="O69" i="52" s="1"/>
  <c r="O90" i="52" s="1"/>
  <c r="H69" i="52" a="1"/>
  <c r="H69" i="52" s="1"/>
  <c r="I145" i="52" a="1"/>
  <c r="I145" i="52" s="1"/>
  <c r="P145" i="52" a="1"/>
  <c r="P145" i="52" s="1"/>
  <c r="P164" i="52" s="1"/>
  <c r="O145" i="52" a="1"/>
  <c r="O145" i="52" s="1"/>
  <c r="O164" i="52" s="1"/>
  <c r="H145" i="52" a="1"/>
  <c r="H145" i="52" s="1"/>
  <c r="I173" i="52" a="1"/>
  <c r="I173" i="52" s="1"/>
  <c r="O9" i="52" a="1"/>
  <c r="O9" i="52" s="1"/>
  <c r="O28" i="52" s="1"/>
  <c r="I9" i="52" a="1"/>
  <c r="I9" i="52" s="1"/>
  <c r="I10" i="52" a="1"/>
  <c r="I10" i="52" s="1"/>
  <c r="H10" i="52" a="1"/>
  <c r="H10" i="52" s="1"/>
  <c r="H36" i="52" a="1"/>
  <c r="H36" i="52" s="1"/>
  <c r="I36" i="52" a="1"/>
  <c r="I36" i="52" s="1"/>
  <c r="O47" i="52" a="1"/>
  <c r="O47" i="52" s="1"/>
  <c r="O62" i="52" s="1"/>
  <c r="P47" i="52" a="1"/>
  <c r="P47" i="52" s="1"/>
  <c r="P62" i="52" s="1"/>
  <c r="I47" i="52" a="1"/>
  <c r="I47" i="52" s="1"/>
  <c r="H47" i="52" a="1"/>
  <c r="H47" i="52" s="1"/>
  <c r="H68" i="52" a="1"/>
  <c r="H68" i="52" s="1"/>
  <c r="I68" i="52" a="1"/>
  <c r="I68" i="52" s="1"/>
  <c r="P68" i="52" a="1"/>
  <c r="P68" i="52" s="1"/>
  <c r="P89" i="52" s="1"/>
  <c r="O68" i="52" a="1"/>
  <c r="O68" i="52" s="1"/>
  <c r="O89" i="52" s="1"/>
  <c r="H182" i="52" a="1"/>
  <c r="H182" i="52" s="1"/>
  <c r="P182" i="52" a="1"/>
  <c r="P182" i="52" s="1"/>
  <c r="P197" i="52" s="1"/>
  <c r="O182" i="52" a="1"/>
  <c r="O182" i="52" s="1"/>
  <c r="O197" i="52" s="1"/>
  <c r="I182" i="52" a="1"/>
  <c r="I182" i="52" s="1"/>
  <c r="P108" i="52" a="1"/>
  <c r="P108" i="52" s="1"/>
  <c r="P132" i="52" s="1"/>
  <c r="O108" i="52" a="1"/>
  <c r="O108" i="52" s="1"/>
  <c r="O132" i="52" s="1"/>
  <c r="H108" i="52" a="1"/>
  <c r="H108" i="52" s="1"/>
  <c r="I108" i="52" a="1"/>
  <c r="I108" i="52" s="1"/>
  <c r="I171" i="52" a="1"/>
  <c r="I171" i="52" s="1"/>
  <c r="I181" i="52" a="1"/>
  <c r="I181" i="52" s="1"/>
  <c r="O181" i="52" a="1"/>
  <c r="O181" i="52" s="1"/>
  <c r="H181" i="52" a="1"/>
  <c r="H181" i="52" s="1"/>
  <c r="P181" i="52" a="1"/>
  <c r="P181" i="52" s="1"/>
  <c r="P196" i="52" s="1"/>
  <c r="C228" i="58"/>
  <c r="C214" i="58"/>
  <c r="C215" i="58"/>
  <c r="C216" i="58"/>
  <c r="C217" i="58"/>
  <c r="C218" i="58"/>
  <c r="C219" i="58"/>
  <c r="C220" i="58"/>
  <c r="C221" i="58"/>
  <c r="C222" i="58"/>
  <c r="C223" i="58"/>
  <c r="C224" i="58"/>
  <c r="C225" i="58"/>
  <c r="C226" i="58"/>
  <c r="C227" i="58"/>
  <c r="Q89" i="52" l="1"/>
  <c r="Q164" i="52"/>
  <c r="Q132" i="52"/>
  <c r="Q256" i="52"/>
  <c r="Q90" i="52"/>
  <c r="Y35" i="115" a="1"/>
  <c r="Y35" i="115" s="1"/>
  <c r="AQ35" i="115" a="1"/>
  <c r="AQ35" i="115" s="1"/>
  <c r="Q62" i="52"/>
  <c r="Q223" i="52"/>
  <c r="Q61" i="52"/>
  <c r="Q224" i="52"/>
  <c r="Q257" i="52"/>
  <c r="Q197" i="52"/>
  <c r="Q28" i="52"/>
  <c r="Q165" i="52"/>
  <c r="Q139" i="52"/>
  <c r="Q280" i="52"/>
  <c r="Q319" i="52"/>
  <c r="Q131" i="52"/>
  <c r="Q125" i="52"/>
  <c r="Q126" i="52" s="1"/>
  <c r="R125" i="52" s="1"/>
  <c r="Q115" i="52"/>
  <c r="O166" i="52"/>
  <c r="O53" i="114" s="1" a="1"/>
  <c r="O53" i="114" s="1"/>
  <c r="O133" i="52"/>
  <c r="AN53" i="113" s="1" a="1"/>
  <c r="AN53" i="113" s="1"/>
  <c r="O225" i="52"/>
  <c r="O53" i="115" s="1" a="1"/>
  <c r="O53" i="115" s="1"/>
  <c r="O63" i="115" s="1"/>
  <c r="P225" i="52"/>
  <c r="P53" i="115" s="1" a="1"/>
  <c r="P53" i="115" s="1"/>
  <c r="P66" i="115" s="1"/>
  <c r="P258" i="52"/>
  <c r="AH53" i="115" s="1" a="1"/>
  <c r="AH53" i="115" s="1"/>
  <c r="O258" i="52"/>
  <c r="AG53" i="115" s="1" a="1"/>
  <c r="AG53" i="115" s="1"/>
  <c r="O196" i="52"/>
  <c r="P91" i="52"/>
  <c r="P53" i="113" s="1" a="1"/>
  <c r="P53" i="113" s="1"/>
  <c r="P198" i="52"/>
  <c r="AH53" i="114" s="1" a="1"/>
  <c r="AH53" i="114" s="1"/>
  <c r="P166" i="52"/>
  <c r="P53" i="114" s="1" a="1"/>
  <c r="P53" i="114" s="1"/>
  <c r="P133" i="52"/>
  <c r="AO53" i="113" s="1" a="1"/>
  <c r="AO53" i="113" s="1"/>
  <c r="O91" i="52"/>
  <c r="O53" i="113" s="1" a="1"/>
  <c r="O53" i="113" s="1"/>
  <c r="P63" i="52"/>
  <c r="AI53" i="108" s="1" a="1"/>
  <c r="AI53" i="108" s="1"/>
  <c r="AI66" i="108" s="1"/>
  <c r="O63" i="52"/>
  <c r="AH53" i="108" s="1" a="1"/>
  <c r="AH53" i="108" s="1"/>
  <c r="O29" i="52"/>
  <c r="AQ36" i="108"/>
  <c r="BL53" i="113"/>
  <c r="W36" i="113"/>
  <c r="X36" i="113"/>
  <c r="W14" i="121"/>
  <c r="AA14" i="121" s="1"/>
  <c r="AB14" i="121" s="1"/>
  <c r="AP36" i="108"/>
  <c r="R11" i="66"/>
  <c r="W13" i="121"/>
  <c r="R14" i="66"/>
  <c r="K11" i="66"/>
  <c r="R12" i="66"/>
  <c r="R10" i="66"/>
  <c r="R13" i="66"/>
  <c r="R9" i="66"/>
  <c r="Q18" i="66"/>
  <c r="Q19" i="66" s="1"/>
  <c r="Q522" i="66"/>
  <c r="R521" i="66" s="1"/>
  <c r="J543" i="66"/>
  <c r="K513" i="66"/>
  <c r="K514" i="66"/>
  <c r="K515" i="66"/>
  <c r="K516" i="66"/>
  <c r="K517" i="66"/>
  <c r="K518" i="66"/>
  <c r="K520" i="66"/>
  <c r="K9" i="66"/>
  <c r="K14" i="66"/>
  <c r="J18" i="66"/>
  <c r="K13" i="66" s="1"/>
  <c r="M17" i="66"/>
  <c r="K10" i="66"/>
  <c r="M521" i="66"/>
  <c r="K521" i="66"/>
  <c r="BA26" i="121"/>
  <c r="J9" i="52"/>
  <c r="J10" i="52"/>
  <c r="K12" i="66"/>
  <c r="R340" i="66"/>
  <c r="R244" i="66"/>
  <c r="R16" i="66"/>
  <c r="R304" i="66"/>
  <c r="R76" i="66"/>
  <c r="R89" i="66"/>
  <c r="R409" i="66"/>
  <c r="R408" i="66"/>
  <c r="M442" i="66"/>
  <c r="M373" i="66"/>
  <c r="K250" i="66"/>
  <c r="K257" i="66"/>
  <c r="H40" i="52"/>
  <c r="K338" i="66"/>
  <c r="K335" i="66"/>
  <c r="K334" i="66"/>
  <c r="K333" i="66"/>
  <c r="M341" i="66"/>
  <c r="J342" i="66"/>
  <c r="J343" i="66" s="1"/>
  <c r="K35" i="115" s="1" a="1"/>
  <c r="K35" i="115" s="1"/>
  <c r="K340" i="66"/>
  <c r="M268" i="66"/>
  <c r="P11" i="52"/>
  <c r="K254" i="66"/>
  <c r="K253" i="66"/>
  <c r="K252" i="66"/>
  <c r="K251" i="66"/>
  <c r="J229" i="52"/>
  <c r="Q594" i="66"/>
  <c r="K255" i="66"/>
  <c r="M328" i="66"/>
  <c r="K112" i="66"/>
  <c r="K29" i="66"/>
  <c r="K76" i="66"/>
  <c r="K89" i="66"/>
  <c r="K190" i="66"/>
  <c r="J443" i="66"/>
  <c r="J374" i="66"/>
  <c r="J230" i="52"/>
  <c r="P37" i="52"/>
  <c r="F41" i="52"/>
  <c r="F102" i="52"/>
  <c r="O101" i="52"/>
  <c r="O98" i="52"/>
  <c r="Q46" i="52"/>
  <c r="Q329" i="66"/>
  <c r="Q47" i="52"/>
  <c r="P70" i="52"/>
  <c r="M167" i="66"/>
  <c r="R237" i="66"/>
  <c r="R238" i="66"/>
  <c r="R239" i="66"/>
  <c r="R240" i="66"/>
  <c r="R241" i="66"/>
  <c r="R242" i="66"/>
  <c r="Q174" i="52"/>
  <c r="O231" i="52"/>
  <c r="P98" i="52"/>
  <c r="R333" i="66"/>
  <c r="Q342" i="66"/>
  <c r="R334" i="66"/>
  <c r="R335" i="66"/>
  <c r="R336" i="66"/>
  <c r="R337" i="66"/>
  <c r="R338" i="66"/>
  <c r="Q171" i="52"/>
  <c r="K404" i="66"/>
  <c r="K402" i="66"/>
  <c r="M410" i="66"/>
  <c r="J411" i="66"/>
  <c r="K403" i="66"/>
  <c r="K405" i="66"/>
  <c r="K407" i="66"/>
  <c r="K409" i="66"/>
  <c r="Q170" i="52"/>
  <c r="Q398" i="66"/>
  <c r="M397" i="66"/>
  <c r="R392" i="66"/>
  <c r="R406" i="66"/>
  <c r="R402" i="66"/>
  <c r="Q411" i="66"/>
  <c r="R403" i="66"/>
  <c r="R404" i="66"/>
  <c r="R405" i="66"/>
  <c r="R407" i="66"/>
  <c r="Q100" i="52"/>
  <c r="P101" i="52"/>
  <c r="J232" i="52"/>
  <c r="H234" i="52"/>
  <c r="P175" i="52"/>
  <c r="Q173" i="52"/>
  <c r="I11" i="52"/>
  <c r="M53" i="108" s="1" a="1"/>
  <c r="M53" i="108" s="1"/>
  <c r="M66" i="108" s="1"/>
  <c r="H11" i="52"/>
  <c r="P40" i="52"/>
  <c r="P172" i="52"/>
  <c r="O40" i="52"/>
  <c r="Q9" i="52"/>
  <c r="O37" i="52"/>
  <c r="Q10" i="52"/>
  <c r="J178" i="66"/>
  <c r="Q168" i="66"/>
  <c r="R166" i="66" s="1"/>
  <c r="J100" i="66"/>
  <c r="K82" i="66"/>
  <c r="K83" i="66"/>
  <c r="K84" i="66"/>
  <c r="K85" i="66"/>
  <c r="K86" i="66"/>
  <c r="K87" i="66"/>
  <c r="R82" i="66"/>
  <c r="R83" i="66"/>
  <c r="R84" i="66"/>
  <c r="R85" i="66"/>
  <c r="R86" i="66"/>
  <c r="R87" i="66"/>
  <c r="K108" i="66"/>
  <c r="M113" i="66"/>
  <c r="J114" i="66"/>
  <c r="K105" i="66"/>
  <c r="K106" i="66"/>
  <c r="K107" i="66"/>
  <c r="K110" i="66"/>
  <c r="R107" i="66"/>
  <c r="Q114" i="66"/>
  <c r="R105" i="66"/>
  <c r="R106" i="66"/>
  <c r="R108" i="66"/>
  <c r="R109" i="66"/>
  <c r="R110" i="66"/>
  <c r="Q293" i="66"/>
  <c r="M292" i="66"/>
  <c r="Q78" i="66"/>
  <c r="R69" i="66"/>
  <c r="R70" i="66"/>
  <c r="R71" i="66"/>
  <c r="R72" i="66"/>
  <c r="R73" i="66"/>
  <c r="R74" i="66"/>
  <c r="R112" i="66"/>
  <c r="K71" i="66"/>
  <c r="J78" i="66"/>
  <c r="M77" i="66"/>
  <c r="K69" i="66"/>
  <c r="K70" i="66"/>
  <c r="K72" i="66"/>
  <c r="K74" i="66"/>
  <c r="K184" i="66"/>
  <c r="J192" i="66"/>
  <c r="K189" i="66" s="1"/>
  <c r="M191" i="66"/>
  <c r="K183" i="66"/>
  <c r="K185" i="66"/>
  <c r="K186" i="66"/>
  <c r="K188" i="66"/>
  <c r="Q246" i="66"/>
  <c r="M305" i="66"/>
  <c r="J306" i="66"/>
  <c r="K297" i="66"/>
  <c r="K298" i="66"/>
  <c r="K299" i="66"/>
  <c r="K300" i="66"/>
  <c r="K302" i="66"/>
  <c r="K240" i="66"/>
  <c r="K238" i="66"/>
  <c r="M245" i="66"/>
  <c r="J246" i="66"/>
  <c r="K237" i="66"/>
  <c r="K239" i="66"/>
  <c r="K242" i="66"/>
  <c r="K304" i="66"/>
  <c r="Q306" i="66"/>
  <c r="R297" i="66"/>
  <c r="R298" i="66"/>
  <c r="R299" i="66"/>
  <c r="R300" i="66"/>
  <c r="R301" i="66"/>
  <c r="R302" i="66"/>
  <c r="R186" i="66"/>
  <c r="Q192" i="66"/>
  <c r="R183" i="66"/>
  <c r="R184" i="66"/>
  <c r="R185" i="66"/>
  <c r="R187" i="66"/>
  <c r="R188" i="66"/>
  <c r="R190" i="66"/>
  <c r="K244" i="66"/>
  <c r="Q40" i="66"/>
  <c r="K22" i="66"/>
  <c r="K23" i="66"/>
  <c r="K24" i="66"/>
  <c r="K25" i="66"/>
  <c r="K26" i="66"/>
  <c r="K27" i="66"/>
  <c r="M30" i="66"/>
  <c r="Q491" i="66"/>
  <c r="J492" i="66"/>
  <c r="J46" i="52"/>
  <c r="J69" i="52"/>
  <c r="J68" i="52"/>
  <c r="J47" i="52"/>
  <c r="B59" i="98"/>
  <c r="B39" i="98"/>
  <c r="F39" i="98" s="1" a="1"/>
  <c r="F39" i="98" s="1"/>
  <c r="F40" i="98" s="1"/>
  <c r="F41" i="98" s="1"/>
  <c r="B209" i="98"/>
  <c r="D239" i="98"/>
  <c r="D240" i="98" s="1"/>
  <c r="D241" i="98" s="1"/>
  <c r="D242" i="98" s="1"/>
  <c r="D243" i="98" s="1"/>
  <c r="D244" i="98" s="1"/>
  <c r="D245" i="98" s="1"/>
  <c r="D246" i="98" s="1"/>
  <c r="D247" i="98" s="1"/>
  <c r="C239" i="98"/>
  <c r="C240" i="98" s="1"/>
  <c r="C241" i="98" s="1"/>
  <c r="C242" i="98" s="1"/>
  <c r="C243" i="98" s="1"/>
  <c r="C244" i="98" s="1"/>
  <c r="C245" i="98" s="1"/>
  <c r="C246" i="98" s="1"/>
  <c r="C247" i="98" s="1"/>
  <c r="B239" i="98"/>
  <c r="D229" i="98"/>
  <c r="B229" i="98"/>
  <c r="D209" i="98"/>
  <c r="D210" i="98" s="1"/>
  <c r="D211" i="98" s="1"/>
  <c r="C209" i="98"/>
  <c r="C210" i="98" s="1"/>
  <c r="C211" i="98" s="1"/>
  <c r="D189" i="98"/>
  <c r="D190" i="98" s="1"/>
  <c r="D191" i="98" s="1"/>
  <c r="D192" i="98" s="1"/>
  <c r="D193" i="98" s="1"/>
  <c r="D194" i="98" s="1"/>
  <c r="C189" i="98"/>
  <c r="C190" i="98" s="1"/>
  <c r="C191" i="98" s="1"/>
  <c r="C192" i="98" s="1"/>
  <c r="C193" i="98" s="1"/>
  <c r="C194" i="98" s="1"/>
  <c r="B189" i="98"/>
  <c r="D159" i="98"/>
  <c r="D160" i="98" s="1"/>
  <c r="D161" i="98" s="1"/>
  <c r="C159" i="98"/>
  <c r="C160" i="98" s="1"/>
  <c r="C161" i="98" s="1"/>
  <c r="B159" i="98"/>
  <c r="F159" i="98" s="1" a="1"/>
  <c r="F159" i="98" s="1"/>
  <c r="F160" i="98" s="1"/>
  <c r="F161" i="98" s="1"/>
  <c r="F162" i="98" s="1"/>
  <c r="F163" i="98" s="1"/>
  <c r="F164" i="98" s="1"/>
  <c r="D139" i="98"/>
  <c r="D140" i="98" s="1"/>
  <c r="D141" i="98" s="1"/>
  <c r="C139" i="98"/>
  <c r="C140" i="98" s="1"/>
  <c r="C141" i="98" s="1"/>
  <c r="B139" i="98"/>
  <c r="F139" i="98" s="1" a="1"/>
  <c r="F139" i="98" s="1"/>
  <c r="F140" i="98" s="1"/>
  <c r="F141" i="98" s="1"/>
  <c r="F142" i="98" s="1"/>
  <c r="F143" i="98" s="1"/>
  <c r="F144" i="98" s="1"/>
  <c r="D109" i="98"/>
  <c r="D110" i="98" s="1"/>
  <c r="D111" i="98" s="1"/>
  <c r="C109" i="98"/>
  <c r="C110" i="98" s="1"/>
  <c r="C111" i="98" s="1"/>
  <c r="B109" i="98"/>
  <c r="F109" i="98" s="1" a="1"/>
  <c r="F109" i="98" s="1"/>
  <c r="F110" i="98" s="1"/>
  <c r="F111" i="98" s="1"/>
  <c r="F112" i="98" s="1"/>
  <c r="F113" i="98" s="1"/>
  <c r="F114" i="98" s="1"/>
  <c r="D89" i="98"/>
  <c r="D90" i="98" s="1"/>
  <c r="D91" i="98" s="1"/>
  <c r="C89" i="98"/>
  <c r="C90" i="98" s="1"/>
  <c r="C91" i="98" s="1"/>
  <c r="B89" i="98"/>
  <c r="F89" i="98" s="1" a="1"/>
  <c r="F89" i="98" s="1"/>
  <c r="F90" i="98" s="1"/>
  <c r="F91" i="98" s="1"/>
  <c r="F92" i="98" s="1"/>
  <c r="F93" i="98" s="1"/>
  <c r="F94" i="98" s="1"/>
  <c r="D59" i="98"/>
  <c r="D60" i="98" s="1"/>
  <c r="D61" i="98" s="1"/>
  <c r="C59" i="98"/>
  <c r="C60" i="98" s="1"/>
  <c r="C61" i="98" s="1"/>
  <c r="D39" i="98"/>
  <c r="D40" i="98" s="1"/>
  <c r="D41" i="98" s="1"/>
  <c r="C39" i="98"/>
  <c r="D9" i="98"/>
  <c r="C9" i="98"/>
  <c r="C10" i="98" s="1"/>
  <c r="C11" i="98" s="1"/>
  <c r="C12" i="98" s="1"/>
  <c r="C13" i="98" s="1"/>
  <c r="C14" i="98" s="1"/>
  <c r="B9" i="98"/>
  <c r="M4" i="98"/>
  <c r="O3" i="98"/>
  <c r="Q4" i="98" s="1"/>
  <c r="M3" i="98"/>
  <c r="H3" i="98"/>
  <c r="C25" i="58"/>
  <c r="M125" i="52" l="1"/>
  <c r="O198" i="52"/>
  <c r="AG53" i="114" s="1" a="1"/>
  <c r="AG53" i="114" s="1"/>
  <c r="Q196" i="52"/>
  <c r="Q35" i="108" a="1"/>
  <c r="Q35" i="108" s="1"/>
  <c r="M280" i="52"/>
  <c r="Q281" i="52"/>
  <c r="R280" i="52" s="1"/>
  <c r="Q140" i="52"/>
  <c r="R115" i="52"/>
  <c r="M115" i="52"/>
  <c r="L53" i="108" a="1"/>
  <c r="L53" i="108" s="1"/>
  <c r="L66" i="108" s="1"/>
  <c r="N66" i="108" s="1"/>
  <c r="O66" i="115"/>
  <c r="Q66" i="115" s="1"/>
  <c r="P63" i="115"/>
  <c r="Q29" i="52"/>
  <c r="Q30" i="52" s="1"/>
  <c r="Q63" i="52"/>
  <c r="P30" i="52"/>
  <c r="Q53" i="108" s="1" a="1"/>
  <c r="Q53" i="108" s="1"/>
  <c r="M61" i="52"/>
  <c r="O30" i="52"/>
  <c r="P53" i="108" s="1" a="1"/>
  <c r="P53" i="108" s="1"/>
  <c r="M28" i="52"/>
  <c r="G8" i="135" a="1"/>
  <c r="G8" i="135" s="1"/>
  <c r="L26" i="135" a="1"/>
  <c r="L26" i="135" s="1"/>
  <c r="G26" i="135" a="1"/>
  <c r="G26" i="135" s="1"/>
  <c r="L8" i="135" a="1"/>
  <c r="L8" i="135" s="1"/>
  <c r="L74" i="135" a="1"/>
  <c r="L74" i="135" s="1"/>
  <c r="L57" i="135" a="1"/>
  <c r="L57" i="135" s="1"/>
  <c r="G74" i="135" a="1"/>
  <c r="G74" i="135" s="1"/>
  <c r="G57" i="135" a="1"/>
  <c r="G57" i="135" s="1"/>
  <c r="F66" i="135" a="1"/>
  <c r="F66" i="135" s="1"/>
  <c r="F48" i="135" a="1"/>
  <c r="F48" i="135" s="1"/>
  <c r="K66" i="135" a="1"/>
  <c r="K66" i="135" s="1"/>
  <c r="K48" i="135" a="1"/>
  <c r="K48" i="135" s="1"/>
  <c r="F128" i="135" a="1"/>
  <c r="F128" i="135" s="1"/>
  <c r="K146" i="135" a="1"/>
  <c r="K146" i="135" s="1"/>
  <c r="K128" i="135" a="1"/>
  <c r="K128" i="135" s="1"/>
  <c r="F146" i="135" a="1"/>
  <c r="F146" i="135" s="1"/>
  <c r="L106" i="135" a="1"/>
  <c r="L106" i="135" s="1"/>
  <c r="L88" i="135" a="1"/>
  <c r="L88" i="135" s="1"/>
  <c r="G106" i="135" a="1"/>
  <c r="G106" i="135" s="1"/>
  <c r="H106" i="135" s="1"/>
  <c r="G88" i="135" a="1"/>
  <c r="G88" i="135" s="1"/>
  <c r="H88" i="135" s="1"/>
  <c r="F8" i="135" a="1"/>
  <c r="F8" i="135" s="1"/>
  <c r="K26" i="135" a="1"/>
  <c r="K26" i="135" s="1"/>
  <c r="F26" i="135" a="1"/>
  <c r="F26" i="135" s="1"/>
  <c r="K8" i="135" a="1"/>
  <c r="K8" i="135" s="1"/>
  <c r="L114" i="135" a="1"/>
  <c r="L114" i="135" s="1"/>
  <c r="L97" i="135" a="1"/>
  <c r="L97" i="135" s="1"/>
  <c r="G114" i="135" a="1"/>
  <c r="G114" i="135" s="1"/>
  <c r="H114" i="135" s="1"/>
  <c r="G97" i="135" a="1"/>
  <c r="G97" i="135" s="1"/>
  <c r="H97" i="135" s="1"/>
  <c r="L66" i="135" a="1"/>
  <c r="L66" i="135" s="1"/>
  <c r="L48" i="135" a="1"/>
  <c r="L48" i="135" s="1"/>
  <c r="G66" i="135" a="1"/>
  <c r="G66" i="135" s="1"/>
  <c r="G48" i="135" a="1"/>
  <c r="G48" i="135" s="1"/>
  <c r="F74" i="135" a="1"/>
  <c r="F74" i="135" s="1"/>
  <c r="F57" i="135" a="1"/>
  <c r="F57" i="135" s="1"/>
  <c r="K74" i="135" a="1"/>
  <c r="K74" i="135" s="1"/>
  <c r="K57" i="135" a="1"/>
  <c r="K57" i="135" s="1"/>
  <c r="AQ35" i="116" a="1"/>
  <c r="AQ35" i="116" s="1"/>
  <c r="AH35" i="116" a="1"/>
  <c r="AH35" i="116" s="1"/>
  <c r="J75" i="120" s="1" a="1"/>
  <c r="J75" i="120" s="1"/>
  <c r="BE26" i="121"/>
  <c r="BF26" i="121" s="1"/>
  <c r="F34" i="135" a="1"/>
  <c r="F34" i="135" s="1"/>
  <c r="F17" i="135" a="1"/>
  <c r="F17" i="135" s="1"/>
  <c r="K34" i="135" a="1"/>
  <c r="K34" i="135" s="1"/>
  <c r="K17" i="135" a="1"/>
  <c r="K17" i="135" s="1"/>
  <c r="AA13" i="121"/>
  <c r="AB13" i="121" s="1"/>
  <c r="L34" i="135" a="1"/>
  <c r="L34" i="135" s="1"/>
  <c r="G34" i="135" a="1"/>
  <c r="G34" i="135" s="1"/>
  <c r="G17" i="135" a="1"/>
  <c r="G17" i="135" s="1"/>
  <c r="L17" i="135" a="1"/>
  <c r="L17" i="135" s="1"/>
  <c r="J19" i="66"/>
  <c r="J203" i="98"/>
  <c r="J103" i="98"/>
  <c r="H203" i="98"/>
  <c r="H103" i="98"/>
  <c r="J173" i="98"/>
  <c r="J73" i="98"/>
  <c r="H173" i="98"/>
  <c r="H73" i="98"/>
  <c r="T55" i="113" s="1" a="1"/>
  <c r="T55" i="113" s="1"/>
  <c r="H253" i="98"/>
  <c r="H153" i="98"/>
  <c r="J53" i="98"/>
  <c r="J223" i="98"/>
  <c r="J123" i="98"/>
  <c r="H223" i="98"/>
  <c r="H123" i="98"/>
  <c r="H23" i="98"/>
  <c r="J253" i="98"/>
  <c r="J153" i="98"/>
  <c r="H53" i="98"/>
  <c r="J544" i="66"/>
  <c r="J545" i="66" s="1"/>
  <c r="K537" i="66"/>
  <c r="Q543" i="66"/>
  <c r="Q544" i="66" s="1"/>
  <c r="Q545" i="66" s="1"/>
  <c r="R513" i="66"/>
  <c r="R514" i="66"/>
  <c r="R515" i="66"/>
  <c r="R516" i="66"/>
  <c r="R517" i="66"/>
  <c r="R518" i="66"/>
  <c r="R519" i="66"/>
  <c r="R520" i="66"/>
  <c r="F59" i="98" a="1"/>
  <c r="F59" i="98" s="1"/>
  <c r="F60" i="98" s="1"/>
  <c r="F61" i="98" s="1"/>
  <c r="F62" i="98" s="1"/>
  <c r="F63" i="98" s="1"/>
  <c r="F64" i="98" s="1"/>
  <c r="H229" i="98" a="1"/>
  <c r="H229" i="98" s="1"/>
  <c r="O229" i="98" a="1"/>
  <c r="O229" i="98" s="1"/>
  <c r="F9" i="98" a="1"/>
  <c r="F9" i="98" s="1"/>
  <c r="F10" i="98" s="1"/>
  <c r="F11" i="98" s="1"/>
  <c r="F12" i="98" s="1"/>
  <c r="F13" i="98" s="1"/>
  <c r="F14" i="98" s="1"/>
  <c r="F239" i="98" a="1"/>
  <c r="F239" i="98" s="1"/>
  <c r="F240" i="98" s="1"/>
  <c r="F241" i="98" s="1"/>
  <c r="F242" i="98" s="1"/>
  <c r="F243" i="98" s="1"/>
  <c r="F244" i="98" s="1"/>
  <c r="F189" i="98" a="1"/>
  <c r="F189" i="98" s="1"/>
  <c r="F190" i="98" s="1"/>
  <c r="F191" i="98" s="1"/>
  <c r="F192" i="98" s="1"/>
  <c r="F193" i="98" s="1"/>
  <c r="F194" i="98" s="1"/>
  <c r="F209" i="98" a="1"/>
  <c r="F209" i="98" s="1"/>
  <c r="F210" i="98" s="1"/>
  <c r="F211" i="98" s="1"/>
  <c r="F212" i="98" s="1"/>
  <c r="F213" i="98" s="1"/>
  <c r="F214" i="98" s="1"/>
  <c r="F4" i="98"/>
  <c r="M522" i="66"/>
  <c r="O41" i="52"/>
  <c r="P41" i="52"/>
  <c r="Q412" i="66"/>
  <c r="Q343" i="66"/>
  <c r="Q307" i="66"/>
  <c r="Q193" i="66"/>
  <c r="Q115" i="66"/>
  <c r="Q79" i="66"/>
  <c r="D230" i="98"/>
  <c r="D231" i="98" s="1"/>
  <c r="F229" i="98" a="1"/>
  <c r="F229" i="98" s="1"/>
  <c r="F230" i="98" s="1"/>
  <c r="F231" i="98" s="1"/>
  <c r="F232" i="98" s="1"/>
  <c r="F233" i="98" s="1"/>
  <c r="F234" i="98" s="1"/>
  <c r="D10" i="98"/>
  <c r="D11" i="98" s="1"/>
  <c r="J269" i="66"/>
  <c r="J270" i="66" s="1"/>
  <c r="T35" i="114" s="1" a="1"/>
  <c r="T35" i="114" s="1"/>
  <c r="K337" i="66"/>
  <c r="K406" i="66"/>
  <c r="J493" i="66"/>
  <c r="Q330" i="66"/>
  <c r="J179" i="66"/>
  <c r="Q294" i="66"/>
  <c r="J444" i="66"/>
  <c r="J375" i="66"/>
  <c r="K241" i="66"/>
  <c r="K73" i="66"/>
  <c r="K109" i="66"/>
  <c r="Q399" i="66"/>
  <c r="K301" i="66"/>
  <c r="K187" i="66"/>
  <c r="M594" i="66"/>
  <c r="Q99" i="52"/>
  <c r="Q97" i="52"/>
  <c r="T35" i="115" a="1"/>
  <c r="T35" i="115" s="1"/>
  <c r="Q101" i="52"/>
  <c r="AL35" i="115" a="1"/>
  <c r="AL35" i="115" s="1"/>
  <c r="R122" i="52"/>
  <c r="R124" i="52"/>
  <c r="M126" i="52"/>
  <c r="R121" i="52"/>
  <c r="R123" i="52"/>
  <c r="Q127" i="52"/>
  <c r="T35" i="116" a="1"/>
  <c r="T35" i="116" s="1"/>
  <c r="Q175" i="52"/>
  <c r="Q41" i="66"/>
  <c r="Q42" i="66" s="1"/>
  <c r="B90" i="98"/>
  <c r="B91" i="98" s="1"/>
  <c r="H89" i="98" a="1"/>
  <c r="H89" i="98" s="1"/>
  <c r="O89" i="98" a="1"/>
  <c r="O89" i="98" s="1"/>
  <c r="B110" i="98"/>
  <c r="H109" i="98" a="1"/>
  <c r="H109" i="98" s="1"/>
  <c r="O109" i="98" a="1"/>
  <c r="O109" i="98" s="1"/>
  <c r="B140" i="98"/>
  <c r="H139" i="98" a="1"/>
  <c r="H139" i="98" s="1"/>
  <c r="O139" i="98" a="1"/>
  <c r="O139" i="98" s="1"/>
  <c r="B160" i="98"/>
  <c r="O159" i="98" a="1"/>
  <c r="O159" i="98" s="1"/>
  <c r="H159" i="98" a="1"/>
  <c r="H159" i="98" s="1"/>
  <c r="B190" i="98"/>
  <c r="O189" i="98" a="1"/>
  <c r="O189" i="98" s="1"/>
  <c r="H189" i="98" a="1"/>
  <c r="H189" i="98" s="1"/>
  <c r="B40" i="98"/>
  <c r="H39" i="98" a="1"/>
  <c r="H39" i="98" s="1"/>
  <c r="O39" i="98" a="1"/>
  <c r="O39" i="98" s="1"/>
  <c r="B60" i="98"/>
  <c r="B61" i="98" s="1"/>
  <c r="O59" i="98" a="1"/>
  <c r="O59" i="98" s="1"/>
  <c r="H59" i="98" a="1"/>
  <c r="H59" i="98" s="1"/>
  <c r="O9" i="98" a="1"/>
  <c r="O9" i="98" s="1"/>
  <c r="H9" i="98" a="1"/>
  <c r="H9" i="98" s="1"/>
  <c r="B230" i="98"/>
  <c r="O239" i="98" a="1"/>
  <c r="O239" i="98" s="1"/>
  <c r="H239" i="98" a="1"/>
  <c r="H239" i="98" s="1"/>
  <c r="B210" i="98"/>
  <c r="B211" i="98" s="1"/>
  <c r="O209" i="98" a="1"/>
  <c r="O209" i="98" s="1"/>
  <c r="H209" i="98" a="1"/>
  <c r="H209" i="98" s="1"/>
  <c r="R160" i="66"/>
  <c r="R161" i="66"/>
  <c r="R162" i="66"/>
  <c r="R163" i="66"/>
  <c r="R164" i="66"/>
  <c r="R165" i="66"/>
  <c r="R167" i="66"/>
  <c r="J11" i="52"/>
  <c r="Q172" i="52"/>
  <c r="Q98" i="52"/>
  <c r="J412" i="66"/>
  <c r="AC35" i="115" s="1" a="1"/>
  <c r="AC35" i="115" s="1"/>
  <c r="M100" i="66"/>
  <c r="Q178" i="66"/>
  <c r="M168" i="66"/>
  <c r="K160" i="66"/>
  <c r="K161" i="66"/>
  <c r="K162" i="66"/>
  <c r="K163" i="66"/>
  <c r="K167" i="66"/>
  <c r="K165" i="66"/>
  <c r="J79" i="66"/>
  <c r="Q102" i="66"/>
  <c r="J247" i="66"/>
  <c r="K35" i="114" s="1" a="1"/>
  <c r="K35" i="114" s="1"/>
  <c r="J115" i="66"/>
  <c r="K35" i="113" s="1" a="1"/>
  <c r="K35" i="113" s="1"/>
  <c r="J101" i="66"/>
  <c r="J307" i="66"/>
  <c r="AC35" i="114" s="1" a="1"/>
  <c r="AC35" i="114" s="1"/>
  <c r="Q247" i="66"/>
  <c r="J193" i="66"/>
  <c r="AC35" i="113" s="1" a="1"/>
  <c r="AC35" i="113" s="1"/>
  <c r="Q492" i="66"/>
  <c r="Q493" i="66" s="1"/>
  <c r="M491" i="66"/>
  <c r="J41" i="66"/>
  <c r="M40" i="66"/>
  <c r="D42" i="98"/>
  <c r="D43" i="98" s="1"/>
  <c r="D44" i="98" s="1"/>
  <c r="D45" i="98" s="1"/>
  <c r="D46" i="98" s="1"/>
  <c r="D47" i="98" s="1"/>
  <c r="D137" i="98"/>
  <c r="D187" i="98"/>
  <c r="D232" i="98"/>
  <c r="D233" i="98" s="1"/>
  <c r="D234" i="98" s="1"/>
  <c r="D235" i="98" s="1"/>
  <c r="D236" i="98" s="1"/>
  <c r="D237" i="98" s="1"/>
  <c r="D92" i="98"/>
  <c r="D93" i="98" s="1"/>
  <c r="D94" i="98" s="1"/>
  <c r="D95" i="98" s="1"/>
  <c r="D96" i="98" s="1"/>
  <c r="D97" i="98" s="1"/>
  <c r="C142" i="98"/>
  <c r="C143" i="98" s="1"/>
  <c r="C144" i="98" s="1"/>
  <c r="C145" i="98" s="1"/>
  <c r="C146" i="98" s="1"/>
  <c r="C147" i="98" s="1"/>
  <c r="C92" i="98"/>
  <c r="C93" i="98" s="1"/>
  <c r="C94" i="98" s="1"/>
  <c r="C95" i="98" s="1"/>
  <c r="C96" i="98" s="1"/>
  <c r="C97" i="98" s="1"/>
  <c r="C62" i="98"/>
  <c r="C63" i="98" s="1"/>
  <c r="C64" i="98" s="1"/>
  <c r="C65" i="98" s="1"/>
  <c r="C66" i="98" s="1"/>
  <c r="C67" i="98" s="1"/>
  <c r="D142" i="98"/>
  <c r="D143" i="98" s="1"/>
  <c r="D144" i="98" s="1"/>
  <c r="D145" i="98" s="1"/>
  <c r="D146" i="98" s="1"/>
  <c r="D147" i="98" s="1"/>
  <c r="C195" i="98"/>
  <c r="C196" i="98" s="1"/>
  <c r="C197" i="98" s="1"/>
  <c r="C257" i="98"/>
  <c r="B10" i="98"/>
  <c r="D62" i="98"/>
  <c r="D63" i="98" s="1"/>
  <c r="D64" i="98" s="1"/>
  <c r="D65" i="98" s="1"/>
  <c r="D66" i="98" s="1"/>
  <c r="D67" i="98" s="1"/>
  <c r="C112" i="98"/>
  <c r="C113" i="98" s="1"/>
  <c r="C114" i="98" s="1"/>
  <c r="C115" i="98" s="1"/>
  <c r="C116" i="98" s="1"/>
  <c r="C117" i="98" s="1"/>
  <c r="D195" i="98"/>
  <c r="D196" i="98" s="1"/>
  <c r="D197" i="98" s="1"/>
  <c r="D257" i="98"/>
  <c r="D13" i="98"/>
  <c r="D14" i="98" s="1"/>
  <c r="D15" i="98" s="1"/>
  <c r="D16" i="98" s="1"/>
  <c r="D17" i="98" s="1"/>
  <c r="D12" i="98"/>
  <c r="D112" i="98"/>
  <c r="D113" i="98" s="1"/>
  <c r="D114" i="98" s="1"/>
  <c r="D115" i="98" s="1"/>
  <c r="D116" i="98" s="1"/>
  <c r="D117" i="98" s="1"/>
  <c r="C162" i="98"/>
  <c r="C163" i="98" s="1"/>
  <c r="C164" i="98" s="1"/>
  <c r="C165" i="98" s="1"/>
  <c r="C166" i="98" s="1"/>
  <c r="C167" i="98" s="1"/>
  <c r="C212" i="98"/>
  <c r="C213" i="98" s="1"/>
  <c r="C214" i="98" s="1"/>
  <c r="C215" i="98" s="1"/>
  <c r="C216" i="98" s="1"/>
  <c r="C217" i="98" s="1"/>
  <c r="D162" i="98"/>
  <c r="D163" i="98" s="1"/>
  <c r="D164" i="98" s="1"/>
  <c r="D165" i="98" s="1"/>
  <c r="D166" i="98" s="1"/>
  <c r="D167" i="98" s="1"/>
  <c r="D212" i="98"/>
  <c r="D213" i="98" s="1"/>
  <c r="D214" i="98" s="1"/>
  <c r="D215" i="98" s="1"/>
  <c r="D216" i="98" s="1"/>
  <c r="D217" i="98" s="1"/>
  <c r="C40" i="98"/>
  <c r="C41" i="98" s="1"/>
  <c r="C42" i="98" s="1"/>
  <c r="D87" i="98"/>
  <c r="C15" i="98"/>
  <c r="C16" i="98" s="1"/>
  <c r="C17" i="98" s="1"/>
  <c r="B240" i="98"/>
  <c r="B161" i="98"/>
  <c r="B111" i="98"/>
  <c r="B141" i="98"/>
  <c r="B41" i="98"/>
  <c r="B191" i="98"/>
  <c r="K4" i="98"/>
  <c r="O4" i="98"/>
  <c r="R4" i="98"/>
  <c r="H4" i="98"/>
  <c r="I4" i="98"/>
  <c r="J4" i="98"/>
  <c r="P4" i="98"/>
  <c r="AD35" i="108" l="1" a="1"/>
  <c r="AD35" i="108" s="1"/>
  <c r="M79" i="66"/>
  <c r="L35" i="108" a="1"/>
  <c r="L35" i="108" s="1"/>
  <c r="O35" i="108" s="1"/>
  <c r="AF9" i="57" s="1" a="1"/>
  <c r="AF9" i="57" s="1"/>
  <c r="M19" i="66"/>
  <c r="W35" i="114"/>
  <c r="Y35" i="116" a="1"/>
  <c r="Y35" i="116" s="1"/>
  <c r="P35" i="115" a="1"/>
  <c r="P35" i="115" s="1"/>
  <c r="J68" i="83" s="1" a="1"/>
  <c r="J68" i="83" s="1"/>
  <c r="AH35" i="115" a="1"/>
  <c r="AH35" i="115" s="1"/>
  <c r="AR35" i="108" a="1"/>
  <c r="AR35" i="108" s="1"/>
  <c r="BA7" i="121" s="1"/>
  <c r="BE7" i="121" s="1"/>
  <c r="BF7" i="121" s="1"/>
  <c r="R279" i="52"/>
  <c r="Q282" i="52"/>
  <c r="M282" i="52" s="1"/>
  <c r="M281" i="52"/>
  <c r="Z35" i="108" a="1"/>
  <c r="Z35" i="108" s="1"/>
  <c r="AI35" i="108" a="1"/>
  <c r="AI35" i="108" s="1"/>
  <c r="P35" i="113" a="1"/>
  <c r="P35" i="113" s="1"/>
  <c r="N35" i="113" s="1"/>
  <c r="AL55" i="108" a="1"/>
  <c r="AL55" i="108" s="1"/>
  <c r="AL56" i="108" s="1"/>
  <c r="U55" i="108" a="1"/>
  <c r="U55" i="108" s="1"/>
  <c r="U56" i="108" s="1"/>
  <c r="M62" i="52"/>
  <c r="Q64" i="52"/>
  <c r="M64" i="52" s="1"/>
  <c r="R61" i="52"/>
  <c r="AH66" i="108"/>
  <c r="AJ66" i="108" s="1"/>
  <c r="AH63" i="108"/>
  <c r="AI63" i="108"/>
  <c r="Q66" i="108"/>
  <c r="Q63" i="108"/>
  <c r="M63" i="52"/>
  <c r="R62" i="52"/>
  <c r="R29" i="52"/>
  <c r="M29" i="52"/>
  <c r="H26" i="135"/>
  <c r="H8" i="135"/>
  <c r="H57" i="135"/>
  <c r="H74" i="135"/>
  <c r="AH35" i="113" a="1"/>
  <c r="AH35" i="113" s="1"/>
  <c r="P35" i="114" a="1"/>
  <c r="P35" i="114" s="1"/>
  <c r="H17" i="135"/>
  <c r="AH35" i="114" a="1"/>
  <c r="AH35" i="114" s="1"/>
  <c r="J61" i="120" s="1" a="1"/>
  <c r="J61" i="120" s="1"/>
  <c r="H34" i="135"/>
  <c r="M330" i="66"/>
  <c r="AQ35" i="114" a="1"/>
  <c r="AQ35" i="114" s="1"/>
  <c r="AO35" i="114" s="1"/>
  <c r="H48" i="135"/>
  <c r="H66" i="135"/>
  <c r="BA25" i="121"/>
  <c r="AO35" i="115"/>
  <c r="M545" i="66"/>
  <c r="K72" i="98"/>
  <c r="K70" i="98"/>
  <c r="M73" i="98"/>
  <c r="J74" i="98"/>
  <c r="M74" i="98" s="1"/>
  <c r="K69" i="98"/>
  <c r="K71" i="98"/>
  <c r="K122" i="98"/>
  <c r="K120" i="98"/>
  <c r="M123" i="98"/>
  <c r="J124" i="98"/>
  <c r="M124" i="98" s="1"/>
  <c r="K119" i="98"/>
  <c r="K121" i="98"/>
  <c r="M173" i="98"/>
  <c r="J174" i="98"/>
  <c r="M174" i="98" s="1"/>
  <c r="K169" i="98"/>
  <c r="K170" i="98"/>
  <c r="K171" i="98"/>
  <c r="K172" i="98"/>
  <c r="K221" i="98"/>
  <c r="J224" i="98"/>
  <c r="M224" i="98" s="1"/>
  <c r="M223" i="98"/>
  <c r="K222" i="98"/>
  <c r="K219" i="98"/>
  <c r="K220" i="98"/>
  <c r="M53" i="98"/>
  <c r="J54" i="98"/>
  <c r="K49" i="98"/>
  <c r="K52" i="98"/>
  <c r="K50" i="98"/>
  <c r="K51" i="98"/>
  <c r="K152" i="98"/>
  <c r="J154" i="98"/>
  <c r="K151" i="98"/>
  <c r="M153" i="98"/>
  <c r="K149" i="98"/>
  <c r="K150" i="98"/>
  <c r="J104" i="98"/>
  <c r="M103" i="98"/>
  <c r="K99" i="98"/>
  <c r="K100" i="98"/>
  <c r="K101" i="98"/>
  <c r="K102" i="98"/>
  <c r="K249" i="98"/>
  <c r="K250" i="98"/>
  <c r="J254" i="98"/>
  <c r="M254" i="98" s="1"/>
  <c r="K252" i="98"/>
  <c r="M253" i="98"/>
  <c r="K251" i="98"/>
  <c r="K201" i="98"/>
  <c r="K202" i="98"/>
  <c r="K199" i="98"/>
  <c r="K200" i="98"/>
  <c r="M203" i="98"/>
  <c r="J204" i="98"/>
  <c r="M543" i="66"/>
  <c r="O230" i="98" a="1"/>
  <c r="O230" i="98" s="1"/>
  <c r="H230" i="98" a="1"/>
  <c r="H230" i="98" s="1"/>
  <c r="J23" i="98"/>
  <c r="D68" i="83" a="1"/>
  <c r="D68" i="83" s="1"/>
  <c r="M343" i="66"/>
  <c r="M294" i="66"/>
  <c r="M399" i="66"/>
  <c r="AL36" i="115" a="1"/>
  <c r="AL36" i="115" s="1"/>
  <c r="M444" i="66"/>
  <c r="M270" i="66"/>
  <c r="T36" i="115" a="1"/>
  <c r="T36" i="115" s="1"/>
  <c r="M375" i="66"/>
  <c r="T36" i="116" a="1"/>
  <c r="T36" i="116" s="1"/>
  <c r="J42" i="66"/>
  <c r="U35" i="108" s="1" a="1"/>
  <c r="U35" i="108" s="1"/>
  <c r="J102" i="66"/>
  <c r="AM35" i="108" s="1" a="1"/>
  <c r="AM35" i="108" s="1"/>
  <c r="J180" i="66"/>
  <c r="Q176" i="52"/>
  <c r="Q177" i="52" s="1"/>
  <c r="Q178" i="52" s="1"/>
  <c r="M127" i="52"/>
  <c r="Q128" i="52"/>
  <c r="M412" i="66"/>
  <c r="M493" i="66"/>
  <c r="M307" i="66"/>
  <c r="M115" i="66"/>
  <c r="M193" i="66"/>
  <c r="H41" i="98" a="1"/>
  <c r="H41" i="98" s="1"/>
  <c r="O41" i="98" a="1"/>
  <c r="O41" i="98" s="1"/>
  <c r="B112" i="98"/>
  <c r="B113" i="98" s="1"/>
  <c r="O111" i="98" a="1"/>
  <c r="O111" i="98" s="1"/>
  <c r="H111" i="98" a="1"/>
  <c r="H111" i="98" s="1"/>
  <c r="B92" i="98"/>
  <c r="O91" i="98" a="1"/>
  <c r="O91" i="98" s="1"/>
  <c r="H91" i="98" a="1"/>
  <c r="H91" i="98" s="1"/>
  <c r="H240" i="98" a="1"/>
  <c r="H240" i="98" s="1"/>
  <c r="O240" i="98" a="1"/>
  <c r="O240" i="98" s="1"/>
  <c r="O10" i="98" a="1"/>
  <c r="O10" i="98" s="1"/>
  <c r="H10" i="98" a="1"/>
  <c r="H10" i="98" s="1"/>
  <c r="O141" i="98" a="1"/>
  <c r="O141" i="98" s="1"/>
  <c r="H141" i="98" a="1"/>
  <c r="H141" i="98" s="1"/>
  <c r="B62" i="98"/>
  <c r="O61" i="98" a="1"/>
  <c r="O61" i="98" s="1"/>
  <c r="H61" i="98" a="1"/>
  <c r="H61" i="98" s="1"/>
  <c r="B11" i="98"/>
  <c r="B192" i="98"/>
  <c r="H191" i="98" a="1"/>
  <c r="H191" i="98" s="1"/>
  <c r="O191" i="98" a="1"/>
  <c r="O191" i="98" s="1"/>
  <c r="B231" i="98"/>
  <c r="B212" i="98"/>
  <c r="B213" i="98" s="1"/>
  <c r="O211" i="98" a="1"/>
  <c r="O211" i="98" s="1"/>
  <c r="H211" i="98" a="1"/>
  <c r="H211" i="98" s="1"/>
  <c r="B162" i="98"/>
  <c r="O161" i="98" a="1"/>
  <c r="O161" i="98" s="1"/>
  <c r="H161" i="98" a="1"/>
  <c r="H161" i="98" s="1"/>
  <c r="H210" i="98" a="1"/>
  <c r="H210" i="98" s="1"/>
  <c r="O210" i="98" a="1"/>
  <c r="O210" i="98" s="1"/>
  <c r="O60" i="98" a="1"/>
  <c r="O60" i="98" s="1"/>
  <c r="H60" i="98" a="1"/>
  <c r="H60" i="98" s="1"/>
  <c r="O40" i="98" a="1"/>
  <c r="O40" i="98" s="1"/>
  <c r="H40" i="98" a="1"/>
  <c r="H40" i="98" s="1"/>
  <c r="O190" i="98" a="1"/>
  <c r="O190" i="98" s="1"/>
  <c r="H190" i="98" a="1"/>
  <c r="H190" i="98" s="1"/>
  <c r="H160" i="98" a="1"/>
  <c r="H160" i="98" s="1"/>
  <c r="O160" i="98" a="1"/>
  <c r="O160" i="98" s="1"/>
  <c r="O140" i="98" a="1"/>
  <c r="O140" i="98" s="1"/>
  <c r="H140" i="98" a="1"/>
  <c r="H140" i="98" s="1"/>
  <c r="H110" i="98" a="1"/>
  <c r="H110" i="98" s="1"/>
  <c r="O110" i="98" a="1"/>
  <c r="O110" i="98" s="1"/>
  <c r="H90" i="98" a="1"/>
  <c r="H90" i="98" s="1"/>
  <c r="O90" i="98" a="1"/>
  <c r="O90" i="98" s="1"/>
  <c r="Q179" i="66"/>
  <c r="Q180" i="66" s="1"/>
  <c r="M247" i="66"/>
  <c r="K173" i="66"/>
  <c r="M178" i="66"/>
  <c r="B142" i="98"/>
  <c r="C43" i="98"/>
  <c r="C44" i="98" s="1"/>
  <c r="C45" i="98" s="1"/>
  <c r="C46" i="98" s="1"/>
  <c r="C47" i="98" s="1"/>
  <c r="B163" i="98"/>
  <c r="B63" i="98"/>
  <c r="B42" i="98"/>
  <c r="B241" i="98"/>
  <c r="AG35" i="108" l="1"/>
  <c r="J54" i="83" a="1"/>
  <c r="J54" i="83" s="1"/>
  <c r="J47" i="120" a="1"/>
  <c r="J47" i="120" s="1"/>
  <c r="AP35" i="108"/>
  <c r="W35" i="116"/>
  <c r="W31" i="121"/>
  <c r="Q283" i="52"/>
  <c r="X35" i="108"/>
  <c r="AQ36" i="113" a="1"/>
  <c r="AQ36" i="113" s="1"/>
  <c r="AP36" i="113" s="1"/>
  <c r="P63" i="108"/>
  <c r="P66" i="108"/>
  <c r="R66" i="108" s="1"/>
  <c r="Q56" i="108"/>
  <c r="Q65" i="52"/>
  <c r="Q31" i="52"/>
  <c r="M30" i="52"/>
  <c r="R28" i="52"/>
  <c r="BE25" i="121"/>
  <c r="BF25" i="121" s="1"/>
  <c r="J61" i="83" a="1"/>
  <c r="J61" i="83" s="1"/>
  <c r="AF35" i="113"/>
  <c r="AF16" i="57" s="1" a="1"/>
  <c r="AF16" i="57" s="1"/>
  <c r="N35" i="114"/>
  <c r="AF11" i="57" s="1" a="1"/>
  <c r="AF11" i="57" s="1"/>
  <c r="AF35" i="114"/>
  <c r="AF17" i="57" s="1" a="1"/>
  <c r="AF17" i="57" s="1"/>
  <c r="J75" i="83" a="1"/>
  <c r="J75" i="83" s="1"/>
  <c r="J54" i="120" a="1"/>
  <c r="J54" i="120" s="1"/>
  <c r="X36" i="116"/>
  <c r="AO36" i="115"/>
  <c r="AP36" i="115"/>
  <c r="J125" i="98"/>
  <c r="M125" i="98" s="1"/>
  <c r="J75" i="98"/>
  <c r="M75" i="98" s="1"/>
  <c r="AF15" i="57" a="1"/>
  <c r="AF15" i="57" s="1"/>
  <c r="W36" i="116"/>
  <c r="J68" i="120" a="1"/>
  <c r="J68" i="120" s="1"/>
  <c r="J225" i="98"/>
  <c r="M225" i="98" s="1"/>
  <c r="J175" i="98"/>
  <c r="M175" i="98" s="1"/>
  <c r="J105" i="98"/>
  <c r="M105" i="98" s="1"/>
  <c r="M104" i="98"/>
  <c r="M102" i="66"/>
  <c r="J255" i="98"/>
  <c r="M255" i="98" s="1"/>
  <c r="J55" i="98"/>
  <c r="M54" i="98"/>
  <c r="J205" i="98"/>
  <c r="M204" i="98"/>
  <c r="J155" i="98"/>
  <c r="M154" i="98"/>
  <c r="B12" i="98"/>
  <c r="H231" i="98" a="1"/>
  <c r="H231" i="98" s="1"/>
  <c r="O231" i="98" a="1"/>
  <c r="O231" i="98" s="1"/>
  <c r="K22" i="98"/>
  <c r="J24" i="98"/>
  <c r="M23" i="98"/>
  <c r="K19" i="98"/>
  <c r="K21" i="98"/>
  <c r="K20" i="98"/>
  <c r="M42" i="66"/>
  <c r="BA8" i="121"/>
  <c r="D47" i="120" a="1"/>
  <c r="D47" i="120" s="1"/>
  <c r="D61" i="83" a="1"/>
  <c r="D61" i="83" s="1"/>
  <c r="D54" i="83" a="1"/>
  <c r="D54" i="83" s="1"/>
  <c r="D54" i="120" a="1"/>
  <c r="D54" i="120" s="1"/>
  <c r="M128" i="52"/>
  <c r="M180" i="66"/>
  <c r="D61" i="120" a="1"/>
  <c r="D61" i="120" s="1"/>
  <c r="D68" i="120" a="1"/>
  <c r="D68" i="120" s="1"/>
  <c r="AF10" i="57" a="1"/>
  <c r="AF10" i="57" s="1"/>
  <c r="H42" i="98" a="1"/>
  <c r="H42" i="98" s="1"/>
  <c r="H43" i="98" s="1"/>
  <c r="AD55" i="108" s="1" a="1"/>
  <c r="AD55" i="108" s="1"/>
  <c r="O42" i="98" a="1"/>
  <c r="O42" i="98" s="1"/>
  <c r="O162" i="98" a="1"/>
  <c r="O162" i="98" s="1"/>
  <c r="H162" i="98" a="1"/>
  <c r="H162" i="98" s="1"/>
  <c r="H212" i="98" a="1"/>
  <c r="H212" i="98" s="1"/>
  <c r="O212" i="98" a="1"/>
  <c r="O212" i="98" s="1"/>
  <c r="B93" i="98"/>
  <c r="B94" i="98" s="1"/>
  <c r="H92" i="98" a="1"/>
  <c r="H92" i="98" s="1"/>
  <c r="O92" i="98" a="1"/>
  <c r="O92" i="98" s="1"/>
  <c r="O112" i="98" a="1"/>
  <c r="O112" i="98" s="1"/>
  <c r="H112" i="98" a="1"/>
  <c r="H112" i="98" s="1"/>
  <c r="B242" i="98"/>
  <c r="O241" i="98" a="1"/>
  <c r="O241" i="98" s="1"/>
  <c r="H241" i="98" a="1"/>
  <c r="H241" i="98" s="1"/>
  <c r="B232" i="98"/>
  <c r="B193" i="98"/>
  <c r="B194" i="98" s="1"/>
  <c r="O192" i="98" a="1"/>
  <c r="O192" i="98" s="1"/>
  <c r="H192" i="98" a="1"/>
  <c r="H192" i="98" s="1"/>
  <c r="O62" i="98" a="1"/>
  <c r="O62" i="98" s="1"/>
  <c r="H62" i="98" a="1"/>
  <c r="H62" i="98" s="1"/>
  <c r="B13" i="98"/>
  <c r="B14" i="98" s="1"/>
  <c r="O12" i="98" a="1"/>
  <c r="O12" i="98" s="1"/>
  <c r="H12" i="98" a="1"/>
  <c r="H12" i="98" s="1"/>
  <c r="H142" i="98" a="1"/>
  <c r="H142" i="98" s="1"/>
  <c r="O142" i="98" a="1"/>
  <c r="O142" i="98" s="1"/>
  <c r="H11" i="98" a="1"/>
  <c r="H11" i="98" s="1"/>
  <c r="O11" i="98" a="1"/>
  <c r="O11" i="98" s="1"/>
  <c r="B143" i="98"/>
  <c r="B144" i="98" s="1"/>
  <c r="B43" i="98"/>
  <c r="B44" i="98" s="1"/>
  <c r="B164" i="98"/>
  <c r="B214" i="98"/>
  <c r="B64" i="98"/>
  <c r="B114" i="98"/>
  <c r="P36" i="116" l="1" a="1"/>
  <c r="P36" i="116" s="1"/>
  <c r="AA32" i="121" s="1"/>
  <c r="AB32" i="121" s="1"/>
  <c r="M283" i="52"/>
  <c r="BA14" i="121"/>
  <c r="BE14" i="121" s="1"/>
  <c r="BF14" i="121" s="1"/>
  <c r="AO36" i="113"/>
  <c r="M65" i="52"/>
  <c r="AI36" i="108" a="1"/>
  <c r="AI36" i="108" s="1"/>
  <c r="Q57" i="108"/>
  <c r="Q61" i="108" s="1"/>
  <c r="Q69" i="108"/>
  <c r="Q32" i="52"/>
  <c r="M31" i="52"/>
  <c r="BE8" i="121"/>
  <c r="BF8" i="121" s="1"/>
  <c r="AA31" i="121"/>
  <c r="AB31" i="121" s="1"/>
  <c r="J76" i="98"/>
  <c r="M76" i="98" s="1"/>
  <c r="J126" i="98"/>
  <c r="M126" i="98" s="1"/>
  <c r="J226" i="98"/>
  <c r="M226" i="98" s="1"/>
  <c r="BA13" i="121"/>
  <c r="M205" i="98"/>
  <c r="J206" i="98"/>
  <c r="M206" i="98" s="1"/>
  <c r="J56" i="98"/>
  <c r="M56" i="98" s="1"/>
  <c r="M55" i="98"/>
  <c r="J106" i="98"/>
  <c r="M106" i="98" s="1"/>
  <c r="J256" i="98"/>
  <c r="M256" i="98" s="1"/>
  <c r="J176" i="98"/>
  <c r="M176" i="98" s="1"/>
  <c r="J156" i="98"/>
  <c r="M156" i="98" s="1"/>
  <c r="M155" i="98"/>
  <c r="O232" i="98" a="1"/>
  <c r="O232" i="98" s="1"/>
  <c r="H232" i="98" a="1"/>
  <c r="H232" i="98" s="1"/>
  <c r="M55" i="108" a="1"/>
  <c r="M55" i="108" s="1"/>
  <c r="J25" i="98"/>
  <c r="M24" i="98"/>
  <c r="H13" i="98"/>
  <c r="L55" i="108" s="1" a="1"/>
  <c r="L55" i="108" s="1"/>
  <c r="B233" i="98"/>
  <c r="B234" i="98" s="1"/>
  <c r="B235" i="98" s="1"/>
  <c r="B236" i="98" s="1"/>
  <c r="B237" i="98" s="1"/>
  <c r="B243" i="98"/>
  <c r="B244" i="98" s="1"/>
  <c r="B245" i="98" s="1"/>
  <c r="B246" i="98" s="1"/>
  <c r="B247" i="98" s="1"/>
  <c r="H242" i="98" a="1"/>
  <c r="H242" i="98" s="1"/>
  <c r="O242" i="98" a="1"/>
  <c r="O242" i="98" s="1"/>
  <c r="B195" i="98"/>
  <c r="B196" i="98" s="1"/>
  <c r="B197" i="98" s="1"/>
  <c r="B65" i="98"/>
  <c r="B66" i="98" s="1"/>
  <c r="B67" i="98" s="1"/>
  <c r="B187" i="98"/>
  <c r="B115" i="98"/>
  <c r="B45" i="98"/>
  <c r="B46" i="98" s="1"/>
  <c r="B47" i="98" s="1"/>
  <c r="B15" i="98"/>
  <c r="B16" i="98" s="1"/>
  <c r="B17" i="98" s="1"/>
  <c r="B215" i="98"/>
  <c r="B216" i="98" s="1"/>
  <c r="B217" i="98" s="1"/>
  <c r="B165" i="98"/>
  <c r="B166" i="98" s="1"/>
  <c r="B167" i="98" s="1"/>
  <c r="B137" i="98"/>
  <c r="B87" i="98"/>
  <c r="B145" i="98"/>
  <c r="B146" i="98" s="1"/>
  <c r="B147" i="98" s="1"/>
  <c r="B95" i="98"/>
  <c r="B96" i="98" s="1"/>
  <c r="B97" i="98" s="1"/>
  <c r="Q36" i="108" l="1" a="1"/>
  <c r="Q36" i="108" s="1"/>
  <c r="M56" i="108"/>
  <c r="M57" i="108" s="1"/>
  <c r="M61" i="108" s="1"/>
  <c r="M68" i="108"/>
  <c r="M32" i="52"/>
  <c r="C8" i="124"/>
  <c r="C11" i="124" s="1"/>
  <c r="BE13" i="121"/>
  <c r="BF13" i="121" s="1"/>
  <c r="W55" i="108" a="1"/>
  <c r="W55" i="108" s="1"/>
  <c r="V55" i="114" a="1"/>
  <c r="V55" i="114" s="1"/>
  <c r="AM55" i="115" a="1"/>
  <c r="AM55" i="115" s="1"/>
  <c r="AM56" i="115" s="1"/>
  <c r="AN55" i="115" a="1"/>
  <c r="AN55" i="115" s="1"/>
  <c r="AN56" i="115" s="1"/>
  <c r="AL55" i="115" a="1"/>
  <c r="AL55" i="115" s="1"/>
  <c r="AL56" i="115" s="1"/>
  <c r="AN55" i="116" a="1"/>
  <c r="AN55" i="116" s="1"/>
  <c r="AL55" i="116" a="1"/>
  <c r="AL55" i="116" s="1"/>
  <c r="AM55" i="116" a="1"/>
  <c r="AM55" i="116" s="1"/>
  <c r="AQ38" i="116" a="1"/>
  <c r="AQ38" i="116" s="1"/>
  <c r="S55" i="116" a="1"/>
  <c r="S55" i="116" s="1"/>
  <c r="T55" i="114" a="1"/>
  <c r="T55" i="114" s="1"/>
  <c r="S55" i="115" a="1"/>
  <c r="S55" i="115" s="1"/>
  <c r="S56" i="115" s="1"/>
  <c r="AV55" i="113" a="1"/>
  <c r="AV55" i="113" s="1"/>
  <c r="AM38" i="108" a="1"/>
  <c r="AM38" i="108" s="1"/>
  <c r="Z55" i="108" a="1"/>
  <c r="Z55" i="108" s="1"/>
  <c r="B116" i="98"/>
  <c r="B257" i="98"/>
  <c r="L55" i="113" a="1"/>
  <c r="L55" i="113" s="1"/>
  <c r="AI55" i="108" a="1"/>
  <c r="AI55" i="108" s="1"/>
  <c r="AI68" i="108" s="1"/>
  <c r="BN55" i="113" a="1"/>
  <c r="BN55" i="113" s="1"/>
  <c r="BN56" i="113" s="1"/>
  <c r="BA55" i="113" a="1"/>
  <c r="BA55" i="113" s="1"/>
  <c r="AX55" i="113" a="1"/>
  <c r="AX55" i="113" s="1"/>
  <c r="AA55" i="113" a="1"/>
  <c r="AA55" i="113" s="1"/>
  <c r="AE55" i="113" a="1"/>
  <c r="AE55" i="113" s="1"/>
  <c r="AU55" i="113" a="1"/>
  <c r="AU55" i="113" s="1"/>
  <c r="T38" i="113" a="1"/>
  <c r="T38" i="113" s="1"/>
  <c r="U57" i="108"/>
  <c r="AD55" i="113" a="1"/>
  <c r="AD55" i="113" s="1"/>
  <c r="AB55" i="113" a="1"/>
  <c r="AB55" i="113" s="1"/>
  <c r="U55" i="114" a="1"/>
  <c r="U55" i="114" s="1"/>
  <c r="AC55" i="113" a="1"/>
  <c r="AC55" i="113" s="1"/>
  <c r="AE55" i="108" a="1"/>
  <c r="AE55" i="108" s="1"/>
  <c r="AE68" i="108" s="1"/>
  <c r="AK55" i="113" a="1"/>
  <c r="AK55" i="113" s="1"/>
  <c r="L55" i="114" a="1"/>
  <c r="L55" i="114" s="1"/>
  <c r="Y55" i="113" a="1"/>
  <c r="Y55" i="113" s="1"/>
  <c r="P55" i="113" a="1"/>
  <c r="P55" i="113" s="1"/>
  <c r="AW55" i="113" a="1"/>
  <c r="AW55" i="113" s="1"/>
  <c r="BM55" i="113" a="1"/>
  <c r="BM55" i="113" s="1"/>
  <c r="BM56" i="113" s="1"/>
  <c r="P55" i="114" a="1"/>
  <c r="P55" i="114" s="1"/>
  <c r="AL38" i="113" a="1"/>
  <c r="AL38" i="113" s="1"/>
  <c r="AO55" i="113" a="1"/>
  <c r="AO55" i="113" s="1"/>
  <c r="Z38" i="108" a="1"/>
  <c r="Z38" i="108" s="1"/>
  <c r="BA55" i="108" a="1"/>
  <c r="BA55" i="108" s="1"/>
  <c r="M25" i="98"/>
  <c r="J26" i="98"/>
  <c r="L68" i="108"/>
  <c r="F10" i="93"/>
  <c r="M69" i="108" l="1"/>
  <c r="N68" i="108"/>
  <c r="AZ56" i="108"/>
  <c r="AZ58" i="108" s="1"/>
  <c r="Y56" i="108"/>
  <c r="Y57" i="108" s="1"/>
  <c r="Y61" i="108" s="1"/>
  <c r="V56" i="108"/>
  <c r="V57" i="108" s="1"/>
  <c r="BL55" i="113"/>
  <c r="B117" i="98"/>
  <c r="Y38" i="114" a="1"/>
  <c r="Y38" i="114" s="1"/>
  <c r="AQ56" i="108"/>
  <c r="AQ57" i="108" s="1"/>
  <c r="M27" i="124" s="1"/>
  <c r="AQ38" i="113" a="1"/>
  <c r="AQ38" i="113" s="1"/>
  <c r="AX55" i="116" a="1"/>
  <c r="AX55" i="116" s="1"/>
  <c r="AX56" i="116" s="1"/>
  <c r="AX58" i="116" s="1"/>
  <c r="T56" i="113"/>
  <c r="AT55" i="113" a="1"/>
  <c r="AT55" i="113" s="1"/>
  <c r="AT56" i="113" s="1"/>
  <c r="Y38" i="113" a="1"/>
  <c r="Y38" i="113" s="1"/>
  <c r="AR38" i="108" a="1"/>
  <c r="AR38" i="108" s="1"/>
  <c r="BK55" i="113" a="1"/>
  <c r="BK55" i="113" s="1"/>
  <c r="BK56" i="113" s="1"/>
  <c r="W10" i="121"/>
  <c r="M26" i="98"/>
  <c r="U38" i="108" a="1"/>
  <c r="U38" i="108" s="1"/>
  <c r="Y38" i="108" s="1"/>
  <c r="L56" i="108"/>
  <c r="L57" i="108" l="1"/>
  <c r="L61" i="108" s="1"/>
  <c r="L62" i="108" s="1"/>
  <c r="L69" i="108"/>
  <c r="N69" i="108" s="1"/>
  <c r="N64" i="108" s="1"/>
  <c r="AA10" i="121"/>
  <c r="AB10" i="121" s="1"/>
  <c r="AO38" i="113"/>
  <c r="AP38" i="113"/>
  <c r="AL57" i="108"/>
  <c r="W38" i="113"/>
  <c r="X38" i="113"/>
  <c r="AP38" i="108"/>
  <c r="AQ38" i="108"/>
  <c r="M7" i="124"/>
  <c r="T7" i="124"/>
  <c r="BK58" i="113"/>
  <c r="X38" i="108"/>
  <c r="AP55" i="116" a="1"/>
  <c r="AP55" i="116" s="1"/>
  <c r="AK55" i="116" a="1"/>
  <c r="AK55" i="116" s="1"/>
  <c r="AY55" i="115" a="1"/>
  <c r="AY55" i="115" s="1"/>
  <c r="AY56" i="115" s="1"/>
  <c r="AY58" i="115" s="1"/>
  <c r="F68" i="135" a="1"/>
  <c r="F68" i="135" s="1"/>
  <c r="F69" i="135" s="1"/>
  <c r="G28" i="135" a="1"/>
  <c r="G28" i="135" s="1"/>
  <c r="G29" i="135" s="1"/>
  <c r="AL38" i="114" a="1"/>
  <c r="AL38" i="114" s="1"/>
  <c r="AP55" i="115" a="1"/>
  <c r="AP55" i="115" s="1"/>
  <c r="AP56" i="115" s="1"/>
  <c r="AP57" i="115" s="1"/>
  <c r="AP61" i="115" s="1"/>
  <c r="L55" i="116" a="1"/>
  <c r="L55" i="116" s="1"/>
  <c r="Y55" i="115" a="1"/>
  <c r="Y55" i="115" s="1"/>
  <c r="Y56" i="115" s="1"/>
  <c r="Y57" i="115" s="1"/>
  <c r="Y61" i="115" s="1"/>
  <c r="G68" i="135" a="1"/>
  <c r="G68" i="135" s="1"/>
  <c r="G69" i="135" s="1"/>
  <c r="AP55" i="114" a="1"/>
  <c r="AP55" i="114" s="1"/>
  <c r="AK55" i="114" a="1"/>
  <c r="AK55" i="114" s="1"/>
  <c r="BC55" i="113" a="1"/>
  <c r="BC55" i="113" s="1"/>
  <c r="U55" i="113" a="1"/>
  <c r="U55" i="113" s="1"/>
  <c r="F130" i="135" a="1"/>
  <c r="F130" i="135" s="1"/>
  <c r="L148" i="135" a="1"/>
  <c r="L148" i="135" s="1"/>
  <c r="F148" i="135" a="1"/>
  <c r="F148" i="135" s="1"/>
  <c r="K10" i="135" a="1"/>
  <c r="K10" i="135" s="1"/>
  <c r="K11" i="135" s="1"/>
  <c r="K13" i="135" s="1"/>
  <c r="M47" i="124" s="1" a="1"/>
  <c r="M47" i="124" s="1"/>
  <c r="AA55" i="116" a="1"/>
  <c r="AA55" i="116" s="1"/>
  <c r="L156" i="135" a="1"/>
  <c r="L156" i="135" s="1"/>
  <c r="AS55" i="115" a="1"/>
  <c r="AS55" i="115" s="1"/>
  <c r="AS56" i="115" s="1"/>
  <c r="AS57" i="115" s="1"/>
  <c r="L19" i="135" a="1"/>
  <c r="L19" i="135" s="1"/>
  <c r="L20" i="135" s="1"/>
  <c r="L22" i="135" s="1"/>
  <c r="Z55" i="114" a="1"/>
  <c r="Z55" i="114" s="1"/>
  <c r="G156" i="135" a="1"/>
  <c r="G156" i="135" s="1"/>
  <c r="T38" i="116" a="1"/>
  <c r="T38" i="116" s="1"/>
  <c r="U55" i="116" a="1"/>
  <c r="U55" i="116" s="1"/>
  <c r="L68" i="135" a="1"/>
  <c r="L68" i="135" s="1"/>
  <c r="L69" i="135" s="1"/>
  <c r="L71" i="135" s="1"/>
  <c r="K170" i="135" a="1"/>
  <c r="K170" i="135" s="1"/>
  <c r="AR55" i="115" a="1"/>
  <c r="AR55" i="115" s="1"/>
  <c r="AR56" i="115" s="1"/>
  <c r="AR57" i="115" s="1"/>
  <c r="AQ55" i="114" a="1"/>
  <c r="AQ55" i="114" s="1"/>
  <c r="AQ56" i="114" s="1"/>
  <c r="AQ57" i="114" s="1"/>
  <c r="L130" i="135" a="1"/>
  <c r="L130" i="135" s="1"/>
  <c r="AN57" i="115"/>
  <c r="AN61" i="115" s="1"/>
  <c r="G36" i="135" a="1"/>
  <c r="G36" i="135" s="1"/>
  <c r="G37" i="135" s="1"/>
  <c r="T55" i="116" a="1"/>
  <c r="T55" i="116" s="1"/>
  <c r="AM57" i="108"/>
  <c r="BD55" i="113" a="1"/>
  <c r="BD55" i="113" s="1"/>
  <c r="X55" i="115" a="1"/>
  <c r="X55" i="115" s="1"/>
  <c r="X56" i="115" s="1"/>
  <c r="X57" i="115" s="1"/>
  <c r="AL55" i="114" a="1"/>
  <c r="AL55" i="114" s="1"/>
  <c r="AL56" i="114" s="1"/>
  <c r="AL57" i="114" s="1"/>
  <c r="AL61" i="114" s="1"/>
  <c r="Y38" i="115" a="1"/>
  <c r="Y38" i="115" s="1"/>
  <c r="BA55" i="115" a="1"/>
  <c r="BA55" i="115" s="1"/>
  <c r="BA56" i="115" s="1"/>
  <c r="AH55" i="115" a="1"/>
  <c r="AH55" i="115" s="1"/>
  <c r="F90" i="135" a="1"/>
  <c r="F90" i="135" s="1"/>
  <c r="W55" i="113" a="1"/>
  <c r="W55" i="113" s="1"/>
  <c r="Y38" i="116" a="1"/>
  <c r="Y38" i="116" s="1"/>
  <c r="W34" i="121" s="1"/>
  <c r="AR55" i="114" a="1"/>
  <c r="AR55" i="114" s="1"/>
  <c r="AR56" i="114" s="1"/>
  <c r="AR57" i="114" s="1"/>
  <c r="AM57" i="115"/>
  <c r="AM61" i="115" s="1"/>
  <c r="BB55" i="108" a="1"/>
  <c r="BB55" i="108" s="1"/>
  <c r="T55" i="115" a="1"/>
  <c r="T55" i="115" s="1"/>
  <c r="V55" i="116" a="1"/>
  <c r="V55" i="116" s="1"/>
  <c r="AR55" i="108" a="1"/>
  <c r="AR55" i="108" s="1"/>
  <c r="AR56" i="108" s="1"/>
  <c r="AR57" i="108" s="1"/>
  <c r="N27" i="124" s="1"/>
  <c r="AM55" i="114" a="1"/>
  <c r="AM55" i="114" s="1"/>
  <c r="AM56" i="114" s="1"/>
  <c r="AM57" i="114" s="1"/>
  <c r="AM61" i="114" s="1"/>
  <c r="G108" i="135" a="1"/>
  <c r="G108" i="135" s="1"/>
  <c r="G109" i="135" s="1"/>
  <c r="F170" i="135" a="1"/>
  <c r="F170" i="135" s="1"/>
  <c r="K130" i="135" a="1"/>
  <c r="K130" i="135" s="1"/>
  <c r="K131" i="135" s="1"/>
  <c r="K133" i="135" s="1"/>
  <c r="M50" i="124" s="1" a="1"/>
  <c r="M50" i="124" s="1"/>
  <c r="G170" i="135" a="1"/>
  <c r="G170" i="135" s="1"/>
  <c r="G59" i="135" a="1"/>
  <c r="G59" i="135" s="1"/>
  <c r="G60" i="135" s="1"/>
  <c r="L59" i="135" a="1"/>
  <c r="L59" i="135" s="1"/>
  <c r="L60" i="135" s="1"/>
  <c r="L62" i="135" s="1"/>
  <c r="L170" i="135" a="1"/>
  <c r="L170" i="135" s="1"/>
  <c r="L108" i="135" a="1"/>
  <c r="L108" i="135" s="1"/>
  <c r="K28" i="135" a="1"/>
  <c r="K28" i="135" s="1"/>
  <c r="K29" i="135" s="1"/>
  <c r="K31" i="135" s="1"/>
  <c r="F76" i="135" a="1"/>
  <c r="F76" i="135" s="1"/>
  <c r="K36" i="135" a="1"/>
  <c r="K36" i="135" s="1"/>
  <c r="K37" i="135" s="1"/>
  <c r="K39" i="135" s="1"/>
  <c r="T38" i="114" a="1"/>
  <c r="T38" i="114" s="1"/>
  <c r="X38" i="114" s="1"/>
  <c r="G90" i="135" a="1"/>
  <c r="G90" i="135" s="1"/>
  <c r="G91" i="135" s="1"/>
  <c r="F19" i="135" a="1"/>
  <c r="F19" i="135" s="1"/>
  <c r="AD55" i="116" a="1"/>
  <c r="AD55" i="116" s="1"/>
  <c r="F139" i="135" a="1"/>
  <c r="F139" i="135" s="1"/>
  <c r="AD55" i="115" a="1"/>
  <c r="AD55" i="115" s="1"/>
  <c r="V55" i="113" a="1"/>
  <c r="V55" i="113" s="1"/>
  <c r="G19" i="135" a="1"/>
  <c r="G19" i="135" s="1"/>
  <c r="G20" i="135" s="1"/>
  <c r="K76" i="135" a="1"/>
  <c r="K76" i="135" s="1"/>
  <c r="K77" i="135" s="1"/>
  <c r="K79" i="135" s="1"/>
  <c r="F36" i="135" a="1"/>
  <c r="F36" i="135" s="1"/>
  <c r="AL57" i="115"/>
  <c r="AL61" i="115" s="1"/>
  <c r="G99" i="135" a="1"/>
  <c r="G99" i="135" s="1"/>
  <c r="G100" i="135" s="1"/>
  <c r="AZ55" i="114" a="1"/>
  <c r="AZ55" i="114" s="1"/>
  <c r="AZ56" i="114" s="1"/>
  <c r="F116" i="135" a="1"/>
  <c r="F116" i="135" s="1"/>
  <c r="T38" i="115" a="1"/>
  <c r="T38" i="115" s="1"/>
  <c r="K116" i="135" a="1"/>
  <c r="K116" i="135" s="1"/>
  <c r="K117" i="135" s="1"/>
  <c r="K119" i="135" s="1"/>
  <c r="AQ55" i="116" a="1"/>
  <c r="AQ55" i="116" s="1"/>
  <c r="X55" i="113" a="1"/>
  <c r="X55" i="113" s="1"/>
  <c r="U55" i="115" a="1"/>
  <c r="U55" i="115" s="1"/>
  <c r="Y55" i="116" a="1"/>
  <c r="Y55" i="116" s="1"/>
  <c r="Y56" i="116" s="1"/>
  <c r="Y57" i="116" s="1"/>
  <c r="Y55" i="114" a="1"/>
  <c r="Y55" i="114" s="1"/>
  <c r="Y56" i="114" s="1"/>
  <c r="Y57" i="114" s="1"/>
  <c r="K50" i="135" a="1"/>
  <c r="K50" i="135" s="1"/>
  <c r="K51" i="135" s="1"/>
  <c r="K53" i="135" s="1"/>
  <c r="M48" i="124" s="1" a="1"/>
  <c r="M48" i="124" s="1"/>
  <c r="F99" i="135" a="1"/>
  <c r="F99" i="135" s="1"/>
  <c r="K19" i="135" a="1"/>
  <c r="K19" i="135" s="1"/>
  <c r="K20" i="135" s="1"/>
  <c r="K22" i="135" s="1"/>
  <c r="Q47" i="124" s="1" a="1"/>
  <c r="Q47" i="124" s="1"/>
  <c r="F156" i="135" a="1"/>
  <c r="F156" i="135" s="1"/>
  <c r="AL38" i="115" a="1"/>
  <c r="AL38" i="115" s="1"/>
  <c r="K59" i="135" a="1"/>
  <c r="K59" i="135" s="1"/>
  <c r="K60" i="135" s="1"/>
  <c r="K62" i="135" s="1"/>
  <c r="Q48" i="124" s="1" a="1"/>
  <c r="Q48" i="124" s="1"/>
  <c r="V56" i="114"/>
  <c r="BA55" i="114" a="1"/>
  <c r="BA55" i="114" s="1"/>
  <c r="BA56" i="114" s="1"/>
  <c r="L76" i="135" a="1"/>
  <c r="L76" i="135" s="1"/>
  <c r="L77" i="135" s="1"/>
  <c r="L79" i="135" s="1"/>
  <c r="AL38" i="116" a="1"/>
  <c r="AL38" i="116" s="1"/>
  <c r="AP38" i="116" s="1"/>
  <c r="BE55" i="113" a="1"/>
  <c r="BE55" i="113" s="1"/>
  <c r="P55" i="115" a="1"/>
  <c r="P55" i="115" s="1"/>
  <c r="P68" i="115" s="1"/>
  <c r="AR55" i="116" a="1"/>
  <c r="AR55" i="116" s="1"/>
  <c r="G148" i="135" a="1"/>
  <c r="G148" i="135" s="1"/>
  <c r="L90" i="135" a="1"/>
  <c r="L90" i="135" s="1"/>
  <c r="L91" i="135" s="1"/>
  <c r="L93" i="135" s="1"/>
  <c r="L116" i="135" a="1"/>
  <c r="L116" i="135" s="1"/>
  <c r="L117" i="135" s="1"/>
  <c r="L119" i="135" s="1"/>
  <c r="BA55" i="116" a="1"/>
  <c r="BA55" i="116" s="1"/>
  <c r="BA56" i="116" s="1"/>
  <c r="G130" i="135" a="1"/>
  <c r="G130" i="135" s="1"/>
  <c r="K156" i="135" a="1"/>
  <c r="K156" i="135" s="1"/>
  <c r="AA55" i="108" a="1"/>
  <c r="AA55" i="108" s="1"/>
  <c r="AH55" i="114" a="1"/>
  <c r="AH55" i="114" s="1"/>
  <c r="L28" i="135" a="1"/>
  <c r="L28" i="135" s="1"/>
  <c r="L29" i="135" s="1"/>
  <c r="L31" i="135" s="1"/>
  <c r="Z55" i="115" a="1"/>
  <c r="Z55" i="115" s="1"/>
  <c r="K148" i="135" a="1"/>
  <c r="K148" i="135" s="1"/>
  <c r="K149" i="135" s="1"/>
  <c r="K151" i="135" s="1"/>
  <c r="F10" i="135" a="1"/>
  <c r="F10" i="135" s="1"/>
  <c r="BB55" i="113" a="1"/>
  <c r="BB55" i="113" s="1"/>
  <c r="F108" i="135" a="1"/>
  <c r="F108" i="135" s="1"/>
  <c r="AZ55" i="116" a="1"/>
  <c r="AZ55" i="116" s="1"/>
  <c r="AZ56" i="116" s="1"/>
  <c r="F50" i="135" a="1"/>
  <c r="F50" i="135" s="1"/>
  <c r="Z55" i="116" a="1"/>
  <c r="Z55" i="116" s="1"/>
  <c r="L99" i="135" a="1"/>
  <c r="L99" i="135" s="1"/>
  <c r="L100" i="135" s="1"/>
  <c r="L102" i="135" s="1"/>
  <c r="G139" i="135" a="1"/>
  <c r="G139" i="135" s="1"/>
  <c r="V55" i="115" a="1"/>
  <c r="V55" i="115" s="1"/>
  <c r="K68" i="135" a="1"/>
  <c r="K68" i="135" s="1"/>
  <c r="K69" i="135" s="1"/>
  <c r="K71" i="135" s="1"/>
  <c r="K108" i="135" a="1"/>
  <c r="K108" i="135" s="1"/>
  <c r="K109" i="135" s="1"/>
  <c r="K111" i="135" s="1"/>
  <c r="X55" i="114" a="1"/>
  <c r="X55" i="114" s="1"/>
  <c r="K99" i="135" a="1"/>
  <c r="K99" i="135" s="1"/>
  <c r="K100" i="135" s="1"/>
  <c r="K102" i="135" s="1"/>
  <c r="Q49" i="124" s="1" a="1"/>
  <c r="Q49" i="124" s="1"/>
  <c r="F28" i="135" a="1"/>
  <c r="F28" i="135" s="1"/>
  <c r="X55" i="116" a="1"/>
  <c r="X55" i="116" s="1"/>
  <c r="X56" i="116" s="1"/>
  <c r="X57" i="116" s="1"/>
  <c r="G116" i="135" a="1"/>
  <c r="G116" i="135" s="1"/>
  <c r="G117" i="135" s="1"/>
  <c r="P55" i="116" a="1"/>
  <c r="P55" i="116" s="1"/>
  <c r="AQ38" i="115" a="1"/>
  <c r="AQ38" i="115" s="1"/>
  <c r="K90" i="135" a="1"/>
  <c r="K90" i="135" s="1"/>
  <c r="K91" i="135" s="1"/>
  <c r="K93" i="135" s="1"/>
  <c r="M49" i="124" s="1" a="1"/>
  <c r="M49" i="124" s="1"/>
  <c r="K139" i="135" a="1"/>
  <c r="K139" i="135" s="1"/>
  <c r="AQ55" i="115" a="1"/>
  <c r="AQ55" i="115" s="1"/>
  <c r="AQ56" i="115" s="1"/>
  <c r="AQ57" i="115" s="1"/>
  <c r="AH55" i="116" a="1"/>
  <c r="AH55" i="116" s="1"/>
  <c r="L55" i="115" a="1"/>
  <c r="L55" i="115" s="1"/>
  <c r="L68" i="115" s="1"/>
  <c r="F59" i="135" a="1"/>
  <c r="F59" i="135" s="1"/>
  <c r="L10" i="135" a="1"/>
  <c r="L10" i="135" s="1"/>
  <c r="L11" i="135" s="1"/>
  <c r="L13" i="135" s="1"/>
  <c r="AQ38" i="114" a="1"/>
  <c r="AQ38" i="114" s="1"/>
  <c r="AD55" i="114" a="1"/>
  <c r="AD55" i="114" s="1"/>
  <c r="G10" i="135" a="1"/>
  <c r="G10" i="135" s="1"/>
  <c r="G11" i="135" s="1"/>
  <c r="L36" i="135" a="1"/>
  <c r="L36" i="135" s="1"/>
  <c r="AS55" i="116" a="1"/>
  <c r="AS55" i="116" s="1"/>
  <c r="AA55" i="115" a="1"/>
  <c r="AA55" i="115" s="1"/>
  <c r="AZ55" i="115" a="1"/>
  <c r="AZ55" i="115" s="1"/>
  <c r="AZ56" i="115" s="1"/>
  <c r="L50" i="135" a="1"/>
  <c r="L50" i="135" s="1"/>
  <c r="L51" i="135" s="1"/>
  <c r="L53" i="135" s="1"/>
  <c r="BB55" i="115" a="1"/>
  <c r="BB55" i="115" s="1"/>
  <c r="BB56" i="115" s="1"/>
  <c r="G50" i="135" a="1"/>
  <c r="G50" i="135" s="1"/>
  <c r="G51" i="135" s="1"/>
  <c r="AN57" i="108"/>
  <c r="AS55" i="108" a="1"/>
  <c r="AS55" i="108" s="1"/>
  <c r="AS56" i="108" s="1"/>
  <c r="AS57" i="108" s="1"/>
  <c r="O27" i="124" s="1"/>
  <c r="W16" i="121"/>
  <c r="W22" i="121"/>
  <c r="AY55" i="114" a="1"/>
  <c r="AY55" i="114" s="1"/>
  <c r="BA10" i="121"/>
  <c r="BA16" i="121"/>
  <c r="AK55" i="115" a="1"/>
  <c r="AK55" i="115" s="1"/>
  <c r="G76" i="135" a="1"/>
  <c r="G76" i="135" s="1"/>
  <c r="G77" i="135" s="1"/>
  <c r="AY55" i="116" a="1"/>
  <c r="AY55" i="116" s="1"/>
  <c r="AY56" i="116" s="1"/>
  <c r="L139" i="135" a="1"/>
  <c r="L139" i="135" s="1"/>
  <c r="N31" i="135" l="1"/>
  <c r="N79" i="135"/>
  <c r="N119" i="135"/>
  <c r="N71" i="135"/>
  <c r="R49" i="124" a="1"/>
  <c r="R49" i="124" s="1"/>
  <c r="N102" i="135"/>
  <c r="N49" i="124" a="1"/>
  <c r="N49" i="124" s="1"/>
  <c r="N93" i="135"/>
  <c r="R47" i="124" a="1"/>
  <c r="R47" i="124" s="1"/>
  <c r="N22" i="135"/>
  <c r="R48" i="124" a="1"/>
  <c r="R48" i="124" s="1"/>
  <c r="N62" i="135"/>
  <c r="N47" i="124" a="1"/>
  <c r="N47" i="124" s="1"/>
  <c r="N13" i="135"/>
  <c r="N48" i="124" a="1"/>
  <c r="N48" i="124" s="1"/>
  <c r="N53" i="135"/>
  <c r="AP38" i="114"/>
  <c r="H156" i="135"/>
  <c r="AP38" i="115"/>
  <c r="AA16" i="121"/>
  <c r="AB16" i="121" s="1"/>
  <c r="BE16" i="121"/>
  <c r="BF16" i="121" s="1"/>
  <c r="BE10" i="121"/>
  <c r="BF10" i="121" s="1"/>
  <c r="AA22" i="121"/>
  <c r="AB22" i="121" s="1"/>
  <c r="H68" i="135"/>
  <c r="AA56" i="116"/>
  <c r="AA57" i="116" s="1"/>
  <c r="AA56" i="115"/>
  <c r="AA57" i="115" s="1"/>
  <c r="U56" i="115"/>
  <c r="U57" i="115" s="1"/>
  <c r="U61" i="115" s="1"/>
  <c r="V56" i="116"/>
  <c r="V57" i="116" s="1"/>
  <c r="V61" i="116" s="1"/>
  <c r="AK56" i="115"/>
  <c r="AK57" i="115" s="1"/>
  <c r="AK61" i="115" s="1"/>
  <c r="AK62" i="115" s="1"/>
  <c r="X38" i="116"/>
  <c r="X38" i="115"/>
  <c r="Z56" i="116"/>
  <c r="Z57" i="116" s="1"/>
  <c r="V56" i="115"/>
  <c r="V57" i="115" s="1"/>
  <c r="V61" i="115" s="1"/>
  <c r="Z56" i="114"/>
  <c r="Z57" i="114" s="1"/>
  <c r="Z56" i="115"/>
  <c r="Z57" i="115" s="1"/>
  <c r="U56" i="116"/>
  <c r="U57" i="116" s="1"/>
  <c r="U61" i="116" s="1"/>
  <c r="H69" i="135"/>
  <c r="AY56" i="114"/>
  <c r="AY58" i="114" s="1"/>
  <c r="W38" i="114"/>
  <c r="AO38" i="114"/>
  <c r="AO38" i="116"/>
  <c r="W38" i="116"/>
  <c r="AO38" i="115"/>
  <c r="W38" i="115"/>
  <c r="N16" i="124"/>
  <c r="M36" i="124"/>
  <c r="BA22" i="121"/>
  <c r="Y61" i="116"/>
  <c r="N19" i="124"/>
  <c r="T16" i="124"/>
  <c r="M16" i="124"/>
  <c r="X61" i="115"/>
  <c r="AS61" i="115"/>
  <c r="P36" i="124"/>
  <c r="H28" i="135"/>
  <c r="F29" i="135"/>
  <c r="H29" i="135" s="1"/>
  <c r="H10" i="135"/>
  <c r="F11" i="135"/>
  <c r="H11" i="135" s="1"/>
  <c r="H99" i="135"/>
  <c r="F100" i="135"/>
  <c r="H100" i="135" s="1"/>
  <c r="H36" i="135"/>
  <c r="F37" i="135"/>
  <c r="H37" i="135" s="1"/>
  <c r="H139" i="135"/>
  <c r="H170" i="135"/>
  <c r="H90" i="135"/>
  <c r="F91" i="135"/>
  <c r="H91" i="135" s="1"/>
  <c r="H148" i="135"/>
  <c r="F149" i="135"/>
  <c r="L37" i="135"/>
  <c r="L39" i="135" s="1"/>
  <c r="N39" i="135" s="1"/>
  <c r="BA28" i="121"/>
  <c r="O33" i="124"/>
  <c r="AR61" i="114"/>
  <c r="H50" i="135"/>
  <c r="F51" i="135"/>
  <c r="H51" i="135" s="1"/>
  <c r="H76" i="135"/>
  <c r="F77" i="135"/>
  <c r="H77" i="135" s="1"/>
  <c r="BA34" i="121"/>
  <c r="AQ61" i="115"/>
  <c r="N36" i="124"/>
  <c r="Y61" i="114"/>
  <c r="N13" i="124"/>
  <c r="W28" i="121"/>
  <c r="H130" i="135"/>
  <c r="F131" i="135"/>
  <c r="X56" i="114"/>
  <c r="X57" i="114" s="1"/>
  <c r="H116" i="135"/>
  <c r="F117" i="135"/>
  <c r="H117" i="135" s="1"/>
  <c r="L109" i="135"/>
  <c r="L111" i="135" s="1"/>
  <c r="N111" i="135" s="1"/>
  <c r="AQ61" i="114"/>
  <c r="N33" i="124"/>
  <c r="H59" i="135"/>
  <c r="F60" i="135"/>
  <c r="H60" i="135" s="1"/>
  <c r="X61" i="116"/>
  <c r="T19" i="124"/>
  <c r="M19" i="124"/>
  <c r="V57" i="114"/>
  <c r="V61" i="114" s="1"/>
  <c r="H19" i="135"/>
  <c r="F20" i="135"/>
  <c r="H20" i="135" s="1"/>
  <c r="H108" i="135"/>
  <c r="F109" i="135"/>
  <c r="H109" i="135" s="1"/>
  <c r="AR61" i="115"/>
  <c r="O36" i="124"/>
  <c r="BE34" i="121" l="1"/>
  <c r="BF34" i="121" s="1"/>
  <c r="AA28" i="121"/>
  <c r="AB28" i="121" s="1"/>
  <c r="BE28" i="121"/>
  <c r="BF28" i="121" s="1"/>
  <c r="BE22" i="121"/>
  <c r="BF22" i="121" s="1"/>
  <c r="H70" i="135"/>
  <c r="I68" i="135" s="1"/>
  <c r="Z61" i="116"/>
  <c r="O19" i="124"/>
  <c r="Z61" i="114"/>
  <c r="O13" i="124"/>
  <c r="AA61" i="116"/>
  <c r="P19" i="124"/>
  <c r="Z61" i="115"/>
  <c r="O16" i="124"/>
  <c r="AA61" i="115"/>
  <c r="P16" i="124"/>
  <c r="H92" i="135"/>
  <c r="I90" i="135" s="1"/>
  <c r="H38" i="135"/>
  <c r="H39" i="135" s="1"/>
  <c r="H30" i="135"/>
  <c r="H110" i="135"/>
  <c r="I109" i="135" s="1"/>
  <c r="X61" i="114"/>
  <c r="T13" i="124"/>
  <c r="M13" i="124"/>
  <c r="H21" i="135"/>
  <c r="H61" i="135"/>
  <c r="H118" i="135"/>
  <c r="H78" i="135"/>
  <c r="I76" i="135" s="1"/>
  <c r="H12" i="135"/>
  <c r="AP62" i="115"/>
  <c r="H52" i="135"/>
  <c r="I50" i="135" s="1"/>
  <c r="H101" i="135"/>
  <c r="I100" i="135" s="1"/>
  <c r="A73" i="83"/>
  <c r="A66" i="83"/>
  <c r="A59" i="83"/>
  <c r="A52" i="83"/>
  <c r="A45" i="83"/>
  <c r="I28" i="135" l="1"/>
  <c r="H31" i="135"/>
  <c r="X62" i="116"/>
  <c r="I136" i="135"/>
  <c r="I87" i="135"/>
  <c r="I113" i="135"/>
  <c r="I127" i="135"/>
  <c r="I105" i="135"/>
  <c r="I153" i="135"/>
  <c r="I145" i="135"/>
  <c r="I65" i="135"/>
  <c r="I73" i="135"/>
  <c r="I96" i="135"/>
  <c r="I167" i="135"/>
  <c r="I114" i="135"/>
  <c r="I74" i="135"/>
  <c r="I97" i="135"/>
  <c r="I106" i="135"/>
  <c r="I88" i="135"/>
  <c r="I66" i="135"/>
  <c r="I7" i="135"/>
  <c r="I16" i="135"/>
  <c r="I59" i="135"/>
  <c r="I57" i="135"/>
  <c r="I47" i="135"/>
  <c r="I56" i="135"/>
  <c r="I48" i="135"/>
  <c r="I37" i="135"/>
  <c r="I34" i="135"/>
  <c r="I33" i="135"/>
  <c r="I26" i="135"/>
  <c r="I25" i="135"/>
  <c r="I8" i="135"/>
  <c r="I17" i="135"/>
  <c r="I19" i="135"/>
  <c r="I11" i="135"/>
  <c r="I67" i="135"/>
  <c r="I69" i="135"/>
  <c r="H71" i="135"/>
  <c r="T17" i="57" s="1" a="1"/>
  <c r="T17" i="57" s="1"/>
  <c r="X62" i="114"/>
  <c r="X62" i="115"/>
  <c r="I20" i="135"/>
  <c r="I99" i="135"/>
  <c r="I29" i="135"/>
  <c r="I77" i="135"/>
  <c r="U11" i="57" a="1"/>
  <c r="U11" i="57" s="1"/>
  <c r="I35" i="135"/>
  <c r="I10" i="135"/>
  <c r="I108" i="135"/>
  <c r="H119" i="135"/>
  <c r="U23" i="57" s="1" a="1"/>
  <c r="U23" i="57" s="1"/>
  <c r="I115" i="135"/>
  <c r="H93" i="135"/>
  <c r="V20" i="57" s="1" a="1"/>
  <c r="V20" i="57" s="1"/>
  <c r="I89" i="135"/>
  <c r="H62" i="135"/>
  <c r="W14" i="57" s="1" a="1"/>
  <c r="W14" i="57" s="1"/>
  <c r="I58" i="135"/>
  <c r="I60" i="135"/>
  <c r="H22" i="135"/>
  <c r="W8" i="57" s="1" a="1"/>
  <c r="W8" i="57" s="1"/>
  <c r="I18" i="135"/>
  <c r="H79" i="135"/>
  <c r="U17" i="57" s="1" a="1"/>
  <c r="U17" i="57" s="1"/>
  <c r="I75" i="135"/>
  <c r="H53" i="135"/>
  <c r="V14" i="57" s="1" a="1"/>
  <c r="V14" i="57" s="1"/>
  <c r="I49" i="135"/>
  <c r="H111" i="135"/>
  <c r="I107" i="135"/>
  <c r="T11" i="57" a="1"/>
  <c r="T11" i="57" s="1"/>
  <c r="I27" i="135"/>
  <c r="H13" i="135"/>
  <c r="V8" i="57" s="1" a="1"/>
  <c r="V8" i="57" s="1"/>
  <c r="I9" i="135"/>
  <c r="I51" i="135"/>
  <c r="I117" i="135"/>
  <c r="H102" i="135"/>
  <c r="W20" i="57" s="1" a="1"/>
  <c r="W20" i="57" s="1"/>
  <c r="I98" i="135"/>
  <c r="I91" i="135"/>
  <c r="I116" i="135"/>
  <c r="I36" i="135"/>
  <c r="F10" i="92"/>
  <c r="F10" i="91"/>
  <c r="F10" i="90"/>
  <c r="F10" i="88"/>
  <c r="B27" i="44"/>
  <c r="B22" i="44"/>
  <c r="B23" i="44" s="1"/>
  <c r="B24" i="44" s="1"/>
  <c r="B25" i="44" s="1"/>
  <c r="B16" i="44"/>
  <c r="B17" i="44" s="1"/>
  <c r="B18" i="44" s="1"/>
  <c r="B19" i="44" s="1"/>
  <c r="B20" i="44" s="1"/>
  <c r="B13" i="44"/>
  <c r="B14" i="44" s="1"/>
  <c r="B5" i="44"/>
  <c r="B6" i="44" s="1"/>
  <c r="B7" i="44" s="1"/>
  <c r="B8" i="44" s="1"/>
  <c r="B9" i="44" s="1"/>
  <c r="B10" i="44" s="1"/>
  <c r="B11" i="44" s="1"/>
  <c r="T23" i="57" l="1" a="1"/>
  <c r="T23" i="57" s="1"/>
  <c r="T20" i="57" s="1"/>
  <c r="E122" i="135"/>
  <c r="T8" i="57"/>
  <c r="E42" i="135"/>
  <c r="T14" i="57"/>
  <c r="E82" i="135"/>
  <c r="J44" i="83"/>
  <c r="D44" i="83"/>
  <c r="C30" i="58" l="1"/>
  <c r="B46" i="83" l="1"/>
  <c r="B47" i="83" s="1"/>
  <c r="J47" i="83" l="1" a="1"/>
  <c r="J47" i="83" s="1"/>
  <c r="D47" i="83" a="1"/>
  <c r="D47" i="83" s="1"/>
  <c r="B48" i="83"/>
  <c r="B49" i="83" l="1"/>
  <c r="B50" i="83" s="1"/>
  <c r="J48" i="83" a="1"/>
  <c r="J48" i="83" s="1"/>
  <c r="D48" i="83" a="1"/>
  <c r="D48" i="83" s="1"/>
  <c r="B51" i="83" l="1"/>
  <c r="M3" i="52"/>
  <c r="F10" i="43"/>
  <c r="C208" i="58" l="1"/>
  <c r="C207" i="58"/>
  <c r="C206" i="58"/>
  <c r="C205" i="58"/>
  <c r="C204" i="58"/>
  <c r="C203" i="58"/>
  <c r="C202" i="58"/>
  <c r="C201" i="58"/>
  <c r="C200" i="58"/>
  <c r="C199" i="58"/>
  <c r="C193" i="58"/>
  <c r="C192" i="58"/>
  <c r="C191" i="58"/>
  <c r="C190" i="58"/>
  <c r="C189" i="58"/>
  <c r="C188" i="58"/>
  <c r="C187" i="58"/>
  <c r="C186" i="58"/>
  <c r="C185" i="58"/>
  <c r="C184" i="58"/>
  <c r="C178" i="58"/>
  <c r="C177" i="58"/>
  <c r="C176" i="58"/>
  <c r="C175" i="58"/>
  <c r="C174" i="58"/>
  <c r="C173" i="58"/>
  <c r="C172" i="58"/>
  <c r="C171" i="58"/>
  <c r="C170" i="58"/>
  <c r="C169" i="58"/>
  <c r="C168" i="58"/>
  <c r="C167" i="58"/>
  <c r="C166" i="58"/>
  <c r="C165" i="58"/>
  <c r="C164" i="58"/>
  <c r="C163" i="58"/>
  <c r="C162" i="58"/>
  <c r="C161" i="58"/>
  <c r="C160" i="58"/>
  <c r="C159" i="58"/>
  <c r="C26" i="58"/>
  <c r="C24" i="58"/>
  <c r="C23" i="58"/>
  <c r="C22" i="58"/>
  <c r="C21" i="58"/>
  <c r="C19" i="58"/>
  <c r="C17" i="58"/>
  <c r="C16" i="58"/>
  <c r="C15" i="58"/>
  <c r="C12" i="58"/>
  <c r="M67" i="52" l="1"/>
  <c r="M4" i="52" l="1"/>
  <c r="H9" i="61" l="1"/>
  <c r="I9" i="61"/>
  <c r="M10" i="61"/>
  <c r="K10" i="61"/>
  <c r="J10" i="61"/>
  <c r="I10" i="61"/>
  <c r="H10" i="61"/>
  <c r="E10" i="61"/>
  <c r="C10" i="61"/>
  <c r="M9" i="61"/>
  <c r="K9" i="61"/>
  <c r="J9" i="61"/>
  <c r="F9" i="61"/>
  <c r="E9" i="61"/>
  <c r="C9" i="61"/>
  <c r="M8" i="61"/>
  <c r="K8" i="61"/>
  <c r="J8" i="61"/>
  <c r="I8" i="61"/>
  <c r="H8" i="61"/>
  <c r="F8" i="61"/>
  <c r="E8" i="61"/>
  <c r="C8" i="61"/>
  <c r="M7" i="61"/>
  <c r="K7" i="61"/>
  <c r="J7" i="61"/>
  <c r="I7" i="61"/>
  <c r="H7" i="61"/>
  <c r="F7" i="61"/>
  <c r="E7" i="61"/>
  <c r="C7" i="61"/>
  <c r="F42" i="98" l="1"/>
  <c r="J141" i="98"/>
  <c r="J302" i="52"/>
  <c r="J303" i="52"/>
  <c r="J181" i="52"/>
  <c r="J240" i="52"/>
  <c r="J241" i="52"/>
  <c r="J182" i="52"/>
  <c r="J6" i="61"/>
  <c r="H6" i="61"/>
  <c r="C6" i="61"/>
  <c r="F6" i="61"/>
  <c r="K6" i="61"/>
  <c r="E6" i="61"/>
  <c r="M6" i="61"/>
  <c r="I6" i="61"/>
  <c r="M56" i="52" l="1"/>
  <c r="F43" i="98"/>
  <c r="J42" i="98"/>
  <c r="F44" i="98" l="1"/>
  <c r="J43" i="98"/>
  <c r="M57" i="52"/>
  <c r="M58" i="52"/>
  <c r="O3" i="52"/>
  <c r="H3" i="52"/>
  <c r="F4" i="52" s="1"/>
  <c r="R4" i="52" l="1"/>
  <c r="O4" i="52"/>
  <c r="K4" i="52"/>
  <c r="H4" i="52"/>
  <c r="I4" i="52"/>
  <c r="J4" i="52"/>
  <c r="P4" i="52"/>
  <c r="P191" i="52" s="1"/>
  <c r="Q4" i="52"/>
  <c r="J191" i="52" l="1"/>
  <c r="Q191" i="52"/>
  <c r="I147" i="52"/>
  <c r="L53" i="114" s="1" a="1"/>
  <c r="L53" i="114" s="1"/>
  <c r="I183" i="52"/>
  <c r="AD53" i="114" s="1" a="1"/>
  <c r="AD53" i="114" s="1"/>
  <c r="P147" i="52"/>
  <c r="O147" i="52"/>
  <c r="P109" i="52"/>
  <c r="I109" i="52"/>
  <c r="AK53" i="113" s="1" a="1"/>
  <c r="AK53" i="113" s="1"/>
  <c r="I70" i="52"/>
  <c r="L53" i="113" s="1" a="1"/>
  <c r="L53" i="113" s="1"/>
  <c r="I48" i="52"/>
  <c r="AE53" i="108" l="1" a="1"/>
  <c r="AE53" i="108" s="1"/>
  <c r="AD56" i="114"/>
  <c r="AD57" i="114" s="1"/>
  <c r="AD61" i="114" s="1"/>
  <c r="L56" i="114"/>
  <c r="L57" i="114" s="1"/>
  <c r="L61" i="114" s="1"/>
  <c r="J192" i="52"/>
  <c r="J193" i="52" s="1"/>
  <c r="AL36" i="114" s="1" a="1"/>
  <c r="AL36" i="114" s="1"/>
  <c r="K189" i="52"/>
  <c r="K190" i="52"/>
  <c r="K188" i="52"/>
  <c r="R189" i="52"/>
  <c r="R188" i="52"/>
  <c r="R190" i="52"/>
  <c r="Q192" i="52"/>
  <c r="M191" i="52"/>
  <c r="Q35" i="52"/>
  <c r="J35" i="52"/>
  <c r="O11" i="52"/>
  <c r="O48" i="52"/>
  <c r="O70" i="52"/>
  <c r="O109" i="52"/>
  <c r="Q92" i="98"/>
  <c r="J92" i="98"/>
  <c r="J162" i="98"/>
  <c r="J192" i="98"/>
  <c r="Q142" i="98"/>
  <c r="J62" i="98"/>
  <c r="Q192" i="98"/>
  <c r="Q62" i="98"/>
  <c r="J212" i="98"/>
  <c r="Q232" i="98"/>
  <c r="J112" i="98"/>
  <c r="Q212" i="98"/>
  <c r="J142" i="98"/>
  <c r="Q112" i="98"/>
  <c r="Q41" i="98"/>
  <c r="J232" i="98"/>
  <c r="Q162" i="98"/>
  <c r="Q242" i="98"/>
  <c r="Q42" i="98"/>
  <c r="J242" i="98"/>
  <c r="Q90" i="98"/>
  <c r="Q91" i="98"/>
  <c r="K53" i="116" a="1"/>
  <c r="K53" i="116" s="1"/>
  <c r="H70" i="52"/>
  <c r="K53" i="113" s="1" a="1"/>
  <c r="K53" i="113" s="1"/>
  <c r="H98" i="52"/>
  <c r="H172" i="52"/>
  <c r="H101" i="52"/>
  <c r="H183" i="52"/>
  <c r="AC53" i="114" s="1" a="1"/>
  <c r="AC53" i="114" s="1"/>
  <c r="H231" i="52"/>
  <c r="H37" i="52"/>
  <c r="H175" i="52"/>
  <c r="H147" i="52"/>
  <c r="K53" i="114" s="1" a="1"/>
  <c r="K53" i="114" s="1"/>
  <c r="H304" i="52"/>
  <c r="H109" i="52"/>
  <c r="AJ53" i="113" s="1" a="1"/>
  <c r="AJ53" i="113" s="1"/>
  <c r="H205" i="52"/>
  <c r="K53" i="115" s="1" a="1"/>
  <c r="K53" i="115" s="1"/>
  <c r="K66" i="115" s="1"/>
  <c r="H242" i="52"/>
  <c r="AC53" i="115" s="1" a="1"/>
  <c r="AC53" i="115" s="1"/>
  <c r="H48" i="52"/>
  <c r="O234" i="52"/>
  <c r="O205" i="52"/>
  <c r="O242" i="52"/>
  <c r="O183" i="52"/>
  <c r="Q181" i="52"/>
  <c r="Q303" i="52"/>
  <c r="P205" i="52"/>
  <c r="Q182" i="52"/>
  <c r="Q241" i="52"/>
  <c r="Q240" i="52"/>
  <c r="AD53" i="108" l="1" a="1"/>
  <c r="AD53" i="108" s="1"/>
  <c r="AD66" i="108" s="1"/>
  <c r="AE56" i="108"/>
  <c r="AE69" i="108" s="1"/>
  <c r="AE66" i="108"/>
  <c r="M319" i="52"/>
  <c r="Q258" i="52"/>
  <c r="R256" i="52" s="1"/>
  <c r="M256" i="52"/>
  <c r="M257" i="52"/>
  <c r="M197" i="52"/>
  <c r="Q198" i="52"/>
  <c r="R196" i="52" s="1"/>
  <c r="M196" i="52"/>
  <c r="K154" i="135" a="1"/>
  <c r="K154" i="135" s="1"/>
  <c r="K137" i="135" a="1"/>
  <c r="K137" i="135" s="1"/>
  <c r="F154" i="135" a="1"/>
  <c r="F154" i="135" s="1"/>
  <c r="F137" i="135" a="1"/>
  <c r="F137" i="135" s="1"/>
  <c r="U56" i="114"/>
  <c r="U57" i="114" s="1"/>
  <c r="U61" i="114" s="1"/>
  <c r="H41" i="52"/>
  <c r="J48" i="52"/>
  <c r="J109" i="52"/>
  <c r="J183" i="52"/>
  <c r="J70" i="52"/>
  <c r="M192" i="52"/>
  <c r="Q193" i="52"/>
  <c r="Q109" i="52"/>
  <c r="I101" i="52"/>
  <c r="H93" i="98"/>
  <c r="H233" i="98"/>
  <c r="H63" i="98"/>
  <c r="H163" i="98"/>
  <c r="P48" i="52"/>
  <c r="I37" i="52"/>
  <c r="L53" i="116" a="1"/>
  <c r="L53" i="116" s="1"/>
  <c r="I231" i="52"/>
  <c r="I172" i="52"/>
  <c r="I175" i="52"/>
  <c r="P231" i="52"/>
  <c r="P234" i="52"/>
  <c r="I40" i="52"/>
  <c r="I98" i="52"/>
  <c r="H243" i="98"/>
  <c r="AC55" i="116" s="1" a="1"/>
  <c r="AC55" i="116" s="1"/>
  <c r="I205" i="52"/>
  <c r="L53" i="115" s="1" a="1"/>
  <c r="L53" i="115" s="1"/>
  <c r="L66" i="115" s="1"/>
  <c r="M66" i="115" s="1"/>
  <c r="H113" i="98"/>
  <c r="J189" i="98"/>
  <c r="H193" i="98"/>
  <c r="AC55" i="115" s="1" a="1"/>
  <c r="AC55" i="115" s="1"/>
  <c r="AC56" i="115" s="1"/>
  <c r="AC57" i="115" s="1"/>
  <c r="AC61" i="115" s="1"/>
  <c r="H213" i="98"/>
  <c r="H143" i="98"/>
  <c r="AC55" i="114" s="1" a="1"/>
  <c r="AC55" i="114" s="1"/>
  <c r="AC56" i="114" s="1"/>
  <c r="M142" i="98"/>
  <c r="M62" i="98"/>
  <c r="O13" i="98"/>
  <c r="P55" i="108" s="1" a="1"/>
  <c r="P55" i="108" s="1"/>
  <c r="M232" i="98"/>
  <c r="M212" i="98"/>
  <c r="M192" i="98"/>
  <c r="M162" i="98"/>
  <c r="M92" i="98"/>
  <c r="M242" i="98"/>
  <c r="M42" i="98"/>
  <c r="M112" i="98"/>
  <c r="O143" i="98"/>
  <c r="AG55" i="114" s="1" a="1"/>
  <c r="AG55" i="114" s="1"/>
  <c r="AG56" i="114" s="1"/>
  <c r="AG57" i="114" s="1"/>
  <c r="O43" i="98"/>
  <c r="AH55" i="108" s="1" a="1"/>
  <c r="AH55" i="108" s="1"/>
  <c r="O193" i="98"/>
  <c r="AG55" i="115" s="1" a="1"/>
  <c r="AG55" i="115" s="1"/>
  <c r="AG56" i="115" s="1"/>
  <c r="AG57" i="115" s="1"/>
  <c r="O93" i="98"/>
  <c r="AN55" i="113" s="1" a="1"/>
  <c r="AN55" i="113" s="1"/>
  <c r="O243" i="98"/>
  <c r="AG55" i="116" s="1" a="1"/>
  <c r="AG55" i="116" s="1"/>
  <c r="O233" i="98"/>
  <c r="O113" i="98"/>
  <c r="O55" i="114" s="1" a="1"/>
  <c r="O55" i="114" s="1"/>
  <c r="O213" i="98"/>
  <c r="O55" i="116" s="1" a="1"/>
  <c r="O55" i="116" s="1"/>
  <c r="O56" i="116" s="1"/>
  <c r="O57" i="116" s="1"/>
  <c r="O61" i="116" s="1"/>
  <c r="O63" i="98"/>
  <c r="O55" i="113" s="1" a="1"/>
  <c r="O55" i="113" s="1"/>
  <c r="I234" i="52"/>
  <c r="P183" i="52"/>
  <c r="M241" i="52"/>
  <c r="I242" i="52"/>
  <c r="I304" i="52"/>
  <c r="P242" i="52"/>
  <c r="J90" i="98"/>
  <c r="J91" i="98"/>
  <c r="Q241" i="98"/>
  <c r="J190" i="98"/>
  <c r="Q190" i="98"/>
  <c r="Q191" i="98"/>
  <c r="J10" i="98"/>
  <c r="Q12" i="98"/>
  <c r="Q40" i="98"/>
  <c r="J240" i="98"/>
  <c r="Q140" i="98"/>
  <c r="J41" i="98"/>
  <c r="J191" i="98"/>
  <c r="J39" i="98"/>
  <c r="J139" i="98"/>
  <c r="J239" i="98"/>
  <c r="Q141" i="98"/>
  <c r="J241" i="98"/>
  <c r="Q39" i="98"/>
  <c r="J40" i="98"/>
  <c r="Q89" i="98"/>
  <c r="J89" i="98"/>
  <c r="Q189" i="98"/>
  <c r="J140" i="98"/>
  <c r="Q139" i="98"/>
  <c r="Q239" i="98"/>
  <c r="Q240" i="98"/>
  <c r="J9" i="98"/>
  <c r="M181" i="52"/>
  <c r="M240" i="52"/>
  <c r="Q69" i="52"/>
  <c r="Q68" i="52"/>
  <c r="Q70" i="52"/>
  <c r="J107" i="52"/>
  <c r="AF66" i="108" l="1"/>
  <c r="AE57" i="108"/>
  <c r="AE61" i="108" s="1"/>
  <c r="AD56" i="108"/>
  <c r="AD69" i="108" s="1"/>
  <c r="AF69" i="108" s="1"/>
  <c r="AD68" i="108"/>
  <c r="AF68" i="108" s="1"/>
  <c r="AH56" i="108"/>
  <c r="AH57" i="108" s="1"/>
  <c r="AH68" i="108"/>
  <c r="AJ68" i="108" s="1"/>
  <c r="R257" i="52"/>
  <c r="M258" i="52"/>
  <c r="Q259" i="52"/>
  <c r="Q199" i="52"/>
  <c r="M199" i="52" s="1"/>
  <c r="M198" i="52"/>
  <c r="R197" i="52"/>
  <c r="Q91" i="52"/>
  <c r="R89" i="52" s="1"/>
  <c r="M89" i="52"/>
  <c r="M90" i="52"/>
  <c r="AI56" i="108"/>
  <c r="AQ36" i="114" a="1"/>
  <c r="AQ36" i="114" s="1"/>
  <c r="L154" i="135" a="1"/>
  <c r="L154" i="135" s="1"/>
  <c r="L137" i="135" a="1"/>
  <c r="L137" i="135" s="1"/>
  <c r="G154" i="135" a="1"/>
  <c r="G154" i="135" s="1"/>
  <c r="H154" i="135" s="1"/>
  <c r="I154" i="135" s="1"/>
  <c r="G137" i="135" a="1"/>
  <c r="G137" i="135" s="1"/>
  <c r="H137" i="135" s="1"/>
  <c r="I137" i="135" s="1"/>
  <c r="AD53" i="115" a="1"/>
  <c r="AD53" i="115" s="1"/>
  <c r="AD56" i="115" s="1"/>
  <c r="AD57" i="115" s="1"/>
  <c r="AD61" i="115" s="1"/>
  <c r="AC62" i="115" s="1"/>
  <c r="L146" i="135" a="1"/>
  <c r="L146" i="135" s="1"/>
  <c r="L128" i="135" a="1"/>
  <c r="L128" i="135" s="1"/>
  <c r="G146" i="135" a="1"/>
  <c r="G146" i="135" s="1"/>
  <c r="H146" i="135" s="1"/>
  <c r="I146" i="135" s="1"/>
  <c r="G128" i="135" a="1"/>
  <c r="G128" i="135" s="1"/>
  <c r="AG61" i="114"/>
  <c r="D27" i="124"/>
  <c r="AG61" i="115"/>
  <c r="D37" i="124"/>
  <c r="O56" i="114"/>
  <c r="O57" i="114" s="1"/>
  <c r="O61" i="114" s="1"/>
  <c r="T56" i="115"/>
  <c r="T57" i="115" s="1"/>
  <c r="T61" i="115" s="1"/>
  <c r="L56" i="115"/>
  <c r="S56" i="116"/>
  <c r="S57" i="116" s="1"/>
  <c r="S61" i="116" s="1"/>
  <c r="K55" i="116" a="1"/>
  <c r="K55" i="116" s="1"/>
  <c r="T56" i="116"/>
  <c r="T57" i="116" s="1"/>
  <c r="T61" i="116" s="1"/>
  <c r="L56" i="116"/>
  <c r="L57" i="116" s="1"/>
  <c r="L61" i="116" s="1"/>
  <c r="AC57" i="114"/>
  <c r="AC61" i="114" s="1"/>
  <c r="AC62" i="114" s="1"/>
  <c r="T56" i="114"/>
  <c r="T57" i="114" s="1"/>
  <c r="T61" i="114" s="1"/>
  <c r="S62" i="114" s="1"/>
  <c r="K55" i="114" a="1"/>
  <c r="K55" i="114" s="1"/>
  <c r="K56" i="114" s="1"/>
  <c r="K57" i="114" s="1"/>
  <c r="K61" i="114" s="1"/>
  <c r="K62" i="114" s="1"/>
  <c r="S57" i="115"/>
  <c r="S61" i="115" s="1"/>
  <c r="K55" i="115" a="1"/>
  <c r="K55" i="115" s="1"/>
  <c r="K140" i="135"/>
  <c r="K142" i="135" s="1"/>
  <c r="Q50" i="124" s="1" a="1"/>
  <c r="Q50" i="124" s="1"/>
  <c r="F157" i="135"/>
  <c r="K157" i="135"/>
  <c r="K159" i="135" s="1"/>
  <c r="F140" i="135"/>
  <c r="I41" i="52"/>
  <c r="K55" i="113" a="1"/>
  <c r="K55" i="113" s="1"/>
  <c r="AJ55" i="113" a="1"/>
  <c r="AJ55" i="113" s="1"/>
  <c r="J304" i="52"/>
  <c r="K302" i="52" s="1"/>
  <c r="J242" i="52"/>
  <c r="J143" i="98"/>
  <c r="K142" i="98" s="1"/>
  <c r="K42" i="98"/>
  <c r="J243" i="98"/>
  <c r="K242" i="98" s="1"/>
  <c r="J93" i="98"/>
  <c r="J231" i="52"/>
  <c r="J234" i="52"/>
  <c r="J233" i="98"/>
  <c r="K232" i="98" s="1"/>
  <c r="J213" i="98"/>
  <c r="K212" i="98" s="1"/>
  <c r="J113" i="98"/>
  <c r="K112" i="98" s="1"/>
  <c r="J63" i="98"/>
  <c r="K62" i="98" s="1"/>
  <c r="M193" i="52"/>
  <c r="Q11" i="52"/>
  <c r="Q108" i="52"/>
  <c r="J108" i="52"/>
  <c r="Q63" i="98"/>
  <c r="R62" i="98" s="1"/>
  <c r="Q242" i="52"/>
  <c r="Q193" i="98"/>
  <c r="R192" i="98" s="1"/>
  <c r="Q143" i="98"/>
  <c r="R142" i="98" s="1"/>
  <c r="Q243" i="98"/>
  <c r="Q244" i="98" s="1"/>
  <c r="Q245" i="98" s="1"/>
  <c r="Q246" i="98" s="1"/>
  <c r="Q48" i="52"/>
  <c r="Q183" i="52"/>
  <c r="Q43" i="98"/>
  <c r="R42" i="98" s="1"/>
  <c r="Q233" i="98"/>
  <c r="R232" i="98" s="1"/>
  <c r="Q213" i="98"/>
  <c r="R212" i="98" s="1"/>
  <c r="J163" i="98"/>
  <c r="K162" i="98" s="1"/>
  <c r="Q93" i="98"/>
  <c r="Q13" i="98"/>
  <c r="M141" i="98"/>
  <c r="Q113" i="98"/>
  <c r="J12" i="98"/>
  <c r="M12" i="98" s="1"/>
  <c r="J13" i="98"/>
  <c r="Q11" i="98"/>
  <c r="M90" i="98"/>
  <c r="Q9" i="98"/>
  <c r="M182" i="52"/>
  <c r="M303" i="52"/>
  <c r="M91" i="98"/>
  <c r="M241" i="98"/>
  <c r="M190" i="98"/>
  <c r="J193" i="98"/>
  <c r="M41" i="98"/>
  <c r="M89" i="98"/>
  <c r="M239" i="98"/>
  <c r="M191" i="98"/>
  <c r="M140" i="98"/>
  <c r="M40" i="98"/>
  <c r="M139" i="98"/>
  <c r="M39" i="98"/>
  <c r="M240" i="98"/>
  <c r="M189" i="98"/>
  <c r="J231" i="98"/>
  <c r="Q231" i="98"/>
  <c r="J111" i="98"/>
  <c r="Q111" i="98"/>
  <c r="J161" i="98"/>
  <c r="Q161" i="98"/>
  <c r="J230" i="98"/>
  <c r="Q230" i="98"/>
  <c r="Q110" i="98"/>
  <c r="J110" i="98"/>
  <c r="J160" i="98"/>
  <c r="Q229" i="98"/>
  <c r="J229" i="98"/>
  <c r="J109" i="98"/>
  <c r="Q109" i="98"/>
  <c r="Q159" i="98"/>
  <c r="J159" i="98"/>
  <c r="J61" i="98"/>
  <c r="Q61" i="98"/>
  <c r="Q211" i="98"/>
  <c r="J211" i="98"/>
  <c r="Q60" i="98"/>
  <c r="J60" i="98"/>
  <c r="Q210" i="98"/>
  <c r="J210" i="98"/>
  <c r="J59" i="98"/>
  <c r="Q59" i="98"/>
  <c r="J209" i="98"/>
  <c r="Q209" i="98"/>
  <c r="J11" i="98"/>
  <c r="Q10" i="98"/>
  <c r="Q107" i="52"/>
  <c r="Q37" i="52"/>
  <c r="Q213" i="52"/>
  <c r="Q214" i="52" s="1"/>
  <c r="J147" i="52"/>
  <c r="J172" i="52"/>
  <c r="J98" i="52"/>
  <c r="J204" i="52"/>
  <c r="Q205" i="52"/>
  <c r="H128" i="135" l="1"/>
  <c r="I128" i="135" s="1"/>
  <c r="M139" i="52"/>
  <c r="R139" i="52"/>
  <c r="M138" i="52"/>
  <c r="AD57" i="108"/>
  <c r="AD61" i="108" s="1"/>
  <c r="AD62" i="108" s="1"/>
  <c r="AF64" i="108"/>
  <c r="K56" i="115"/>
  <c r="K68" i="115"/>
  <c r="M68" i="115" s="1"/>
  <c r="AH69" i="108"/>
  <c r="L57" i="115"/>
  <c r="L61" i="115" s="1"/>
  <c r="L69" i="115"/>
  <c r="P56" i="108"/>
  <c r="P69" i="108" s="1"/>
  <c r="R69" i="108" s="1"/>
  <c r="P68" i="108"/>
  <c r="R68" i="108" s="1"/>
  <c r="Q243" i="52"/>
  <c r="Q244" i="52" s="1"/>
  <c r="D7" i="124"/>
  <c r="AH61" i="108"/>
  <c r="AI57" i="108"/>
  <c r="AI69" i="108"/>
  <c r="Q260" i="52"/>
  <c r="M259" i="52"/>
  <c r="Q133" i="52"/>
  <c r="Q200" i="52"/>
  <c r="R90" i="52"/>
  <c r="M91" i="52"/>
  <c r="Q92" i="52"/>
  <c r="M92" i="52" s="1"/>
  <c r="G140" i="135"/>
  <c r="H140" i="135" s="1"/>
  <c r="G157" i="135"/>
  <c r="H157" i="135" s="1"/>
  <c r="AP36" i="114"/>
  <c r="BA20" i="121"/>
  <c r="AO36" i="114"/>
  <c r="AH38" i="116" a="1"/>
  <c r="AH38" i="116" s="1"/>
  <c r="AL34" i="121" s="1"/>
  <c r="S62" i="115"/>
  <c r="K56" i="116"/>
  <c r="K57" i="116" s="1"/>
  <c r="S62" i="116"/>
  <c r="BA19" i="121"/>
  <c r="L131" i="135"/>
  <c r="L133" i="135" s="1"/>
  <c r="L140" i="135"/>
  <c r="L142" i="135" s="1"/>
  <c r="L157" i="135"/>
  <c r="L159" i="135" s="1"/>
  <c r="N159" i="135" s="1"/>
  <c r="L149" i="135"/>
  <c r="G149" i="135"/>
  <c r="H149" i="135" s="1"/>
  <c r="G131" i="135"/>
  <c r="H131" i="135" s="1"/>
  <c r="AL25" i="121"/>
  <c r="J44" i="98"/>
  <c r="J45" i="98" s="1"/>
  <c r="K303" i="52"/>
  <c r="J305" i="52"/>
  <c r="J306" i="52" s="1"/>
  <c r="J144" i="98"/>
  <c r="J145" i="98" s="1"/>
  <c r="M143" i="98"/>
  <c r="Q144" i="98"/>
  <c r="Q145" i="98" s="1"/>
  <c r="J114" i="98"/>
  <c r="J115" i="98" s="1"/>
  <c r="R140" i="98"/>
  <c r="M63" i="98"/>
  <c r="J64" i="98"/>
  <c r="R241" i="98"/>
  <c r="Q215" i="52"/>
  <c r="R212" i="52"/>
  <c r="R211" i="52"/>
  <c r="M214" i="52"/>
  <c r="R210" i="52"/>
  <c r="R189" i="98"/>
  <c r="Q14" i="98"/>
  <c r="Q12" i="52"/>
  <c r="Q13" i="52" s="1"/>
  <c r="R213" i="52"/>
  <c r="M213" i="52"/>
  <c r="Q154" i="52"/>
  <c r="Q145" i="52"/>
  <c r="J145" i="52"/>
  <c r="J146" i="52"/>
  <c r="J235" i="52"/>
  <c r="J205" i="52"/>
  <c r="Q203" i="52"/>
  <c r="J203" i="52"/>
  <c r="Q234" i="98"/>
  <c r="Q147" i="52"/>
  <c r="M55" i="52"/>
  <c r="M183" i="52"/>
  <c r="M243" i="98"/>
  <c r="R242" i="98"/>
  <c r="M43" i="98"/>
  <c r="Q214" i="98"/>
  <c r="Q215" i="98" s="1"/>
  <c r="M233" i="98"/>
  <c r="M213" i="98"/>
  <c r="Q229" i="52"/>
  <c r="Q231" i="52"/>
  <c r="Q230" i="52"/>
  <c r="J37" i="52"/>
  <c r="J97" i="52"/>
  <c r="J170" i="52"/>
  <c r="J171" i="52"/>
  <c r="J96" i="52"/>
  <c r="Q36" i="52"/>
  <c r="J36" i="52"/>
  <c r="J164" i="98"/>
  <c r="Q102" i="52"/>
  <c r="Q146" i="52"/>
  <c r="K192" i="98"/>
  <c r="K92" i="98"/>
  <c r="Q94" i="98"/>
  <c r="J243" i="52"/>
  <c r="K9" i="52"/>
  <c r="R89" i="98"/>
  <c r="M113" i="98"/>
  <c r="R12" i="98"/>
  <c r="M11" i="98"/>
  <c r="M161" i="98"/>
  <c r="R112" i="98"/>
  <c r="Q114" i="98"/>
  <c r="Q115" i="98" s="1"/>
  <c r="K12" i="98"/>
  <c r="J244" i="98"/>
  <c r="M9" i="98"/>
  <c r="K240" i="52"/>
  <c r="K241" i="52"/>
  <c r="M242" i="52"/>
  <c r="R11" i="98"/>
  <c r="J214" i="98"/>
  <c r="J14" i="98"/>
  <c r="J234" i="98"/>
  <c r="K91" i="98"/>
  <c r="J94" i="98"/>
  <c r="K191" i="98"/>
  <c r="J194" i="98"/>
  <c r="R10" i="98"/>
  <c r="R9" i="98"/>
  <c r="R240" i="98"/>
  <c r="R239" i="98"/>
  <c r="R110" i="98"/>
  <c r="K140" i="98"/>
  <c r="K139" i="98"/>
  <c r="R229" i="98"/>
  <c r="K141" i="98"/>
  <c r="Q194" i="98"/>
  <c r="Q44" i="98"/>
  <c r="Q64" i="98"/>
  <c r="M93" i="98"/>
  <c r="M193" i="98"/>
  <c r="K240" i="98"/>
  <c r="K9" i="98"/>
  <c r="K39" i="98"/>
  <c r="R40" i="98"/>
  <c r="R39" i="98"/>
  <c r="R139" i="98"/>
  <c r="R141" i="98"/>
  <c r="R41" i="98"/>
  <c r="K89" i="98"/>
  <c r="K90" i="98"/>
  <c r="K241" i="98"/>
  <c r="K239" i="98"/>
  <c r="K41" i="98"/>
  <c r="K40" i="98"/>
  <c r="K189" i="98"/>
  <c r="R191" i="98"/>
  <c r="R190" i="98"/>
  <c r="K190" i="98"/>
  <c r="R90" i="98"/>
  <c r="R91" i="98"/>
  <c r="R230" i="98"/>
  <c r="R231" i="98"/>
  <c r="M210" i="98"/>
  <c r="R59" i="98"/>
  <c r="R61" i="98"/>
  <c r="R109" i="98"/>
  <c r="R111" i="98"/>
  <c r="M159" i="98"/>
  <c r="K159" i="98"/>
  <c r="K161" i="98"/>
  <c r="K160" i="98"/>
  <c r="M211" i="98"/>
  <c r="K211" i="98"/>
  <c r="R209" i="98"/>
  <c r="M209" i="98"/>
  <c r="K209" i="98"/>
  <c r="R210" i="98"/>
  <c r="R211" i="98"/>
  <c r="K210" i="98"/>
  <c r="M60" i="98"/>
  <c r="K60" i="98"/>
  <c r="M110" i="98"/>
  <c r="K110" i="98"/>
  <c r="M59" i="98"/>
  <c r="K59" i="98"/>
  <c r="M61" i="98"/>
  <c r="K61" i="98"/>
  <c r="R60" i="98"/>
  <c r="K109" i="98"/>
  <c r="M109" i="98"/>
  <c r="M111" i="98"/>
  <c r="K111" i="98"/>
  <c r="M229" i="98"/>
  <c r="K229" i="98"/>
  <c r="M230" i="98"/>
  <c r="K230" i="98"/>
  <c r="M231" i="98"/>
  <c r="K231" i="98"/>
  <c r="K10" i="98"/>
  <c r="M13" i="98"/>
  <c r="M10" i="98"/>
  <c r="K11" i="98"/>
  <c r="M69" i="52"/>
  <c r="M68" i="52"/>
  <c r="M108" i="52"/>
  <c r="M107" i="52"/>
  <c r="Q204" i="52"/>
  <c r="M47" i="52"/>
  <c r="M46" i="52"/>
  <c r="R50" i="124" l="1" a="1"/>
  <c r="R50" i="124" s="1"/>
  <c r="N142" i="135"/>
  <c r="N50" i="124" a="1"/>
  <c r="N50" i="124" s="1"/>
  <c r="N133" i="135"/>
  <c r="R138" i="52"/>
  <c r="Q141" i="52"/>
  <c r="M141" i="52" s="1"/>
  <c r="M140" i="52"/>
  <c r="AJ69" i="108"/>
  <c r="AJ64" i="108" s="1"/>
  <c r="K57" i="115"/>
  <c r="K61" i="115" s="1"/>
  <c r="K62" i="115" s="1"/>
  <c r="K69" i="115"/>
  <c r="M69" i="115" s="1"/>
  <c r="M64" i="115" s="1"/>
  <c r="R64" i="108"/>
  <c r="P57" i="108"/>
  <c r="P61" i="108" s="1"/>
  <c r="P62" i="108" s="1"/>
  <c r="M200" i="52"/>
  <c r="AH36" i="114" a="1"/>
  <c r="AH36" i="114" s="1"/>
  <c r="AL20" i="121" s="1"/>
  <c r="AP20" i="121" s="1"/>
  <c r="AQ20" i="121" s="1"/>
  <c r="M260" i="52"/>
  <c r="AH36" i="115" a="1"/>
  <c r="AH36" i="115" s="1"/>
  <c r="Q225" i="52"/>
  <c r="R223" i="52" s="1"/>
  <c r="D8" i="124"/>
  <c r="AI61" i="108"/>
  <c r="AH62" i="108" s="1"/>
  <c r="M223" i="52"/>
  <c r="M224" i="52"/>
  <c r="Q166" i="52"/>
  <c r="R164" i="52" s="1"/>
  <c r="M164" i="52"/>
  <c r="Q93" i="52"/>
  <c r="AP34" i="121"/>
  <c r="AQ34" i="121" s="1"/>
  <c r="BE20" i="121"/>
  <c r="BF20" i="121" s="1"/>
  <c r="BE19" i="121"/>
  <c r="BF19" i="121" s="1"/>
  <c r="AP25" i="121"/>
  <c r="AQ25" i="121" s="1"/>
  <c r="K61" i="116"/>
  <c r="K62" i="116" s="1"/>
  <c r="J77" i="120" a="1"/>
  <c r="J77" i="120" s="1"/>
  <c r="H141" i="135"/>
  <c r="H142" i="135" s="1"/>
  <c r="W26" i="57" s="1" a="1"/>
  <c r="W26" i="57" s="1"/>
  <c r="H150" i="135"/>
  <c r="H151" i="135" s="1"/>
  <c r="T29" i="57" s="1" a="1"/>
  <c r="T29" i="57" s="1"/>
  <c r="L151" i="135"/>
  <c r="N151" i="135" s="1"/>
  <c r="H132" i="135"/>
  <c r="H133" i="135" s="1"/>
  <c r="V26" i="57" s="1" a="1"/>
  <c r="V26" i="57" s="1"/>
  <c r="H158" i="135"/>
  <c r="H159" i="135" s="1"/>
  <c r="U29" i="57" s="1" a="1"/>
  <c r="U29" i="57" s="1"/>
  <c r="C7" i="124"/>
  <c r="C10" i="124" s="1"/>
  <c r="C12" i="124" s="1"/>
  <c r="J46" i="83" a="1"/>
  <c r="J46" i="83" s="1"/>
  <c r="Q155" i="52"/>
  <c r="Q216" i="52"/>
  <c r="M215" i="52"/>
  <c r="Q15" i="98"/>
  <c r="Q16" i="98" s="1"/>
  <c r="Q38" i="108" s="1" a="1"/>
  <c r="Q38" i="108" s="1"/>
  <c r="J49" i="83" s="1" a="1"/>
  <c r="J49" i="83" s="1"/>
  <c r="J236" i="52"/>
  <c r="J237" i="52" s="1"/>
  <c r="Q103" i="52"/>
  <c r="M154" i="52"/>
  <c r="M171" i="52"/>
  <c r="Q234" i="52"/>
  <c r="Q235" i="52" s="1"/>
  <c r="J38" i="52"/>
  <c r="Q38" i="52"/>
  <c r="Q233" i="52"/>
  <c r="J99" i="52"/>
  <c r="J40" i="52"/>
  <c r="Q40" i="52"/>
  <c r="Q41" i="52" s="1"/>
  <c r="J101" i="52"/>
  <c r="J173" i="52"/>
  <c r="J100" i="52"/>
  <c r="J174" i="52"/>
  <c r="J175" i="52"/>
  <c r="Q232" i="52"/>
  <c r="J39" i="52"/>
  <c r="Q39" i="52"/>
  <c r="M243" i="52"/>
  <c r="J244" i="52"/>
  <c r="AC36" i="115" s="1" a="1"/>
  <c r="AC36" i="115" s="1"/>
  <c r="Q95" i="98"/>
  <c r="Q96" i="98" s="1"/>
  <c r="AH38" i="113" s="1" a="1"/>
  <c r="AH38" i="113" s="1"/>
  <c r="J245" i="98"/>
  <c r="M245" i="98" s="1"/>
  <c r="M115" i="98"/>
  <c r="J46" i="98"/>
  <c r="AD38" i="108" s="1" a="1"/>
  <c r="AD38" i="108" s="1"/>
  <c r="J146" i="98"/>
  <c r="AC38" i="114" s="1" a="1"/>
  <c r="AC38" i="114" s="1"/>
  <c r="M145" i="98"/>
  <c r="M244" i="98"/>
  <c r="J235" i="98"/>
  <c r="J195" i="98"/>
  <c r="J215" i="98"/>
  <c r="M10" i="52"/>
  <c r="J15" i="98"/>
  <c r="J16" i="98" s="1"/>
  <c r="K68" i="52"/>
  <c r="Q216" i="98"/>
  <c r="Q146" i="98"/>
  <c r="AH38" i="114" s="1" a="1"/>
  <c r="AH38" i="114" s="1"/>
  <c r="AL22" i="121" s="1"/>
  <c r="Q116" i="98"/>
  <c r="P38" i="114" s="1" a="1"/>
  <c r="P38" i="114" s="1"/>
  <c r="J63" i="83" s="1" a="1"/>
  <c r="J63" i="83" s="1"/>
  <c r="Q65" i="98"/>
  <c r="Q66" i="98" s="1"/>
  <c r="Q45" i="98"/>
  <c r="Q46" i="98" s="1"/>
  <c r="AI38" i="108" s="1" a="1"/>
  <c r="AI38" i="108" s="1"/>
  <c r="J49" i="120" s="1" a="1"/>
  <c r="J49" i="120" s="1"/>
  <c r="Q71" i="52"/>
  <c r="Q72" i="52" s="1"/>
  <c r="M9" i="52"/>
  <c r="R69" i="52"/>
  <c r="M70" i="52"/>
  <c r="M48" i="52"/>
  <c r="Q110" i="52"/>
  <c r="M109" i="52"/>
  <c r="K108" i="52"/>
  <c r="K47" i="52"/>
  <c r="M234" i="98"/>
  <c r="Q235" i="98"/>
  <c r="Q236" i="98" s="1"/>
  <c r="M194" i="98"/>
  <c r="M214" i="98"/>
  <c r="M144" i="98"/>
  <c r="Q195" i="98"/>
  <c r="Q196" i="98" s="1"/>
  <c r="AH38" i="115" s="1" a="1"/>
  <c r="AH38" i="115" s="1"/>
  <c r="J165" i="98"/>
  <c r="J65" i="98"/>
  <c r="M14" i="98"/>
  <c r="M64" i="98"/>
  <c r="M114" i="98"/>
  <c r="M94" i="98"/>
  <c r="J116" i="98"/>
  <c r="K38" i="114" s="1" a="1"/>
  <c r="K38" i="114" s="1"/>
  <c r="M44" i="98"/>
  <c r="J95" i="98"/>
  <c r="M146" i="52"/>
  <c r="K46" i="52"/>
  <c r="M170" i="52"/>
  <c r="M145" i="52"/>
  <c r="K182" i="52"/>
  <c r="K181" i="52"/>
  <c r="R107" i="52"/>
  <c r="M204" i="52"/>
  <c r="R68" i="52"/>
  <c r="M230" i="52"/>
  <c r="M97" i="52"/>
  <c r="M229" i="52"/>
  <c r="R108" i="52"/>
  <c r="K69" i="52"/>
  <c r="J110" i="52"/>
  <c r="R46" i="52"/>
  <c r="K107" i="52"/>
  <c r="M96" i="52"/>
  <c r="J71" i="52"/>
  <c r="M203" i="52"/>
  <c r="R47" i="52"/>
  <c r="Q49" i="52"/>
  <c r="Q50" i="52" s="1"/>
  <c r="J49" i="52"/>
  <c r="J50" i="52" s="1"/>
  <c r="AD36" i="108" s="1" a="1"/>
  <c r="AD36" i="108" s="1"/>
  <c r="J184" i="52"/>
  <c r="Q142" i="52" l="1"/>
  <c r="M142" i="52" s="1"/>
  <c r="M93" i="52"/>
  <c r="P36" i="113" a="1"/>
  <c r="P36" i="113" s="1"/>
  <c r="Q226" i="52"/>
  <c r="M226" i="52" s="1"/>
  <c r="M225" i="52"/>
  <c r="AL26" i="121"/>
  <c r="AP26" i="121" s="1"/>
  <c r="AQ26" i="121" s="1"/>
  <c r="J67" i="120" a="1"/>
  <c r="J67" i="120" s="1"/>
  <c r="R224" i="52"/>
  <c r="M165" i="52"/>
  <c r="R165" i="52"/>
  <c r="Q167" i="52"/>
  <c r="M167" i="52" s="1"/>
  <c r="M166" i="52"/>
  <c r="Q111" i="52"/>
  <c r="Q104" i="52"/>
  <c r="AF36" i="115"/>
  <c r="AH26" i="121"/>
  <c r="AW26" i="121"/>
  <c r="AP22" i="121"/>
  <c r="AQ22" i="121" s="1"/>
  <c r="AW8" i="121"/>
  <c r="Y36" i="115" a="1"/>
  <c r="Y36" i="115" s="1"/>
  <c r="AW25" i="121"/>
  <c r="AF35" i="115"/>
  <c r="AF18" i="57" s="1" a="1"/>
  <c r="AF18" i="57" s="1"/>
  <c r="S22" i="121"/>
  <c r="N38" i="114"/>
  <c r="AF38" i="114"/>
  <c r="AG38" i="108"/>
  <c r="I140" i="135"/>
  <c r="T26" i="57"/>
  <c r="AH22" i="121"/>
  <c r="AR22" i="121" s="1"/>
  <c r="AS22" i="121" s="1"/>
  <c r="AW22" i="121"/>
  <c r="E162" i="135"/>
  <c r="I157" i="135"/>
  <c r="AW10" i="121"/>
  <c r="D49" i="120" a="1"/>
  <c r="D49" i="120" s="1"/>
  <c r="AW7" i="121"/>
  <c r="D46" i="120" a="1"/>
  <c r="D46" i="120" s="1"/>
  <c r="I131" i="135"/>
  <c r="I148" i="135"/>
  <c r="I147" i="135"/>
  <c r="I139" i="135"/>
  <c r="I138" i="135"/>
  <c r="I130" i="135"/>
  <c r="I129" i="135"/>
  <c r="I155" i="135"/>
  <c r="I156" i="135"/>
  <c r="I149" i="135"/>
  <c r="AL28" i="121"/>
  <c r="AH25" i="121"/>
  <c r="Q39" i="108"/>
  <c r="J70" i="120" a="1"/>
  <c r="J70" i="120" s="1"/>
  <c r="J63" i="120" a="1"/>
  <c r="J63" i="120" s="1"/>
  <c r="J56" i="120" a="1"/>
  <c r="J56" i="120" s="1"/>
  <c r="D63" i="120" a="1"/>
  <c r="D63" i="120" s="1"/>
  <c r="D67" i="120" a="1"/>
  <c r="D67" i="120" s="1"/>
  <c r="D63" i="83" a="1"/>
  <c r="D63" i="83" s="1"/>
  <c r="M216" i="52"/>
  <c r="P38" i="116" a="1"/>
  <c r="P38" i="116" s="1"/>
  <c r="M16" i="98"/>
  <c r="L38" i="108" a="1"/>
  <c r="L38" i="108" s="1"/>
  <c r="P38" i="113" a="1"/>
  <c r="P38" i="113" s="1"/>
  <c r="M244" i="52"/>
  <c r="Q156" i="52"/>
  <c r="Q157" i="52" s="1"/>
  <c r="R152" i="52"/>
  <c r="R153" i="52"/>
  <c r="M155" i="52"/>
  <c r="R154" i="52"/>
  <c r="AL10" i="121"/>
  <c r="AH7" i="121"/>
  <c r="AN7" i="121" s="1"/>
  <c r="J185" i="52"/>
  <c r="AC36" i="114" s="1" a="1"/>
  <c r="AC36" i="114" s="1"/>
  <c r="J246" i="98"/>
  <c r="AC38" i="116" s="1" a="1"/>
  <c r="AC38" i="116" s="1"/>
  <c r="R96" i="52"/>
  <c r="J236" i="98"/>
  <c r="M236" i="98" s="1"/>
  <c r="M235" i="98"/>
  <c r="J216" i="98"/>
  <c r="M215" i="98"/>
  <c r="J196" i="98"/>
  <c r="AC38" i="115" s="1" a="1"/>
  <c r="AC38" i="115" s="1"/>
  <c r="M195" i="98"/>
  <c r="J166" i="98"/>
  <c r="K38" i="115" s="1" a="1"/>
  <c r="K38" i="115" s="1"/>
  <c r="M15" i="98"/>
  <c r="J66" i="98"/>
  <c r="M65" i="98"/>
  <c r="M45" i="98"/>
  <c r="J96" i="98"/>
  <c r="AC38" i="113" s="1" a="1"/>
  <c r="AC38" i="113" s="1"/>
  <c r="M95" i="98"/>
  <c r="Q148" i="52"/>
  <c r="Q149" i="52" s="1"/>
  <c r="M205" i="52"/>
  <c r="M110" i="52"/>
  <c r="Q206" i="52"/>
  <c r="Q207" i="52" s="1"/>
  <c r="M147" i="52"/>
  <c r="K10" i="52"/>
  <c r="R9" i="52"/>
  <c r="D22" i="121"/>
  <c r="J22" i="121" s="1"/>
  <c r="M116" i="98"/>
  <c r="M146" i="98"/>
  <c r="M46" i="98"/>
  <c r="M174" i="52"/>
  <c r="M98" i="52"/>
  <c r="K36" i="116" a="1"/>
  <c r="K36" i="116" s="1"/>
  <c r="K96" i="52"/>
  <c r="M173" i="52"/>
  <c r="R97" i="52"/>
  <c r="K145" i="52"/>
  <c r="K146" i="52"/>
  <c r="M71" i="52"/>
  <c r="M231" i="52"/>
  <c r="J72" i="52"/>
  <c r="K36" i="113" s="1" a="1"/>
  <c r="K36" i="113" s="1"/>
  <c r="M99" i="52"/>
  <c r="K229" i="52"/>
  <c r="K97" i="52"/>
  <c r="M100" i="52"/>
  <c r="J111" i="52"/>
  <c r="AC36" i="113" s="1" a="1"/>
  <c r="AC36" i="113" s="1"/>
  <c r="K203" i="52"/>
  <c r="J206" i="52"/>
  <c r="M233" i="52"/>
  <c r="K204" i="52"/>
  <c r="K230" i="52"/>
  <c r="M232" i="52"/>
  <c r="M49" i="52"/>
  <c r="M11" i="52"/>
  <c r="R145" i="52"/>
  <c r="J148" i="52"/>
  <c r="J12" i="52"/>
  <c r="J13" i="52" s="1"/>
  <c r="L36" i="108" s="1" a="1"/>
  <c r="L36" i="108" s="1"/>
  <c r="Q227" i="52" l="1"/>
  <c r="P36" i="115" a="1"/>
  <c r="P36" i="115" s="1"/>
  <c r="J67" i="83" s="1" a="1"/>
  <c r="J67" i="83" s="1"/>
  <c r="Q168" i="52"/>
  <c r="R131" i="52"/>
  <c r="M131" i="52"/>
  <c r="R132" i="52"/>
  <c r="M132" i="52"/>
  <c r="BC7" i="121"/>
  <c r="BD7" i="121" s="1"/>
  <c r="BG7" i="121"/>
  <c r="BH7" i="121" s="1"/>
  <c r="W26" i="121"/>
  <c r="W36" i="115"/>
  <c r="X36" i="115"/>
  <c r="O36" i="108"/>
  <c r="S8" i="121"/>
  <c r="Y8" i="121" s="1"/>
  <c r="AF36" i="114"/>
  <c r="AH20" i="121"/>
  <c r="AW20" i="121"/>
  <c r="Y36" i="114" a="1"/>
  <c r="Y36" i="114" s="1"/>
  <c r="BC10" i="121"/>
  <c r="BD10" i="121" s="1"/>
  <c r="BG10" i="121"/>
  <c r="BH10" i="121" s="1"/>
  <c r="AN25" i="121"/>
  <c r="AO25" i="121" s="1"/>
  <c r="AR25" i="121"/>
  <c r="AS25" i="121" s="1"/>
  <c r="BC26" i="121"/>
  <c r="BD26" i="121" s="1"/>
  <c r="BG26" i="121"/>
  <c r="BH26" i="121" s="1"/>
  <c r="S32" i="121"/>
  <c r="N36" i="116"/>
  <c r="AP10" i="121"/>
  <c r="AQ10" i="121" s="1"/>
  <c r="AP28" i="121"/>
  <c r="AQ28" i="121" s="1"/>
  <c r="Y22" i="121"/>
  <c r="Z22" i="121" s="1"/>
  <c r="AC22" i="121"/>
  <c r="AD22" i="121" s="1"/>
  <c r="AN26" i="121"/>
  <c r="AO26" i="121" s="1"/>
  <c r="AR26" i="121"/>
  <c r="AS26" i="121" s="1"/>
  <c r="AW14" i="121"/>
  <c r="BC22" i="121"/>
  <c r="BD22" i="121" s="1"/>
  <c r="BG22" i="121"/>
  <c r="BH22" i="121" s="1"/>
  <c r="BC8" i="121"/>
  <c r="BD8" i="121" s="1"/>
  <c r="BG8" i="121"/>
  <c r="BH8" i="121" s="1"/>
  <c r="N36" i="113"/>
  <c r="S14" i="121"/>
  <c r="AN22" i="121"/>
  <c r="AO22" i="121" s="1"/>
  <c r="BC25" i="121"/>
  <c r="BD25" i="121" s="1"/>
  <c r="BG25" i="121"/>
  <c r="BH25" i="121" s="1"/>
  <c r="AG36" i="108"/>
  <c r="AE18" i="57" a="1"/>
  <c r="AE18" i="57" s="1"/>
  <c r="K40" i="108"/>
  <c r="R36" i="108" s="1"/>
  <c r="D8" i="57"/>
  <c r="AH15" i="57" a="1"/>
  <c r="AH15" i="57" s="1"/>
  <c r="AH17" i="57" a="1"/>
  <c r="AH17" i="57" s="1"/>
  <c r="AH11" i="57" a="1"/>
  <c r="AH11" i="57" s="1"/>
  <c r="AW16" i="121"/>
  <c r="AF38" i="113"/>
  <c r="S28" i="121"/>
  <c r="AW28" i="121"/>
  <c r="AF38" i="115"/>
  <c r="AW34" i="121"/>
  <c r="AF38" i="116"/>
  <c r="AW19" i="121"/>
  <c r="W25" i="121"/>
  <c r="W35" i="115"/>
  <c r="AW13" i="121"/>
  <c r="S10" i="121"/>
  <c r="O38" i="108"/>
  <c r="AH9" i="57" s="1" a="1"/>
  <c r="AH9" i="57" s="1"/>
  <c r="J46" i="120" a="1"/>
  <c r="J46" i="120" s="1"/>
  <c r="J77" i="83" a="1"/>
  <c r="J77" i="83" s="1"/>
  <c r="AH34" i="121"/>
  <c r="AH28" i="121"/>
  <c r="AH19" i="121"/>
  <c r="AN19" i="121" s="1"/>
  <c r="J56" i="83" a="1"/>
  <c r="J56" i="83" s="1"/>
  <c r="J74" i="83" a="1"/>
  <c r="J74" i="83" s="1"/>
  <c r="J50" i="83" a="1"/>
  <c r="J50" i="83" s="1"/>
  <c r="C9" i="108"/>
  <c r="D56" i="120" a="1"/>
  <c r="D56" i="120" s="1"/>
  <c r="D70" i="83" a="1"/>
  <c r="D70" i="83" s="1"/>
  <c r="D53" i="120" a="1"/>
  <c r="D53" i="120" s="1"/>
  <c r="D77" i="120" a="1"/>
  <c r="D77" i="120" s="1"/>
  <c r="D70" i="120" a="1"/>
  <c r="D70" i="120" s="1"/>
  <c r="D60" i="120" a="1"/>
  <c r="D60" i="120" s="1"/>
  <c r="D49" i="83" a="1"/>
  <c r="D49" i="83" s="1"/>
  <c r="N35" i="116"/>
  <c r="AF13" i="57" s="1" a="1"/>
  <c r="AF13" i="57" s="1"/>
  <c r="M216" i="98"/>
  <c r="K38" i="116" a="1"/>
  <c r="K38" i="116" s="1"/>
  <c r="M196" i="98"/>
  <c r="M96" i="98"/>
  <c r="M66" i="98"/>
  <c r="K38" i="113" a="1"/>
  <c r="K38" i="113" s="1"/>
  <c r="M156" i="52"/>
  <c r="AH10" i="121"/>
  <c r="AN10" i="121" s="1"/>
  <c r="M157" i="52"/>
  <c r="H34" i="121"/>
  <c r="H22" i="121"/>
  <c r="AL16" i="121"/>
  <c r="H16" i="121"/>
  <c r="AL13" i="121"/>
  <c r="I8" i="122"/>
  <c r="M246" i="98"/>
  <c r="K171" i="52"/>
  <c r="Q236" i="52"/>
  <c r="Q237" i="52" s="1"/>
  <c r="J102" i="52"/>
  <c r="R100" i="52"/>
  <c r="M50" i="52"/>
  <c r="D28" i="121"/>
  <c r="J28" i="121" s="1"/>
  <c r="AH16" i="121"/>
  <c r="AN16" i="121" s="1"/>
  <c r="AH14" i="121"/>
  <c r="AN14" i="121" s="1"/>
  <c r="D14" i="121"/>
  <c r="M206" i="52"/>
  <c r="D32" i="121"/>
  <c r="AH13" i="121"/>
  <c r="AN13" i="121" s="1"/>
  <c r="AH8" i="121"/>
  <c r="AN8" i="121" s="1"/>
  <c r="M111" i="52"/>
  <c r="M72" i="52"/>
  <c r="M234" i="52"/>
  <c r="K170" i="52"/>
  <c r="K233" i="52"/>
  <c r="M101" i="52"/>
  <c r="K232" i="52"/>
  <c r="J207" i="52"/>
  <c r="K36" i="115" s="1" a="1"/>
  <c r="K36" i="115" s="1"/>
  <c r="K100" i="52"/>
  <c r="R99" i="52"/>
  <c r="K99" i="52"/>
  <c r="M148" i="52"/>
  <c r="J149" i="52"/>
  <c r="K36" i="114" s="1" a="1"/>
  <c r="K36" i="114" s="1"/>
  <c r="M227" i="52" l="1"/>
  <c r="M168" i="52"/>
  <c r="P36" i="114" a="1"/>
  <c r="P36" i="114" s="1"/>
  <c r="H20" i="121" s="1"/>
  <c r="Q134" i="52"/>
  <c r="M134" i="52" s="1"/>
  <c r="M133" i="52"/>
  <c r="AH18" i="57" a="1"/>
  <c r="AH18" i="57" s="1"/>
  <c r="X36" i="114"/>
  <c r="W36" i="114"/>
  <c r="W20" i="121"/>
  <c r="AN28" i="121"/>
  <c r="AO28" i="121" s="1"/>
  <c r="BC13" i="121"/>
  <c r="BD13" i="121" s="1"/>
  <c r="BG13" i="121"/>
  <c r="BH13" i="121" s="1"/>
  <c r="Y28" i="121"/>
  <c r="Z28" i="121" s="1"/>
  <c r="AC28" i="121"/>
  <c r="AD28" i="121" s="1"/>
  <c r="F6" i="122"/>
  <c r="J14" i="121"/>
  <c r="L34" i="121"/>
  <c r="M34" i="121" s="1"/>
  <c r="AA34" i="121"/>
  <c r="AB34" i="121" s="1"/>
  <c r="AA25" i="121"/>
  <c r="AB25" i="121" s="1"/>
  <c r="BC16" i="121"/>
  <c r="BD16" i="121" s="1"/>
  <c r="BG16" i="121"/>
  <c r="BH16" i="121" s="1"/>
  <c r="S26" i="121"/>
  <c r="Y26" i="121" s="1"/>
  <c r="N36" i="115"/>
  <c r="L22" i="121"/>
  <c r="M22" i="121" s="1"/>
  <c r="N22" i="121"/>
  <c r="O22" i="121" s="1"/>
  <c r="Y14" i="121"/>
  <c r="AC14" i="121"/>
  <c r="AD14" i="121" s="1"/>
  <c r="BC19" i="121"/>
  <c r="BD19" i="121" s="1"/>
  <c r="BG19" i="121"/>
  <c r="BH19" i="121" s="1"/>
  <c r="AR10" i="121"/>
  <c r="AS10" i="121" s="1"/>
  <c r="BC20" i="121"/>
  <c r="BD20" i="121" s="1"/>
  <c r="BG20" i="121"/>
  <c r="BH20" i="121" s="1"/>
  <c r="AN20" i="121"/>
  <c r="AO20" i="121" s="1"/>
  <c r="AR20" i="121"/>
  <c r="AS20" i="121" s="1"/>
  <c r="AA26" i="121"/>
  <c r="AB26" i="121" s="1"/>
  <c r="S20" i="121"/>
  <c r="Y20" i="121" s="1"/>
  <c r="BC34" i="121"/>
  <c r="BD34" i="121" s="1"/>
  <c r="BG34" i="121"/>
  <c r="BH34" i="121" s="1"/>
  <c r="D20" i="121"/>
  <c r="L16" i="121"/>
  <c r="M16" i="121" s="1"/>
  <c r="AR16" i="121"/>
  <c r="AS16" i="121" s="1"/>
  <c r="AP16" i="121"/>
  <c r="AQ16" i="121" s="1"/>
  <c r="BC14" i="121"/>
  <c r="BD14" i="121" s="1"/>
  <c r="BG14" i="121"/>
  <c r="BH14" i="121" s="1"/>
  <c r="AR28" i="121"/>
  <c r="AS28" i="121" s="1"/>
  <c r="AN34" i="121"/>
  <c r="AO34" i="121" s="1"/>
  <c r="AR34" i="121"/>
  <c r="AS34" i="121" s="1"/>
  <c r="D26" i="121"/>
  <c r="O6" i="122"/>
  <c r="J32" i="121"/>
  <c r="AR13" i="121"/>
  <c r="AS13" i="121" s="1"/>
  <c r="AP13" i="121"/>
  <c r="AQ13" i="121" s="1"/>
  <c r="Y32" i="121"/>
  <c r="AC32" i="121"/>
  <c r="AD32" i="121" s="1"/>
  <c r="Y10" i="121"/>
  <c r="Z10" i="121" s="1"/>
  <c r="AC10" i="121"/>
  <c r="AD10" i="121" s="1"/>
  <c r="BC28" i="121"/>
  <c r="BD28" i="121" s="1"/>
  <c r="BG28" i="121"/>
  <c r="BH28" i="121" s="1"/>
  <c r="R39" i="108"/>
  <c r="AR9" i="57" s="1" a="1"/>
  <c r="AR9" i="57" s="1"/>
  <c r="R35" i="108"/>
  <c r="AE15" i="57" a="1"/>
  <c r="AE15" i="57" s="1"/>
  <c r="AH19" i="57" a="1"/>
  <c r="AH19" i="57" s="1"/>
  <c r="AH16" i="57" a="1"/>
  <c r="AH16" i="57" s="1"/>
  <c r="AE10" i="57" a="1"/>
  <c r="AE10" i="57" s="1"/>
  <c r="S34" i="121"/>
  <c r="N38" i="116"/>
  <c r="AH13" i="57" s="1" a="1"/>
  <c r="AH13" i="57" s="1"/>
  <c r="S16" i="121"/>
  <c r="N38" i="113"/>
  <c r="AH10" i="57" s="1" a="1"/>
  <c r="AH10" i="57" s="1"/>
  <c r="S25" i="121"/>
  <c r="Y25" i="121" s="1"/>
  <c r="N35" i="115"/>
  <c r="AF12" i="57" s="1" a="1"/>
  <c r="AF12" i="57" s="1"/>
  <c r="S19" i="121"/>
  <c r="Y19" i="121" s="1"/>
  <c r="S13" i="121"/>
  <c r="S31" i="121"/>
  <c r="W19" i="121"/>
  <c r="S7" i="121"/>
  <c r="Y7" i="121" s="1"/>
  <c r="L39" i="108"/>
  <c r="O39" i="108" s="1"/>
  <c r="AO13" i="121"/>
  <c r="AO16" i="121"/>
  <c r="AO10" i="121"/>
  <c r="G8" i="122"/>
  <c r="J8" i="122"/>
  <c r="J14" i="122" s="1"/>
  <c r="P8" i="122"/>
  <c r="D46" i="83" a="1"/>
  <c r="D46" i="83" s="1"/>
  <c r="D53" i="83" a="1"/>
  <c r="D53" i="83" s="1"/>
  <c r="D67" i="83" a="1"/>
  <c r="D67" i="83" s="1"/>
  <c r="D60" i="83" a="1"/>
  <c r="D60" i="83" s="1"/>
  <c r="J53" i="83" a="1"/>
  <c r="J53" i="83" s="1"/>
  <c r="D74" i="83" a="1"/>
  <c r="D74" i="83" s="1"/>
  <c r="D16" i="121"/>
  <c r="J16" i="121" s="1"/>
  <c r="D56" i="83" a="1"/>
  <c r="D56" i="83" s="1"/>
  <c r="H56" i="83" s="1"/>
  <c r="D77" i="83" a="1"/>
  <c r="D77" i="83" s="1"/>
  <c r="D34" i="121"/>
  <c r="N34" i="121" s="1"/>
  <c r="O34" i="121" s="1"/>
  <c r="AE13" i="57" a="1"/>
  <c r="AE13" i="57" s="1"/>
  <c r="D7" i="121"/>
  <c r="D9" i="121"/>
  <c r="D10" i="121"/>
  <c r="H26" i="121"/>
  <c r="H14" i="121"/>
  <c r="H10" i="121"/>
  <c r="AL7" i="121"/>
  <c r="L8" i="122"/>
  <c r="K63" i="120"/>
  <c r="K49" i="120"/>
  <c r="H77" i="120"/>
  <c r="J103" i="52"/>
  <c r="J104" i="52" s="1"/>
  <c r="M235" i="52"/>
  <c r="K174" i="52"/>
  <c r="H70" i="120"/>
  <c r="H56" i="120"/>
  <c r="M102" i="52"/>
  <c r="J176" i="52"/>
  <c r="H63" i="120"/>
  <c r="H49" i="120"/>
  <c r="D31" i="121"/>
  <c r="D25" i="121"/>
  <c r="D19" i="121"/>
  <c r="D13" i="121"/>
  <c r="M207" i="52"/>
  <c r="K173" i="52"/>
  <c r="N36" i="114" l="1"/>
  <c r="Q135" i="52"/>
  <c r="AH36" i="113" s="1" a="1"/>
  <c r="AH36" i="113" s="1"/>
  <c r="AC26" i="121"/>
  <c r="AD26" i="121" s="1"/>
  <c r="C7" i="122"/>
  <c r="J9" i="121"/>
  <c r="L10" i="121"/>
  <c r="M10" i="121" s="1"/>
  <c r="N10" i="121"/>
  <c r="O10" i="121" s="1"/>
  <c r="O5" i="122"/>
  <c r="J31" i="121"/>
  <c r="G6" i="122"/>
  <c r="N14" i="121"/>
  <c r="O14" i="121" s="1"/>
  <c r="L14" i="121"/>
  <c r="M14" i="121" s="1"/>
  <c r="Y16" i="121"/>
  <c r="Z16" i="121" s="1"/>
  <c r="AC16" i="121"/>
  <c r="AD16" i="121" s="1"/>
  <c r="AC19" i="121"/>
  <c r="AD19" i="121" s="1"/>
  <c r="AA19" i="121"/>
  <c r="AB19" i="121" s="1"/>
  <c r="I6" i="122"/>
  <c r="J20" i="121"/>
  <c r="J6" i="122"/>
  <c r="N20" i="121"/>
  <c r="O20" i="121" s="1"/>
  <c r="L20" i="121"/>
  <c r="M20" i="121" s="1"/>
  <c r="Y31" i="121"/>
  <c r="AC31" i="121"/>
  <c r="AD31" i="121" s="1"/>
  <c r="Y34" i="121"/>
  <c r="Z34" i="121" s="1"/>
  <c r="M6" i="122"/>
  <c r="N26" i="121"/>
  <c r="O26" i="121" s="1"/>
  <c r="L26" i="121"/>
  <c r="M26" i="121" s="1"/>
  <c r="O8" i="122"/>
  <c r="P14" i="122" s="1"/>
  <c r="J34" i="121"/>
  <c r="Y13" i="121"/>
  <c r="AC13" i="121"/>
  <c r="AD13" i="121" s="1"/>
  <c r="C8" i="122"/>
  <c r="J10" i="121"/>
  <c r="AC25" i="121"/>
  <c r="AD25" i="121" s="1"/>
  <c r="AC20" i="121"/>
  <c r="AD20" i="121" s="1"/>
  <c r="AA20" i="121"/>
  <c r="AB20" i="121" s="1"/>
  <c r="F5" i="122"/>
  <c r="J13" i="121"/>
  <c r="AO7" i="121"/>
  <c r="AP7" i="121"/>
  <c r="AQ7" i="121" s="1"/>
  <c r="AR7" i="121"/>
  <c r="AS7" i="121" s="1"/>
  <c r="C5" i="122"/>
  <c r="J7" i="121"/>
  <c r="K7" i="121" s="1"/>
  <c r="L6" i="122"/>
  <c r="J26" i="121"/>
  <c r="I5" i="122"/>
  <c r="J19" i="121"/>
  <c r="L5" i="122"/>
  <c r="J25" i="121"/>
  <c r="N16" i="121"/>
  <c r="O16" i="121" s="1"/>
  <c r="AC34" i="121"/>
  <c r="AD34" i="121" s="1"/>
  <c r="L11" i="57"/>
  <c r="D11" i="57"/>
  <c r="AE12" i="57" a="1"/>
  <c r="AE12" i="57" s="1"/>
  <c r="D11" i="108"/>
  <c r="K34" i="108"/>
  <c r="S11" i="121"/>
  <c r="Y11" i="121" s="1"/>
  <c r="AI9" i="57" a="1"/>
  <c r="AI9" i="57" s="1"/>
  <c r="C11" i="108"/>
  <c r="C18" i="108" s="1"/>
  <c r="AO14" i="121"/>
  <c r="D8" i="122"/>
  <c r="F8" i="122"/>
  <c r="G14" i="122" s="1"/>
  <c r="D50" i="83" a="1"/>
  <c r="D50" i="83" s="1"/>
  <c r="D51" i="83" s="1"/>
  <c r="H32" i="121"/>
  <c r="H9" i="121"/>
  <c r="AL8" i="121"/>
  <c r="M236" i="52"/>
  <c r="K56" i="83"/>
  <c r="L49" i="120"/>
  <c r="L63" i="120"/>
  <c r="K61" i="83"/>
  <c r="K56" i="120"/>
  <c r="K77" i="120"/>
  <c r="K70" i="120"/>
  <c r="K54" i="83"/>
  <c r="K68" i="83"/>
  <c r="M103" i="52"/>
  <c r="Z32" i="121"/>
  <c r="J177" i="52"/>
  <c r="J178" i="52" s="1"/>
  <c r="F54" i="83"/>
  <c r="Z20" i="121"/>
  <c r="Z26" i="121"/>
  <c r="Z14" i="121"/>
  <c r="F61" i="83"/>
  <c r="F68" i="83"/>
  <c r="M135" i="52" l="1"/>
  <c r="D14" i="122"/>
  <c r="AR8" i="121"/>
  <c r="AS8" i="121" s="1"/>
  <c r="AP8" i="121"/>
  <c r="AQ8" i="121" s="1"/>
  <c r="N9" i="121"/>
  <c r="O9" i="121" s="1"/>
  <c r="L9" i="121"/>
  <c r="M9" i="121" s="1"/>
  <c r="P6" i="122"/>
  <c r="N32" i="121"/>
  <c r="O32" i="121" s="1"/>
  <c r="L32" i="121"/>
  <c r="M32" i="121" s="1"/>
  <c r="M36" i="108"/>
  <c r="P35" i="108"/>
  <c r="P36" i="108"/>
  <c r="O40" i="108"/>
  <c r="AJ9" i="57" s="1"/>
  <c r="M35" i="108"/>
  <c r="E12" i="57"/>
  <c r="D12" i="57"/>
  <c r="D13" i="57"/>
  <c r="S12" i="121"/>
  <c r="Y12" i="121" s="1"/>
  <c r="M39" i="108"/>
  <c r="M38" i="108"/>
  <c r="P37" i="108"/>
  <c r="M37" i="108"/>
  <c r="P38" i="108"/>
  <c r="C17" i="108"/>
  <c r="AO8" i="121"/>
  <c r="D7" i="122"/>
  <c r="D13" i="122" s="1"/>
  <c r="L70" i="120"/>
  <c r="L77" i="120"/>
  <c r="L56" i="120"/>
  <c r="L54" i="83"/>
  <c r="L56" i="83"/>
  <c r="L68" i="83"/>
  <c r="L61" i="83"/>
  <c r="K75" i="120"/>
  <c r="K61" i="120"/>
  <c r="K48" i="83"/>
  <c r="K75" i="83"/>
  <c r="G48" i="83"/>
  <c r="F75" i="83"/>
  <c r="K54" i="120"/>
  <c r="F61" i="120"/>
  <c r="F75" i="120"/>
  <c r="M237" i="52"/>
  <c r="M104" i="52"/>
  <c r="J53" i="120" l="1" a="1"/>
  <c r="J53" i="120" s="1"/>
  <c r="AF36" i="113"/>
  <c r="AE16" i="57" s="1" a="1"/>
  <c r="AE16" i="57" s="1"/>
  <c r="AL14" i="121"/>
  <c r="L75" i="120"/>
  <c r="L61" i="120"/>
  <c r="L48" i="83"/>
  <c r="L75" i="83"/>
  <c r="L54" i="120"/>
  <c r="K68" i="120"/>
  <c r="F68" i="120"/>
  <c r="F54" i="120"/>
  <c r="Z31" i="121"/>
  <c r="Z25" i="121"/>
  <c r="Z19" i="121"/>
  <c r="Z13" i="121"/>
  <c r="AP14" i="121" l="1"/>
  <c r="AQ14" i="121" s="1"/>
  <c r="AR14" i="121"/>
  <c r="AS14" i="121" s="1"/>
  <c r="L68" i="120"/>
  <c r="M12" i="52" l="1"/>
  <c r="M13" i="52" l="1"/>
  <c r="AE9" i="57" s="1" a="1"/>
  <c r="AE9" i="57" s="1"/>
  <c r="R10" i="52"/>
  <c r="H7" i="121" l="1"/>
  <c r="H13" i="121"/>
  <c r="H25" i="121"/>
  <c r="H31" i="121"/>
  <c r="M175" i="52"/>
  <c r="M172" i="52"/>
  <c r="N31" i="121" l="1"/>
  <c r="O31" i="121" s="1"/>
  <c r="L31" i="121"/>
  <c r="M31" i="121" s="1"/>
  <c r="N25" i="121"/>
  <c r="O25" i="121" s="1"/>
  <c r="L25" i="121"/>
  <c r="M25" i="121" s="1"/>
  <c r="N13" i="121"/>
  <c r="O13" i="121" s="1"/>
  <c r="L13" i="121"/>
  <c r="M13" i="121" s="1"/>
  <c r="L7" i="121"/>
  <c r="M7" i="121" s="1"/>
  <c r="N7" i="121"/>
  <c r="O7" i="121" s="1"/>
  <c r="P5" i="122"/>
  <c r="P11" i="122" s="1"/>
  <c r="M5" i="122"/>
  <c r="M11" i="122" s="1"/>
  <c r="G5" i="122"/>
  <c r="G11" i="122" s="1"/>
  <c r="D5" i="122"/>
  <c r="D11" i="122" s="1"/>
  <c r="P39" i="108"/>
  <c r="P12" i="122"/>
  <c r="M12" i="122"/>
  <c r="G12" i="122"/>
  <c r="K53" i="83"/>
  <c r="M176" i="52"/>
  <c r="E53" i="83"/>
  <c r="M177" i="52"/>
  <c r="AO9" i="57" l="1" a="1"/>
  <c r="AO9" i="57" s="1"/>
  <c r="R37" i="108"/>
  <c r="AP9" i="57" s="1" a="1"/>
  <c r="AP9" i="57" s="1"/>
  <c r="R38" i="108"/>
  <c r="AQ9" i="57" s="1" a="1"/>
  <c r="AQ9" i="57" s="1"/>
  <c r="AN9" i="57" a="1"/>
  <c r="AN9" i="57" s="1"/>
  <c r="L53" i="83"/>
  <c r="AS9" i="57" l="1"/>
  <c r="M178" i="52"/>
  <c r="R182" i="52" l="1"/>
  <c r="R181" i="52"/>
  <c r="Q184" i="52"/>
  <c r="Q185" i="52" s="1"/>
  <c r="M184" i="52" l="1"/>
  <c r="AL19" i="121" l="1"/>
  <c r="J60" i="120" a="1"/>
  <c r="J60" i="120" s="1"/>
  <c r="M185" i="52"/>
  <c r="AE17" i="57" s="1" a="1"/>
  <c r="AE17" i="57" s="1"/>
  <c r="AR19" i="121" l="1"/>
  <c r="AS19" i="121" s="1"/>
  <c r="AP19" i="121"/>
  <c r="AQ19" i="121" s="1"/>
  <c r="AO19" i="121"/>
  <c r="J60" i="83" l="1" a="1"/>
  <c r="J60" i="83" s="1"/>
  <c r="M149" i="52"/>
  <c r="AE11" i="57" s="1" a="1"/>
  <c r="AE11" i="57" s="1"/>
  <c r="H19" i="121" l="1"/>
  <c r="N19" i="121" l="1"/>
  <c r="O19" i="121" s="1"/>
  <c r="L19" i="121"/>
  <c r="M19" i="121" s="1"/>
  <c r="J5" i="122"/>
  <c r="J11" i="122" s="1"/>
  <c r="J12" i="122"/>
  <c r="K46" i="83"/>
  <c r="K60" i="83"/>
  <c r="E46" i="83"/>
  <c r="E45" i="83" l="1"/>
  <c r="L46" i="83"/>
  <c r="L60" i="83"/>
  <c r="E60" i="83"/>
  <c r="R173" i="52"/>
  <c r="R174" i="52"/>
  <c r="R170" i="52"/>
  <c r="R171" i="52"/>
  <c r="R146" i="52"/>
  <c r="K63" i="83" l="1"/>
  <c r="H63" i="83"/>
  <c r="L63" i="83" l="1"/>
  <c r="K67" i="83" l="1"/>
  <c r="L67" i="83" l="1"/>
  <c r="E67" i="83"/>
  <c r="R203" i="52"/>
  <c r="R204" i="52"/>
  <c r="R232" i="52"/>
  <c r="R233" i="52"/>
  <c r="R240" i="52"/>
  <c r="R241" i="52"/>
  <c r="R229" i="52"/>
  <c r="R230" i="52"/>
  <c r="K74" i="83" l="1"/>
  <c r="L74" i="83" l="1"/>
  <c r="K77" i="83" l="1"/>
  <c r="H77" i="83"/>
  <c r="L77" i="83" l="1"/>
  <c r="E74" i="83" l="1"/>
  <c r="K49" i="83" l="1"/>
  <c r="H49" i="83"/>
  <c r="L49" i="83" l="1"/>
  <c r="K60" i="120" l="1"/>
  <c r="K53" i="120"/>
  <c r="K67" i="120"/>
  <c r="E67" i="120"/>
  <c r="E60" i="120"/>
  <c r="E53" i="120"/>
  <c r="L67" i="120" l="1"/>
  <c r="L53" i="120"/>
  <c r="L60" i="120"/>
  <c r="O163" i="98" l="1"/>
  <c r="O55" i="115" s="1" a="1"/>
  <c r="O55" i="115" s="1"/>
  <c r="O56" i="115" l="1"/>
  <c r="O69" i="115" s="1"/>
  <c r="O68" i="115"/>
  <c r="Q68" i="115" s="1"/>
  <c r="Q163" i="98"/>
  <c r="Q164" i="98" s="1"/>
  <c r="Q165" i="98" s="1"/>
  <c r="M165" i="98" s="1"/>
  <c r="Q160" i="98"/>
  <c r="O57" i="115" l="1"/>
  <c r="O61" i="115" s="1"/>
  <c r="R162" i="98"/>
  <c r="M163" i="98"/>
  <c r="M160" i="98"/>
  <c r="R159" i="98" l="1"/>
  <c r="R161" i="98"/>
  <c r="R160" i="98"/>
  <c r="Q166" i="98" l="1"/>
  <c r="P38" i="115" s="1" a="1"/>
  <c r="P38" i="115" s="1"/>
  <c r="N38" i="115" s="1"/>
  <c r="M164" i="98"/>
  <c r="J70" i="83" l="1" a="1"/>
  <c r="J70" i="83" s="1"/>
  <c r="M166" i="98"/>
  <c r="AH12" i="57" s="1" a="1"/>
  <c r="AH12" i="57" s="1"/>
  <c r="H28" i="121" l="1"/>
  <c r="L28" i="121" l="1"/>
  <c r="M28" i="121" s="1"/>
  <c r="N28" i="121"/>
  <c r="O28" i="121" s="1"/>
  <c r="M8" i="122"/>
  <c r="M14" i="122" s="1"/>
  <c r="K70" i="83"/>
  <c r="H70" i="83"/>
  <c r="L70" i="83" l="1"/>
  <c r="D12" i="121" l="1"/>
  <c r="J12" i="121" s="1"/>
  <c r="M36" i="52" l="1"/>
  <c r="M38" i="52" l="1"/>
  <c r="M39" i="52"/>
  <c r="R38" i="52" l="1"/>
  <c r="K35" i="52"/>
  <c r="K36" i="52"/>
  <c r="M40" i="52"/>
  <c r="R39" i="52"/>
  <c r="J41" i="52"/>
  <c r="K38" i="52"/>
  <c r="K39" i="52"/>
  <c r="J42" i="52" l="1"/>
  <c r="J43" i="52" s="1"/>
  <c r="R36" i="52" l="1"/>
  <c r="M37" i="52"/>
  <c r="R35" i="52"/>
  <c r="M35" i="52"/>
  <c r="Q42" i="52" l="1"/>
  <c r="M41" i="52"/>
  <c r="M42" i="52" l="1"/>
  <c r="Q43" i="52"/>
  <c r="M43" i="52" l="1"/>
  <c r="K46" i="120" l="1"/>
  <c r="E46" i="120"/>
  <c r="L46" i="120" l="1"/>
  <c r="H8" i="121" l="1"/>
  <c r="D6" i="122" l="1"/>
  <c r="L8" i="121"/>
  <c r="M8" i="121" s="1"/>
  <c r="H11" i="121"/>
  <c r="J51" i="83"/>
  <c r="L11" i="121" l="1"/>
  <c r="M11" i="121" s="1"/>
  <c r="H12" i="121"/>
  <c r="L12" i="121" s="1"/>
  <c r="D9" i="122"/>
  <c r="N12" i="121" l="1"/>
  <c r="O12" i="121" s="1"/>
  <c r="M12" i="121"/>
  <c r="I11" i="121"/>
  <c r="K12" i="121"/>
  <c r="E13" i="57" l="1"/>
  <c r="K22" i="121" l="1"/>
  <c r="K10" i="121" l="1"/>
  <c r="K14" i="121"/>
  <c r="K28" i="121"/>
  <c r="K26" i="121"/>
  <c r="K20" i="121"/>
  <c r="K32" i="121"/>
  <c r="K9" i="121"/>
  <c r="K16" i="121" l="1"/>
  <c r="K34" i="121"/>
  <c r="K13" i="121" l="1"/>
  <c r="K19" i="121"/>
  <c r="K25" i="121"/>
  <c r="K31" i="121"/>
  <c r="D4" i="122" l="1"/>
  <c r="Q302" i="52" l="1"/>
  <c r="Q320" i="52" s="1"/>
  <c r="P304" i="52"/>
  <c r="Q304" i="52" s="1"/>
  <c r="R318" i="52" l="1"/>
  <c r="M318" i="52"/>
  <c r="Q305" i="52"/>
  <c r="Q306" i="52" s="1"/>
  <c r="M302" i="52"/>
  <c r="Q321" i="52" l="1"/>
  <c r="M321" i="52" s="1"/>
  <c r="M320" i="52"/>
  <c r="R319" i="52"/>
  <c r="R302" i="52"/>
  <c r="M304" i="52"/>
  <c r="R303" i="52"/>
  <c r="M305" i="52"/>
  <c r="Q322" i="52" l="1"/>
  <c r="M306" i="52"/>
  <c r="M322" i="52" l="1"/>
  <c r="R16" i="52"/>
  <c r="R18" i="52"/>
  <c r="M19" i="52"/>
  <c r="Q20" i="52"/>
  <c r="R17" i="52"/>
  <c r="M20" i="52" l="1"/>
  <c r="Q21" i="52"/>
  <c r="Z36" i="108" l="1" a="1"/>
  <c r="Z36" i="108" s="1"/>
  <c r="Y36" i="108" s="1"/>
  <c r="W7" i="121"/>
  <c r="M21" i="52"/>
  <c r="W8" i="121" l="1"/>
  <c r="AA8" i="121" s="1"/>
  <c r="AB8" i="121" s="1"/>
  <c r="X36" i="108"/>
  <c r="AC7" i="121"/>
  <c r="AD7" i="121" s="1"/>
  <c r="AA7" i="121"/>
  <c r="AB7" i="121" s="1"/>
  <c r="Z7" i="121"/>
  <c r="AC8" i="121" l="1"/>
  <c r="AD8" i="121" s="1"/>
  <c r="D8" i="121"/>
  <c r="J8" i="121" l="1"/>
  <c r="K8" i="121" s="1"/>
  <c r="N8" i="121"/>
  <c r="O8" i="121" s="1"/>
  <c r="C6" i="122"/>
  <c r="D12" i="122" s="1"/>
  <c r="D11" i="121"/>
  <c r="F47" i="83"/>
  <c r="K47" i="83"/>
  <c r="J11" i="121" l="1"/>
  <c r="K11" i="121" s="1"/>
  <c r="N11" i="121"/>
  <c r="O11" i="121" s="1"/>
  <c r="L47" i="83"/>
  <c r="I50" i="83"/>
  <c r="K50" i="83"/>
  <c r="F45" i="83"/>
  <c r="G45" i="83" s="1"/>
  <c r="H45" i="83" s="1"/>
  <c r="C9" i="122"/>
  <c r="C4" i="122" s="1"/>
  <c r="D10" i="122" s="1"/>
  <c r="E11" i="121"/>
  <c r="K51" i="83"/>
  <c r="L51" i="83" s="1"/>
  <c r="D18" i="122" l="1"/>
  <c r="D17" i="122"/>
  <c r="L50" i="83"/>
  <c r="I45" i="83"/>
  <c r="M137" i="66" l="1"/>
  <c r="R137" i="66"/>
  <c r="J64" i="66"/>
  <c r="J65" i="66" l="1"/>
  <c r="M64" i="66"/>
  <c r="K59" i="66"/>
  <c r="J66" i="66" l="1"/>
  <c r="M66" i="66" l="1"/>
  <c r="K47" i="120"/>
  <c r="F47" i="120"/>
  <c r="L47" i="120" l="1"/>
  <c r="Z8" i="121" l="1"/>
  <c r="P37" i="113" a="1"/>
  <c r="P37" i="113" s="1"/>
  <c r="AI37" i="108" a="1"/>
  <c r="AI37" i="108" s="1"/>
  <c r="K37" i="113" a="1"/>
  <c r="K37" i="113" s="1"/>
  <c r="AD37" i="108" a="1"/>
  <c r="AD37" i="108" s="1"/>
  <c r="O54" i="113" a="1"/>
  <c r="O54" i="113" s="1"/>
  <c r="AJ54" i="113" a="1"/>
  <c r="AJ54" i="113" s="1"/>
  <c r="K54" i="113" a="1"/>
  <c r="K54" i="113" s="1"/>
  <c r="K56" i="113" s="1"/>
  <c r="AN54" i="113" a="1"/>
  <c r="AN54" i="113" s="1"/>
  <c r="AL37" i="114" a="1"/>
  <c r="AL37" i="114" s="1"/>
  <c r="L54" i="113" a="1"/>
  <c r="L54" i="113" s="1"/>
  <c r="AO54" i="113" a="1"/>
  <c r="AO54" i="113" s="1"/>
  <c r="AK54" i="113" a="1"/>
  <c r="AK54" i="113" s="1"/>
  <c r="AM37" i="108" a="1"/>
  <c r="AM37" i="108" s="1"/>
  <c r="T37" i="115" a="1"/>
  <c r="T37" i="115" s="1"/>
  <c r="T37" i="114" a="1"/>
  <c r="T37" i="114" s="1"/>
  <c r="AL37" i="115" a="1"/>
  <c r="AL37" i="115" s="1"/>
  <c r="P54" i="113" a="1"/>
  <c r="P54" i="113" s="1"/>
  <c r="P56" i="113" s="1"/>
  <c r="AX54" i="113" a="1"/>
  <c r="AX54" i="113" s="1"/>
  <c r="AX56" i="113" s="1"/>
  <c r="BE54" i="113" a="1"/>
  <c r="BE54" i="113" s="1"/>
  <c r="AW54" i="113" a="1"/>
  <c r="AW54" i="113" s="1"/>
  <c r="AW56" i="113" s="1"/>
  <c r="BB54" i="113" a="1"/>
  <c r="BB54" i="113" s="1"/>
  <c r="AV54" i="113" a="1"/>
  <c r="AV54" i="113" s="1"/>
  <c r="AV56" i="113" s="1"/>
  <c r="AU54" i="113" a="1"/>
  <c r="AU54" i="113" s="1"/>
  <c r="AU56" i="113" s="1"/>
  <c r="BC54" i="113" a="1"/>
  <c r="BC54" i="113" s="1"/>
  <c r="AL37" i="116" a="1"/>
  <c r="AL37" i="116" s="1"/>
  <c r="AP37" i="116" s="1"/>
  <c r="BA54" i="113" a="1"/>
  <c r="BA54" i="113" s="1"/>
  <c r="T37" i="113" a="1"/>
  <c r="T37" i="113" s="1"/>
  <c r="BD54" i="113" a="1"/>
  <c r="BD54" i="113" s="1"/>
  <c r="BD56" i="113" s="1"/>
  <c r="AR37" i="108" a="1"/>
  <c r="AR37" i="108" s="1"/>
  <c r="Y37" i="113" a="1"/>
  <c r="Y37" i="113" s="1"/>
  <c r="AQ37" i="114" a="1"/>
  <c r="AQ37" i="114" s="1"/>
  <c r="Y37" i="114" a="1"/>
  <c r="Y37" i="114" s="1"/>
  <c r="P37" i="114" a="1"/>
  <c r="P37" i="114" s="1"/>
  <c r="AQ37" i="113" a="1"/>
  <c r="AQ37" i="113" s="1"/>
  <c r="Y37" i="116" a="1"/>
  <c r="Y37" i="116" s="1"/>
  <c r="W33" i="121" s="1"/>
  <c r="AC37" i="116" a="1"/>
  <c r="AC37" i="116" s="1"/>
  <c r="K37" i="114" a="1"/>
  <c r="K37" i="114" s="1"/>
  <c r="AH37" i="113" a="1"/>
  <c r="AH37" i="113" s="1"/>
  <c r="AC37" i="113" a="1"/>
  <c r="AC37" i="113" s="1"/>
  <c r="AQ37" i="115" a="1"/>
  <c r="AQ37" i="115" s="1"/>
  <c r="AC37" i="114" a="1"/>
  <c r="AC37" i="114" s="1"/>
  <c r="AL37" i="113" a="1"/>
  <c r="AL37" i="113" s="1"/>
  <c r="P37" i="115" a="1"/>
  <c r="P37" i="115" s="1"/>
  <c r="K37" i="116" a="1"/>
  <c r="K37" i="116" s="1"/>
  <c r="Y37" i="115" a="1"/>
  <c r="Y37" i="115" s="1"/>
  <c r="K37" i="115" a="1"/>
  <c r="K37" i="115" s="1"/>
  <c r="P37" i="116" a="1"/>
  <c r="P37" i="116" s="1"/>
  <c r="T37" i="116" a="1"/>
  <c r="T37" i="116" s="1"/>
  <c r="P26" i="68" a="1"/>
  <c r="P26" i="68" s="1"/>
  <c r="P27" i="68" a="1"/>
  <c r="P27" i="68" s="1"/>
  <c r="P25" i="68" a="1"/>
  <c r="P25" i="68" s="1"/>
  <c r="P28" i="68" a="1"/>
  <c r="P28" i="68" s="1"/>
  <c r="F26" i="68"/>
  <c r="F27" i="68" s="1"/>
  <c r="F28" i="68" s="1"/>
  <c r="I28" i="68" a="1"/>
  <c r="I28" i="68" s="1"/>
  <c r="AH37" i="115" a="1"/>
  <c r="AH37" i="115" s="1"/>
  <c r="I27" i="68" a="1"/>
  <c r="I27" i="68" s="1"/>
  <c r="I26" i="68" a="1"/>
  <c r="I26" i="68" s="1"/>
  <c r="X54" i="113" a="1"/>
  <c r="X54" i="113" s="1"/>
  <c r="Y54" i="113" a="1"/>
  <c r="Y54" i="113" s="1"/>
  <c r="AC54" i="113" a="1"/>
  <c r="AC54" i="113" s="1"/>
  <c r="AE54" i="113" a="1"/>
  <c r="AE54" i="113" s="1"/>
  <c r="AD54" i="113" a="1"/>
  <c r="AD54" i="113" s="1"/>
  <c r="W54" i="113" a="1"/>
  <c r="W54" i="113" s="1"/>
  <c r="U54" i="113" a="1"/>
  <c r="U54" i="113" s="1"/>
  <c r="V54" i="113" a="1"/>
  <c r="V54" i="113" s="1"/>
  <c r="AB54" i="113" a="1"/>
  <c r="AB54" i="113" s="1"/>
  <c r="AC37" i="115" a="1"/>
  <c r="AC37" i="115" s="1"/>
  <c r="P21" i="68" a="1"/>
  <c r="P21" i="68" s="1"/>
  <c r="P20" i="68" a="1"/>
  <c r="P20" i="68" s="1"/>
  <c r="I22" i="68" a="1"/>
  <c r="I22" i="68" s="1"/>
  <c r="I21" i="68" a="1"/>
  <c r="I21" i="68" s="1"/>
  <c r="I20" i="68" a="1"/>
  <c r="I20" i="68" s="1"/>
  <c r="P19" i="68" a="1"/>
  <c r="P19" i="68" s="1"/>
  <c r="P22" i="68" a="1"/>
  <c r="P22" i="68" s="1"/>
  <c r="I19" i="68" a="1"/>
  <c r="I19" i="68" s="1"/>
  <c r="F19" i="68" a="1"/>
  <c r="F19" i="68" s="1"/>
  <c r="F20" i="68" s="1"/>
  <c r="F21" i="68" s="1"/>
  <c r="F22" i="68" s="1"/>
  <c r="F23" i="68" s="1"/>
  <c r="F24" i="68" s="1"/>
  <c r="I25" i="68" a="1"/>
  <c r="I25" i="68" s="1"/>
  <c r="AA33" i="121" l="1"/>
  <c r="AB33" i="121" s="1"/>
  <c r="X37" i="115"/>
  <c r="AP37" i="114"/>
  <c r="AP37" i="115"/>
  <c r="AQ37" i="108"/>
  <c r="W15" i="121"/>
  <c r="X37" i="113"/>
  <c r="X37" i="116"/>
  <c r="AP37" i="113"/>
  <c r="W21" i="121"/>
  <c r="X37" i="114"/>
  <c r="W37" i="116"/>
  <c r="N37" i="113"/>
  <c r="AG10" i="57" s="1" a="1"/>
  <c r="AG10" i="57" s="1"/>
  <c r="AW21" i="121"/>
  <c r="BC21" i="121" s="1"/>
  <c r="AF37" i="114"/>
  <c r="AG17" i="57" s="1" a="1"/>
  <c r="AG17" i="57" s="1"/>
  <c r="AW15" i="121"/>
  <c r="BC15" i="121" s="1"/>
  <c r="AF37" i="113"/>
  <c r="AG16" i="57" s="1" a="1"/>
  <c r="AG16" i="57" s="1"/>
  <c r="S27" i="121"/>
  <c r="Y27" i="121" s="1"/>
  <c r="N37" i="115"/>
  <c r="AG12" i="57" s="1" a="1"/>
  <c r="AG12" i="57" s="1"/>
  <c r="AW27" i="121"/>
  <c r="BC27" i="121" s="1"/>
  <c r="AF37" i="115"/>
  <c r="AG18" i="57" s="1" a="1"/>
  <c r="AG18" i="57" s="1"/>
  <c r="AG37" i="108"/>
  <c r="AG15" i="57" s="1" a="1"/>
  <c r="AG15" i="57" s="1"/>
  <c r="N37" i="116"/>
  <c r="AG13" i="57" s="1" a="1"/>
  <c r="AG13" i="57" s="1"/>
  <c r="S21" i="121"/>
  <c r="Y21" i="121" s="1"/>
  <c r="N37" i="114"/>
  <c r="AG11" i="57" s="1" a="1"/>
  <c r="AG11" i="57" s="1"/>
  <c r="AW33" i="121"/>
  <c r="BC33" i="121" s="1"/>
  <c r="AF37" i="116"/>
  <c r="AG19" i="57" s="1" a="1"/>
  <c r="AG19" i="57" s="1"/>
  <c r="AL39" i="113"/>
  <c r="AO37" i="113"/>
  <c r="AO37" i="114"/>
  <c r="AO37" i="116"/>
  <c r="AO37" i="115"/>
  <c r="W37" i="114"/>
  <c r="AP37" i="108"/>
  <c r="W37" i="113"/>
  <c r="W37" i="115"/>
  <c r="BL54" i="113"/>
  <c r="BL56" i="113" s="1"/>
  <c r="BA33" i="121"/>
  <c r="S15" i="121"/>
  <c r="Y15" i="121" s="1"/>
  <c r="BA21" i="121"/>
  <c r="S33" i="121"/>
  <c r="BA9" i="121"/>
  <c r="J48" i="120" a="1"/>
  <c r="J48" i="120" s="1"/>
  <c r="AW9" i="121"/>
  <c r="BC9" i="121" s="1"/>
  <c r="D48" i="120" a="1"/>
  <c r="D48" i="120" s="1"/>
  <c r="BA27" i="121"/>
  <c r="BA15" i="121"/>
  <c r="W27" i="121"/>
  <c r="AH15" i="121"/>
  <c r="AN15" i="121" s="1"/>
  <c r="D15" i="121"/>
  <c r="AH9" i="121"/>
  <c r="AN9" i="121" s="1"/>
  <c r="I23" i="68" a="1"/>
  <c r="I23" i="68" s="1"/>
  <c r="J23" i="68" s="1"/>
  <c r="I29" i="68" a="1"/>
  <c r="I29" i="68" s="1"/>
  <c r="AV57" i="113"/>
  <c r="AV61" i="113" s="1"/>
  <c r="BC56" i="113"/>
  <c r="BC57" i="113" s="1"/>
  <c r="BE56" i="113"/>
  <c r="BE57" i="113" s="1"/>
  <c r="Q20" i="68"/>
  <c r="Q21" i="68"/>
  <c r="J20" i="68"/>
  <c r="J21" i="68"/>
  <c r="J26" i="68"/>
  <c r="AM39" i="108"/>
  <c r="BB56" i="113"/>
  <c r="BB57" i="113" s="1"/>
  <c r="AL39" i="114"/>
  <c r="J27" i="68"/>
  <c r="Q26" i="68"/>
  <c r="AW57" i="113"/>
  <c r="AW61" i="113" s="1"/>
  <c r="J19" i="68"/>
  <c r="AD56" i="113"/>
  <c r="AD57" i="113" s="1"/>
  <c r="U56" i="113"/>
  <c r="U57" i="113" s="1"/>
  <c r="U61" i="113" s="1"/>
  <c r="F29" i="68"/>
  <c r="F30" i="68" s="1"/>
  <c r="F33" i="68" s="1"/>
  <c r="J28" i="68"/>
  <c r="Y56" i="113"/>
  <c r="Y57" i="113" s="1"/>
  <c r="Y61" i="113" s="1"/>
  <c r="X56" i="113"/>
  <c r="X57" i="113" s="1"/>
  <c r="X61" i="113" s="1"/>
  <c r="AE56" i="113"/>
  <c r="AE57" i="113" s="1"/>
  <c r="Q28" i="68"/>
  <c r="Q19" i="68"/>
  <c r="P23" i="68" a="1"/>
  <c r="P23" i="68" s="1"/>
  <c r="Q23" i="68" s="1"/>
  <c r="Q22" i="68"/>
  <c r="AB56" i="113"/>
  <c r="Q25" i="68"/>
  <c r="P29" i="68" a="1"/>
  <c r="P29" i="68" s="1"/>
  <c r="V56" i="113"/>
  <c r="V57" i="113" s="1"/>
  <c r="V61" i="113" s="1"/>
  <c r="J22" i="68"/>
  <c r="T57" i="113"/>
  <c r="T61" i="113" s="1"/>
  <c r="Q27" i="68"/>
  <c r="W56" i="113"/>
  <c r="W57" i="113" s="1"/>
  <c r="W61" i="113" s="1"/>
  <c r="AA56" i="113"/>
  <c r="AA57" i="113" s="1"/>
  <c r="T10" i="124" s="1"/>
  <c r="AH39" i="114"/>
  <c r="F20" i="57" s="1"/>
  <c r="J62" i="120" a="1"/>
  <c r="J62" i="120" s="1"/>
  <c r="AL21" i="121"/>
  <c r="AY61" i="113"/>
  <c r="D69" i="83" a="1"/>
  <c r="D69" i="83" s="1"/>
  <c r="D27" i="121"/>
  <c r="K39" i="115"/>
  <c r="AL33" i="121"/>
  <c r="Y39" i="114"/>
  <c r="AU57" i="113"/>
  <c r="AU61" i="113" s="1"/>
  <c r="D21" i="121"/>
  <c r="D62" i="83" a="1"/>
  <c r="D62" i="83" s="1"/>
  <c r="K39" i="114"/>
  <c r="P39" i="115"/>
  <c r="J69" i="83" a="1"/>
  <c r="J69" i="83" s="1"/>
  <c r="H27" i="121"/>
  <c r="BA56" i="113"/>
  <c r="BA57" i="113" s="1"/>
  <c r="D33" i="121"/>
  <c r="K39" i="116"/>
  <c r="L35" i="57" s="1"/>
  <c r="D76" i="83" a="1"/>
  <c r="D76" i="83" s="1"/>
  <c r="T39" i="113"/>
  <c r="AC56" i="113"/>
  <c r="AQ39" i="113"/>
  <c r="AX57" i="113"/>
  <c r="AX61" i="113" s="1"/>
  <c r="H33" i="121"/>
  <c r="J76" i="83" a="1"/>
  <c r="J76" i="83" s="1"/>
  <c r="P39" i="116"/>
  <c r="D32" i="57" s="1"/>
  <c r="AQ39" i="114"/>
  <c r="BD57" i="113"/>
  <c r="T39" i="114"/>
  <c r="S34" i="114" s="1"/>
  <c r="J25" i="68"/>
  <c r="Y39" i="115"/>
  <c r="D69" i="120" a="1"/>
  <c r="D69" i="120" s="1"/>
  <c r="AH27" i="121"/>
  <c r="AN27" i="121" s="1"/>
  <c r="AC39" i="115"/>
  <c r="J69" i="120" a="1"/>
  <c r="J69" i="120" s="1"/>
  <c r="AH39" i="115"/>
  <c r="AL27" i="121"/>
  <c r="D62" i="120" a="1"/>
  <c r="D62" i="120" s="1"/>
  <c r="AH21" i="121"/>
  <c r="AN21" i="121" s="1"/>
  <c r="AC39" i="114"/>
  <c r="J76" i="120" a="1"/>
  <c r="J76" i="120" s="1"/>
  <c r="Y39" i="116"/>
  <c r="H21" i="121"/>
  <c r="J62" i="83" a="1"/>
  <c r="J62" i="83" s="1"/>
  <c r="P39" i="114"/>
  <c r="T39" i="116"/>
  <c r="D55" i="120" a="1"/>
  <c r="D55" i="120" s="1"/>
  <c r="AC39" i="113"/>
  <c r="AR39" i="108"/>
  <c r="AQ39" i="115"/>
  <c r="J55" i="120" a="1"/>
  <c r="J55" i="120" s="1"/>
  <c r="AH39" i="113"/>
  <c r="F14" i="57" s="1"/>
  <c r="AL15" i="121"/>
  <c r="AH33" i="121"/>
  <c r="AN33" i="121" s="1"/>
  <c r="D76" i="120" a="1"/>
  <c r="D76" i="120" s="1"/>
  <c r="Y39" i="113"/>
  <c r="AL39" i="115"/>
  <c r="P57" i="113"/>
  <c r="T39" i="115"/>
  <c r="AT57" i="113"/>
  <c r="AT61" i="113" s="1"/>
  <c r="AO56" i="113"/>
  <c r="AO57" i="113" s="1"/>
  <c r="D18" i="124" s="1"/>
  <c r="AN56" i="113"/>
  <c r="AN57" i="113" s="1"/>
  <c r="D17" i="124" s="1"/>
  <c r="O56" i="113"/>
  <c r="O57" i="113" s="1"/>
  <c r="AK56" i="113"/>
  <c r="AK57" i="113" s="1"/>
  <c r="AK61" i="113" s="1"/>
  <c r="L56" i="113"/>
  <c r="L57" i="113" s="1"/>
  <c r="L61" i="113" s="1"/>
  <c r="AJ56" i="113"/>
  <c r="AJ57" i="113" s="1"/>
  <c r="AJ61" i="113" s="1"/>
  <c r="K57" i="113"/>
  <c r="K61" i="113" s="1"/>
  <c r="AI39" i="108"/>
  <c r="AL9" i="121"/>
  <c r="AD39" i="108"/>
  <c r="H15" i="121"/>
  <c r="P39" i="113"/>
  <c r="J55" i="83" a="1"/>
  <c r="J55" i="83" s="1"/>
  <c r="D55" i="83" a="1"/>
  <c r="D55" i="83" s="1"/>
  <c r="K39" i="113"/>
  <c r="S24" i="121" l="1"/>
  <c r="Y24" i="121" s="1"/>
  <c r="L35" i="114"/>
  <c r="O35" i="114"/>
  <c r="L38" i="114"/>
  <c r="O38" i="114"/>
  <c r="L36" i="114"/>
  <c r="O36" i="114"/>
  <c r="D24" i="121"/>
  <c r="J24" i="121" s="1"/>
  <c r="L37" i="114"/>
  <c r="O37" i="114"/>
  <c r="S30" i="121"/>
  <c r="Y30" i="121" s="1"/>
  <c r="L38" i="115"/>
  <c r="O35" i="115"/>
  <c r="L36" i="115"/>
  <c r="O36" i="115"/>
  <c r="L35" i="115"/>
  <c r="O38" i="115"/>
  <c r="D30" i="121"/>
  <c r="J30" i="121" s="1"/>
  <c r="O37" i="115"/>
  <c r="L37" i="115"/>
  <c r="AG36" i="115"/>
  <c r="AD36" i="115"/>
  <c r="AD38" i="115"/>
  <c r="AD35" i="115"/>
  <c r="AG35" i="115"/>
  <c r="AG38" i="115"/>
  <c r="AD37" i="115"/>
  <c r="AG37" i="115"/>
  <c r="AD35" i="113"/>
  <c r="AG35" i="113"/>
  <c r="AD38" i="113"/>
  <c r="AG38" i="113"/>
  <c r="AD36" i="113"/>
  <c r="AG36" i="113"/>
  <c r="AH18" i="121"/>
  <c r="AN18" i="121" s="1"/>
  <c r="AD37" i="113"/>
  <c r="AG37" i="113"/>
  <c r="L39" i="116"/>
  <c r="L32" i="57"/>
  <c r="W35" i="121"/>
  <c r="AR27" i="121"/>
  <c r="AS27" i="121" s="1"/>
  <c r="AP27" i="121"/>
  <c r="AQ27" i="121" s="1"/>
  <c r="N33" i="121"/>
  <c r="O33" i="121" s="1"/>
  <c r="L33" i="121"/>
  <c r="M33" i="121" s="1"/>
  <c r="O7" i="122"/>
  <c r="J33" i="121"/>
  <c r="K33" i="121" s="1"/>
  <c r="BE15" i="121"/>
  <c r="BF15" i="121" s="1"/>
  <c r="BG15" i="121"/>
  <c r="BH15" i="121" s="1"/>
  <c r="N27" i="121"/>
  <c r="O27" i="121" s="1"/>
  <c r="L27" i="121"/>
  <c r="M27" i="121" s="1"/>
  <c r="AR33" i="121"/>
  <c r="AS33" i="121" s="1"/>
  <c r="AP33" i="121"/>
  <c r="AQ33" i="121" s="1"/>
  <c r="L7" i="122"/>
  <c r="J27" i="121"/>
  <c r="K27" i="121" s="1"/>
  <c r="AR9" i="121"/>
  <c r="AS9" i="121" s="1"/>
  <c r="AP9" i="121"/>
  <c r="AQ9" i="121" s="1"/>
  <c r="AR21" i="121"/>
  <c r="AS21" i="121" s="1"/>
  <c r="AP21" i="121"/>
  <c r="AQ21" i="121" s="1"/>
  <c r="BG27" i="121"/>
  <c r="BH27" i="121" s="1"/>
  <c r="BE27" i="121"/>
  <c r="BF27" i="121" s="1"/>
  <c r="BG33" i="121"/>
  <c r="BH33" i="121" s="1"/>
  <c r="BE33" i="121"/>
  <c r="BF33" i="121" s="1"/>
  <c r="AC15" i="121"/>
  <c r="AD15" i="121" s="1"/>
  <c r="AA15" i="121"/>
  <c r="AB15" i="121" s="1"/>
  <c r="N15" i="121"/>
  <c r="O15" i="121" s="1"/>
  <c r="L15" i="121"/>
  <c r="M15" i="121" s="1"/>
  <c r="N21" i="121"/>
  <c r="O21" i="121" s="1"/>
  <c r="L21" i="121"/>
  <c r="M21" i="121" s="1"/>
  <c r="F7" i="122"/>
  <c r="J15" i="121"/>
  <c r="K15" i="121" s="1"/>
  <c r="BG9" i="121"/>
  <c r="BH9" i="121" s="1"/>
  <c r="BE9" i="121"/>
  <c r="BF9" i="121" s="1"/>
  <c r="AA21" i="121"/>
  <c r="AB21" i="121" s="1"/>
  <c r="AC21" i="121"/>
  <c r="AD21" i="121" s="1"/>
  <c r="Y33" i="121"/>
  <c r="Z33" i="121" s="1"/>
  <c r="AC33" i="121"/>
  <c r="AD33" i="121" s="1"/>
  <c r="AR15" i="121"/>
  <c r="AS15" i="121" s="1"/>
  <c r="AP15" i="121"/>
  <c r="AQ15" i="121" s="1"/>
  <c r="I7" i="122"/>
  <c r="J21" i="121"/>
  <c r="K21" i="121" s="1"/>
  <c r="AC27" i="121"/>
  <c r="AD27" i="121" s="1"/>
  <c r="AA27" i="121"/>
  <c r="AB27" i="121" s="1"/>
  <c r="BG21" i="121"/>
  <c r="BH21" i="121" s="1"/>
  <c r="BE21" i="121"/>
  <c r="BF21" i="121" s="1"/>
  <c r="Z15" i="121"/>
  <c r="Z27" i="121"/>
  <c r="D35" i="57"/>
  <c r="Z21" i="121"/>
  <c r="L23" i="57"/>
  <c r="D23" i="57"/>
  <c r="L29" i="57"/>
  <c r="D29" i="57"/>
  <c r="F17" i="57"/>
  <c r="G18" i="57" s="1"/>
  <c r="N17" i="57"/>
  <c r="N23" i="57"/>
  <c r="F23" i="57"/>
  <c r="F24" i="57" s="1"/>
  <c r="F11" i="57"/>
  <c r="N11" i="57"/>
  <c r="D17" i="57"/>
  <c r="L17" i="57"/>
  <c r="F29" i="57"/>
  <c r="N29" i="57"/>
  <c r="AK34" i="113"/>
  <c r="AM36" i="113" s="1"/>
  <c r="C9" i="113"/>
  <c r="D14" i="57"/>
  <c r="AQ39" i="108"/>
  <c r="N8" i="57"/>
  <c r="AP39" i="113"/>
  <c r="N14" i="57"/>
  <c r="X39" i="113"/>
  <c r="L14" i="57"/>
  <c r="S40" i="113"/>
  <c r="Z36" i="113" s="1"/>
  <c r="BA29" i="121"/>
  <c r="AP39" i="115"/>
  <c r="N26" i="57"/>
  <c r="C9" i="114"/>
  <c r="D20" i="57"/>
  <c r="AP39" i="114"/>
  <c r="N20" i="57"/>
  <c r="X39" i="114"/>
  <c r="L20" i="57"/>
  <c r="AC40" i="108"/>
  <c r="AJ36" i="108" s="1"/>
  <c r="F8" i="57"/>
  <c r="F9" i="115"/>
  <c r="F26" i="57"/>
  <c r="X39" i="115"/>
  <c r="L26" i="57"/>
  <c r="D9" i="116"/>
  <c r="X39" i="116"/>
  <c r="C9" i="115"/>
  <c r="D26" i="57"/>
  <c r="W39" i="114"/>
  <c r="AO39" i="115"/>
  <c r="N39" i="113"/>
  <c r="AI10" i="57" s="1" a="1"/>
  <c r="AI10" i="57" s="1"/>
  <c r="W39" i="113"/>
  <c r="AB57" i="113"/>
  <c r="N10" i="124" s="1"/>
  <c r="I15" i="133" s="1" a="1"/>
  <c r="I15" i="133" s="1"/>
  <c r="K15" i="133" s="1"/>
  <c r="AO39" i="113"/>
  <c r="G11" i="113"/>
  <c r="AF39" i="113"/>
  <c r="AI16" i="57" s="1" a="1"/>
  <c r="AI16" i="57" s="1"/>
  <c r="G11" i="115"/>
  <c r="AF39" i="115"/>
  <c r="AI18" i="57" s="1" a="1"/>
  <c r="AI18" i="57" s="1"/>
  <c r="W39" i="116"/>
  <c r="AO39" i="114"/>
  <c r="G11" i="114"/>
  <c r="AF39" i="114"/>
  <c r="AI17" i="57" s="1" a="1"/>
  <c r="AI17" i="57" s="1"/>
  <c r="U39" i="115"/>
  <c r="W39" i="115"/>
  <c r="AC34" i="108"/>
  <c r="AG39" i="108"/>
  <c r="AI15" i="57" s="1" a="1"/>
  <c r="AI15" i="57" s="1"/>
  <c r="D11" i="116"/>
  <c r="N39" i="116"/>
  <c r="AI13" i="57" s="1" a="1"/>
  <c r="AI13" i="57" s="1"/>
  <c r="D11" i="114"/>
  <c r="N39" i="114"/>
  <c r="AI11" i="57" s="1" a="1"/>
  <c r="AI11" i="57" s="1"/>
  <c r="D11" i="115"/>
  <c r="N39" i="115"/>
  <c r="AI12" i="57" s="1" a="1"/>
  <c r="AI12" i="57" s="1"/>
  <c r="AP39" i="108"/>
  <c r="J34" i="113"/>
  <c r="D11" i="113"/>
  <c r="AC57" i="113"/>
  <c r="O10" i="124" s="1"/>
  <c r="BD21" i="121"/>
  <c r="AW23" i="121"/>
  <c r="BC23" i="121" s="1"/>
  <c r="BD33" i="121"/>
  <c r="AK40" i="114"/>
  <c r="AR36" i="114" s="1"/>
  <c r="BA23" i="121"/>
  <c r="BA11" i="121"/>
  <c r="F11" i="108"/>
  <c r="AW11" i="121"/>
  <c r="BC11" i="121" s="1"/>
  <c r="D50" i="120" a="1"/>
  <c r="D50" i="120" s="1"/>
  <c r="D51" i="120" s="1"/>
  <c r="AL40" i="108"/>
  <c r="AS36" i="108" s="1"/>
  <c r="F9" i="108"/>
  <c r="J50" i="120" a="1"/>
  <c r="J50" i="120" s="1"/>
  <c r="J51" i="120" s="1"/>
  <c r="AL34" i="108"/>
  <c r="AN36" i="108" s="1"/>
  <c r="BD9" i="121"/>
  <c r="F11" i="115"/>
  <c r="AW29" i="121"/>
  <c r="BC29" i="121" s="1"/>
  <c r="BD27" i="121"/>
  <c r="S17" i="121"/>
  <c r="Y17" i="121" s="1"/>
  <c r="BD15" i="121"/>
  <c r="D9" i="113"/>
  <c r="W17" i="121"/>
  <c r="F11" i="113"/>
  <c r="AW17" i="121"/>
  <c r="BC17" i="121" s="1"/>
  <c r="AK40" i="113"/>
  <c r="AR36" i="113" s="1"/>
  <c r="BA17" i="121"/>
  <c r="G11" i="108"/>
  <c r="S35" i="121"/>
  <c r="Y35" i="121" s="1"/>
  <c r="C9" i="116"/>
  <c r="C11" i="115"/>
  <c r="S29" i="121"/>
  <c r="Y29" i="121" s="1"/>
  <c r="W29" i="121"/>
  <c r="D9" i="114"/>
  <c r="W23" i="121"/>
  <c r="S23" i="121"/>
  <c r="Y23" i="121" s="1"/>
  <c r="G9" i="108"/>
  <c r="M20" i="68"/>
  <c r="M27" i="68"/>
  <c r="AK34" i="114"/>
  <c r="AM36" i="114" s="1"/>
  <c r="M21" i="68"/>
  <c r="K22" i="68"/>
  <c r="M26" i="68"/>
  <c r="J40" i="114"/>
  <c r="Q36" i="114" s="1"/>
  <c r="J29" i="68"/>
  <c r="S34" i="113"/>
  <c r="U36" i="113" s="1"/>
  <c r="S40" i="115"/>
  <c r="C11" i="116"/>
  <c r="J40" i="115"/>
  <c r="N40" i="115" s="1"/>
  <c r="AJ12" i="57" s="1"/>
  <c r="T62" i="113"/>
  <c r="C11" i="114"/>
  <c r="G9" i="113"/>
  <c r="K62" i="113"/>
  <c r="AJ62" i="113"/>
  <c r="F11" i="114"/>
  <c r="S40" i="114"/>
  <c r="Z36" i="114" s="1"/>
  <c r="Q29" i="68"/>
  <c r="C17" i="124"/>
  <c r="C21" i="124" s="1"/>
  <c r="O61" i="113"/>
  <c r="D30" i="124"/>
  <c r="I37" i="133"/>
  <c r="BF61" i="113"/>
  <c r="Q10" i="124"/>
  <c r="I16" i="133" s="1"/>
  <c r="J15" i="133" s="1"/>
  <c r="BL57" i="113" s="1"/>
  <c r="AE61" i="113"/>
  <c r="C27" i="124"/>
  <c r="C30" i="124" s="1"/>
  <c r="I21" i="133"/>
  <c r="BA61" i="113"/>
  <c r="M30" i="124"/>
  <c r="I30" i="133"/>
  <c r="K55" i="120"/>
  <c r="G55" i="120"/>
  <c r="K55" i="83"/>
  <c r="G55" i="83"/>
  <c r="I35" i="133"/>
  <c r="H17" i="121"/>
  <c r="J57" i="83" a="1"/>
  <c r="J57" i="83" s="1"/>
  <c r="D21" i="124"/>
  <c r="AN61" i="113"/>
  <c r="I28" i="133"/>
  <c r="AO15" i="121"/>
  <c r="K62" i="83"/>
  <c r="G62" i="83"/>
  <c r="D11" i="124"/>
  <c r="AO33" i="121"/>
  <c r="D57" i="83" a="1"/>
  <c r="D57" i="83" s="1"/>
  <c r="E52" i="83" s="1"/>
  <c r="F52" i="83" s="1"/>
  <c r="D17" i="121"/>
  <c r="J17" i="121" s="1"/>
  <c r="AO9" i="121"/>
  <c r="D40" i="124"/>
  <c r="AT62" i="113"/>
  <c r="C18" i="124"/>
  <c r="C22" i="124" s="1"/>
  <c r="P61" i="113"/>
  <c r="BE61" i="113"/>
  <c r="Q30" i="124"/>
  <c r="J57" i="120" a="1"/>
  <c r="J57" i="120" s="1"/>
  <c r="J58" i="120" s="1"/>
  <c r="AL17" i="121"/>
  <c r="AG39" i="113"/>
  <c r="P7" i="122"/>
  <c r="M10" i="124"/>
  <c r="AA61" i="113"/>
  <c r="C37" i="124"/>
  <c r="C40" i="124" s="1"/>
  <c r="G7" i="122"/>
  <c r="J71" i="120" a="1"/>
  <c r="J71" i="120" s="1"/>
  <c r="J72" i="120" s="1"/>
  <c r="AL29" i="121"/>
  <c r="AG39" i="115"/>
  <c r="C11" i="113"/>
  <c r="J40" i="113"/>
  <c r="Q36" i="113" s="1"/>
  <c r="AL11" i="121"/>
  <c r="C47" i="124"/>
  <c r="C50" i="124" s="1"/>
  <c r="O30" i="124"/>
  <c r="BC61" i="113"/>
  <c r="F9" i="113"/>
  <c r="J7" i="122"/>
  <c r="G76" i="120"/>
  <c r="K76" i="120"/>
  <c r="AH23" i="121"/>
  <c r="D64" i="120" a="1"/>
  <c r="D64" i="120" s="1"/>
  <c r="D65" i="120" s="1"/>
  <c r="AB40" i="115"/>
  <c r="U36" i="114"/>
  <c r="AB40" i="114"/>
  <c r="AI36" i="114" s="1"/>
  <c r="M22" i="68"/>
  <c r="P10" i="124"/>
  <c r="I14" i="133" s="1"/>
  <c r="AD61" i="113"/>
  <c r="M7" i="122"/>
  <c r="AO21" i="121"/>
  <c r="P30" i="124"/>
  <c r="BD61" i="113"/>
  <c r="J78" i="83" a="1"/>
  <c r="J78" i="83" s="1"/>
  <c r="J79" i="83" s="1"/>
  <c r="H35" i="121"/>
  <c r="AH11" i="121"/>
  <c r="AN11" i="121" s="1"/>
  <c r="AH29" i="121"/>
  <c r="D71" i="120" a="1"/>
  <c r="D71" i="120" s="1"/>
  <c r="D72" i="120" s="1"/>
  <c r="AD39" i="115"/>
  <c r="M25" i="68"/>
  <c r="K76" i="83"/>
  <c r="G76" i="83"/>
  <c r="K69" i="83"/>
  <c r="G69" i="83"/>
  <c r="D71" i="83" a="1"/>
  <c r="D71" i="83" s="1"/>
  <c r="D72" i="83" s="1"/>
  <c r="D29" i="121"/>
  <c r="J29" i="121" s="1"/>
  <c r="L39" i="115"/>
  <c r="G62" i="120"/>
  <c r="K62" i="120"/>
  <c r="M28" i="68"/>
  <c r="AO27" i="121"/>
  <c r="I22" i="133"/>
  <c r="P24" i="68"/>
  <c r="D10" i="124"/>
  <c r="I29" i="133"/>
  <c r="O39" i="115"/>
  <c r="H29" i="121"/>
  <c r="J71" i="83" a="1"/>
  <c r="J71" i="83" s="1"/>
  <c r="AL23" i="121"/>
  <c r="J64" i="120" a="1"/>
  <c r="J64" i="120" s="1"/>
  <c r="J65" i="120" s="1"/>
  <c r="M23" i="68"/>
  <c r="D22" i="124"/>
  <c r="AO61" i="113"/>
  <c r="AK40" i="115"/>
  <c r="I36" i="133"/>
  <c r="AH17" i="121"/>
  <c r="AD39" i="113"/>
  <c r="D57" i="120" a="1"/>
  <c r="D57" i="120" s="1"/>
  <c r="D58" i="120" s="1"/>
  <c r="G48" i="120"/>
  <c r="K48" i="120"/>
  <c r="BB61" i="113"/>
  <c r="N30" i="124"/>
  <c r="AB40" i="113"/>
  <c r="AI36" i="113" s="1"/>
  <c r="G9" i="115"/>
  <c r="H23" i="121"/>
  <c r="O39" i="114"/>
  <c r="J64" i="83" a="1"/>
  <c r="J64" i="83" s="1"/>
  <c r="J65" i="83" s="1"/>
  <c r="S40" i="116"/>
  <c r="G69" i="120"/>
  <c r="K69" i="120"/>
  <c r="D9" i="115"/>
  <c r="G9" i="114"/>
  <c r="J40" i="116"/>
  <c r="D35" i="121"/>
  <c r="J35" i="121" s="1"/>
  <c r="D78" i="83" a="1"/>
  <c r="D78" i="83" s="1"/>
  <c r="E73" i="83" s="1"/>
  <c r="F73" i="83" s="1"/>
  <c r="L39" i="114"/>
  <c r="D23" i="121"/>
  <c r="J23" i="121" s="1"/>
  <c r="D64" i="83" a="1"/>
  <c r="D64" i="83" s="1"/>
  <c r="E59" i="83" s="1"/>
  <c r="F59" i="83" s="1"/>
  <c r="F9" i="114"/>
  <c r="P30" i="68"/>
  <c r="M19" i="68"/>
  <c r="E30" i="57" l="1"/>
  <c r="D30" i="57"/>
  <c r="D31" i="57"/>
  <c r="E31" i="57" s="1"/>
  <c r="O39" i="116"/>
  <c r="S36" i="121"/>
  <c r="Y36" i="121" s="1"/>
  <c r="L36" i="116"/>
  <c r="O36" i="116"/>
  <c r="L38" i="116"/>
  <c r="O35" i="116"/>
  <c r="O38" i="116"/>
  <c r="L35" i="116"/>
  <c r="D36" i="121"/>
  <c r="O37" i="116"/>
  <c r="L37" i="116"/>
  <c r="AC23" i="121"/>
  <c r="AD23" i="121" s="1"/>
  <c r="C18" i="113"/>
  <c r="AH24" i="121"/>
  <c r="AN24" i="121" s="1"/>
  <c r="AN23" i="121"/>
  <c r="AO23" i="121" s="1"/>
  <c r="BA12" i="121"/>
  <c r="BB11" i="121" s="1"/>
  <c r="BE11" i="121"/>
  <c r="BF11" i="121" s="1"/>
  <c r="BG11" i="121"/>
  <c r="BH11" i="121" s="1"/>
  <c r="AL18" i="121"/>
  <c r="AM17" i="121" s="1"/>
  <c r="AR17" i="121"/>
  <c r="AS17" i="121" s="1"/>
  <c r="AP17" i="121"/>
  <c r="AQ17" i="121" s="1"/>
  <c r="N23" i="121"/>
  <c r="O23" i="121" s="1"/>
  <c r="L23" i="121"/>
  <c r="M23" i="121" s="1"/>
  <c r="AR23" i="121"/>
  <c r="AS23" i="121" s="1"/>
  <c r="AP23" i="121"/>
  <c r="AQ23" i="121" s="1"/>
  <c r="AP11" i="121"/>
  <c r="AQ11" i="121" s="1"/>
  <c r="AR11" i="121"/>
  <c r="AS11" i="121" s="1"/>
  <c r="W36" i="121"/>
  <c r="X35" i="121" s="1"/>
  <c r="AC35" i="121"/>
  <c r="AD35" i="121" s="1"/>
  <c r="AA35" i="121"/>
  <c r="AB35" i="121" s="1"/>
  <c r="W18" i="121"/>
  <c r="X17" i="121" s="1"/>
  <c r="AA17" i="121"/>
  <c r="AB17" i="121" s="1"/>
  <c r="AC17" i="121"/>
  <c r="AD17" i="121" s="1"/>
  <c r="BA24" i="121"/>
  <c r="BB23" i="121" s="1"/>
  <c r="BG23" i="121"/>
  <c r="BH23" i="121" s="1"/>
  <c r="BE23" i="121"/>
  <c r="BF23" i="121" s="1"/>
  <c r="L36" i="113"/>
  <c r="O35" i="113"/>
  <c r="O36" i="113"/>
  <c r="L35" i="121"/>
  <c r="M35" i="121" s="1"/>
  <c r="N35" i="121"/>
  <c r="O35" i="121" s="1"/>
  <c r="AE36" i="108"/>
  <c r="AH35" i="108"/>
  <c r="AH36" i="108"/>
  <c r="L29" i="121"/>
  <c r="M29" i="121" s="1"/>
  <c r="N29" i="121"/>
  <c r="O29" i="121" s="1"/>
  <c r="H18" i="121"/>
  <c r="N17" i="121"/>
  <c r="O17" i="121" s="1"/>
  <c r="L17" i="121"/>
  <c r="M17" i="121" s="1"/>
  <c r="AH30" i="121"/>
  <c r="AN30" i="121" s="1"/>
  <c r="AO30" i="121" s="1"/>
  <c r="AN29" i="121"/>
  <c r="AO29" i="121" s="1"/>
  <c r="W24" i="121"/>
  <c r="X23" i="121" s="1"/>
  <c r="AA23" i="121"/>
  <c r="AB23" i="121" s="1"/>
  <c r="AI17" i="121"/>
  <c r="AN17" i="121"/>
  <c r="AO17" i="121" s="1"/>
  <c r="AL30" i="121"/>
  <c r="AM29" i="121" s="1"/>
  <c r="AR29" i="121"/>
  <c r="AS29" i="121" s="1"/>
  <c r="AP29" i="121"/>
  <c r="AQ29" i="121" s="1"/>
  <c r="BA18" i="121"/>
  <c r="BB17" i="121" s="1"/>
  <c r="BG17" i="121"/>
  <c r="BH17" i="121" s="1"/>
  <c r="BE17" i="121"/>
  <c r="BF17" i="121" s="1"/>
  <c r="AD36" i="114"/>
  <c r="AG35" i="114"/>
  <c r="AG36" i="114"/>
  <c r="W30" i="121"/>
  <c r="X29" i="121" s="1"/>
  <c r="AA29" i="121"/>
  <c r="AB29" i="121" s="1"/>
  <c r="AC29" i="121"/>
  <c r="AD29" i="121" s="1"/>
  <c r="BA30" i="121"/>
  <c r="BB29" i="121" s="1"/>
  <c r="BG29" i="121"/>
  <c r="BH29" i="121" s="1"/>
  <c r="BE29" i="121"/>
  <c r="BF29" i="121" s="1"/>
  <c r="AS35" i="108"/>
  <c r="AJ37" i="108"/>
  <c r="AP15" i="57" s="1" a="1"/>
  <c r="AP15" i="57" s="1"/>
  <c r="AJ35" i="108"/>
  <c r="AO15" i="57" s="1" a="1"/>
  <c r="AO15" i="57" s="1"/>
  <c r="AN35" i="108"/>
  <c r="AQ35" i="108"/>
  <c r="AH38" i="108"/>
  <c r="AE35" i="108"/>
  <c r="AI35" i="113"/>
  <c r="AO16" i="57" s="1" a="1"/>
  <c r="AO16" i="57" s="1"/>
  <c r="AR35" i="113"/>
  <c r="Z39" i="113"/>
  <c r="Z35" i="113"/>
  <c r="AM39" i="113"/>
  <c r="AM35" i="113"/>
  <c r="AP35" i="113"/>
  <c r="U39" i="113"/>
  <c r="X35" i="113"/>
  <c r="U35" i="113"/>
  <c r="D18" i="121"/>
  <c r="L35" i="113"/>
  <c r="Q39" i="113"/>
  <c r="AR10" i="57" s="1" a="1"/>
  <c r="AR10" i="57" s="1"/>
  <c r="Q35" i="113"/>
  <c r="AO10" i="57" s="1" a="1"/>
  <c r="AO10" i="57" s="1"/>
  <c r="X35" i="114"/>
  <c r="U35" i="114"/>
  <c r="Q38" i="114"/>
  <c r="AQ11" i="57" s="1" a="1"/>
  <c r="AQ11" i="57" s="1"/>
  <c r="Q35" i="114"/>
  <c r="AO11" i="57" s="1" a="1"/>
  <c r="AO11" i="57" s="1"/>
  <c r="Z35" i="114"/>
  <c r="AG37" i="114"/>
  <c r="AD35" i="114"/>
  <c r="AM39" i="114"/>
  <c r="AP35" i="114"/>
  <c r="AM35" i="114"/>
  <c r="AI39" i="114"/>
  <c r="AR17" i="57" s="1" a="1"/>
  <c r="AR17" i="57" s="1"/>
  <c r="AI35" i="114"/>
  <c r="AO17" i="57" s="1" a="1"/>
  <c r="AO17" i="57" s="1"/>
  <c r="AR35" i="114"/>
  <c r="W40" i="114"/>
  <c r="Z37" i="115"/>
  <c r="W40" i="115"/>
  <c r="AB61" i="113"/>
  <c r="AO40" i="115"/>
  <c r="F12" i="57"/>
  <c r="C17" i="115"/>
  <c r="F17" i="115"/>
  <c r="E18" i="57"/>
  <c r="U36" i="116"/>
  <c r="U37" i="116"/>
  <c r="U38" i="116"/>
  <c r="X35" i="116"/>
  <c r="U35" i="116"/>
  <c r="AM37" i="113"/>
  <c r="AM38" i="113"/>
  <c r="U38" i="115"/>
  <c r="U36" i="115"/>
  <c r="U37" i="115"/>
  <c r="U35" i="115"/>
  <c r="X35" i="115"/>
  <c r="U38" i="114"/>
  <c r="U37" i="114"/>
  <c r="AM37" i="115"/>
  <c r="AM38" i="115"/>
  <c r="AM36" i="115"/>
  <c r="AP35" i="115"/>
  <c r="AM35" i="115"/>
  <c r="AN38" i="108"/>
  <c r="AN37" i="108"/>
  <c r="N12" i="57"/>
  <c r="U39" i="114"/>
  <c r="AM38" i="114"/>
  <c r="AM37" i="114"/>
  <c r="U39" i="116"/>
  <c r="U38" i="113"/>
  <c r="U37" i="113"/>
  <c r="W40" i="113"/>
  <c r="AN39" i="108"/>
  <c r="AM39" i="115"/>
  <c r="Z39" i="116"/>
  <c r="W40" i="116"/>
  <c r="AR38" i="113"/>
  <c r="AO40" i="113"/>
  <c r="AO40" i="114"/>
  <c r="AS39" i="108"/>
  <c r="AP40" i="108"/>
  <c r="D18" i="114"/>
  <c r="C18" i="116"/>
  <c r="AC61" i="113"/>
  <c r="G18" i="113"/>
  <c r="AI39" i="113"/>
  <c r="AR16" i="57" s="1" a="1"/>
  <c r="AR16" i="57" s="1"/>
  <c r="AF40" i="113"/>
  <c r="AJ16" i="57" s="1"/>
  <c r="D17" i="116"/>
  <c r="D18" i="116"/>
  <c r="L39" i="113"/>
  <c r="L38" i="113"/>
  <c r="S18" i="121"/>
  <c r="L37" i="113"/>
  <c r="C17" i="113"/>
  <c r="O38" i="113"/>
  <c r="O39" i="113"/>
  <c r="D18" i="113"/>
  <c r="O37" i="113"/>
  <c r="F18" i="113"/>
  <c r="AG38" i="114"/>
  <c r="F18" i="115"/>
  <c r="AG39" i="114"/>
  <c r="AD37" i="114"/>
  <c r="D17" i="114"/>
  <c r="D37" i="57"/>
  <c r="E37" i="57" s="1"/>
  <c r="AA54" i="108" a="1"/>
  <c r="AA54" i="108" s="1"/>
  <c r="AA56" i="108" s="1"/>
  <c r="BB54" i="108" a="1"/>
  <c r="BB54" i="108" s="1"/>
  <c r="BB56" i="108" s="1"/>
  <c r="Z54" i="108" a="1"/>
  <c r="Z54" i="108" s="1"/>
  <c r="Z56" i="108" s="1"/>
  <c r="Z57" i="108" s="1"/>
  <c r="BA54" i="108" a="1"/>
  <c r="BA54" i="108" s="1"/>
  <c r="BA56" i="108" s="1"/>
  <c r="L30" i="57"/>
  <c r="D17" i="113"/>
  <c r="O12" i="57"/>
  <c r="F19" i="57"/>
  <c r="G19" i="57" s="1"/>
  <c r="AR37" i="113"/>
  <c r="AR39" i="113"/>
  <c r="AR39" i="114"/>
  <c r="F18" i="108"/>
  <c r="C18" i="115"/>
  <c r="AD39" i="114"/>
  <c r="AR37" i="114"/>
  <c r="AR38" i="114"/>
  <c r="AD38" i="114"/>
  <c r="I31" i="68"/>
  <c r="AW24" i="121"/>
  <c r="BD23" i="121"/>
  <c r="F17" i="108"/>
  <c r="BD11" i="121"/>
  <c r="AW12" i="121"/>
  <c r="AW30" i="121"/>
  <c r="BD29" i="121"/>
  <c r="AW18" i="121"/>
  <c r="BD17" i="121"/>
  <c r="G18" i="108"/>
  <c r="G17" i="108"/>
  <c r="M30" i="57"/>
  <c r="L31" i="57"/>
  <c r="M31" i="57" s="1"/>
  <c r="F31" i="57"/>
  <c r="G31" i="57" s="1"/>
  <c r="F13" i="57"/>
  <c r="G13" i="57" s="1"/>
  <c r="N13" i="57"/>
  <c r="O13" i="57" s="1"/>
  <c r="N19" i="57"/>
  <c r="O19" i="57" s="1"/>
  <c r="O18" i="57"/>
  <c r="N18" i="57"/>
  <c r="L19" i="57"/>
  <c r="M19" i="57" s="1"/>
  <c r="L18" i="57"/>
  <c r="D19" i="57"/>
  <c r="E19" i="57" s="1"/>
  <c r="N25" i="57"/>
  <c r="O25" i="57" s="1"/>
  <c r="N24" i="57"/>
  <c r="L37" i="57"/>
  <c r="M37" i="57" s="1"/>
  <c r="M36" i="57"/>
  <c r="O24" i="57"/>
  <c r="L36" i="57"/>
  <c r="N31" i="57"/>
  <c r="O31" i="57" s="1"/>
  <c r="O30" i="57"/>
  <c r="N30" i="57"/>
  <c r="F25" i="57"/>
  <c r="G25" i="57" s="1"/>
  <c r="D25" i="57"/>
  <c r="E25" i="57" s="1"/>
  <c r="M24" i="57"/>
  <c r="L24" i="57"/>
  <c r="L25" i="57"/>
  <c r="M25" i="57" s="1"/>
  <c r="M18" i="57"/>
  <c r="J23" i="133"/>
  <c r="K23" i="133" s="1"/>
  <c r="L23" i="133" s="1"/>
  <c r="J22" i="133"/>
  <c r="AZ57" i="114" s="1"/>
  <c r="J21" i="133"/>
  <c r="BA57" i="114" s="1"/>
  <c r="J16" i="133"/>
  <c r="BN57" i="113" s="1"/>
  <c r="BL58" i="113"/>
  <c r="J14" i="133"/>
  <c r="BM57" i="113" s="1"/>
  <c r="H9" i="133"/>
  <c r="H8" i="133"/>
  <c r="H10" i="133"/>
  <c r="H37" i="133"/>
  <c r="H36" i="133"/>
  <c r="H38" i="133"/>
  <c r="H35" i="133"/>
  <c r="H22" i="133"/>
  <c r="H24" i="133"/>
  <c r="H21" i="133"/>
  <c r="H23" i="133"/>
  <c r="J37" i="133"/>
  <c r="BA57" i="116" s="1"/>
  <c r="J36" i="133"/>
  <c r="AY57" i="116" s="1"/>
  <c r="J35" i="133"/>
  <c r="AZ57" i="116" s="1"/>
  <c r="H31" i="133"/>
  <c r="H29" i="133"/>
  <c r="H30" i="133"/>
  <c r="H28" i="133"/>
  <c r="H17" i="133"/>
  <c r="H15" i="133"/>
  <c r="H16" i="133"/>
  <c r="H14" i="133"/>
  <c r="J28" i="133"/>
  <c r="BA57" i="115" s="1"/>
  <c r="J30" i="133"/>
  <c r="J29" i="133"/>
  <c r="AZ57" i="115" s="1"/>
  <c r="Q36" i="115"/>
  <c r="AH37" i="108"/>
  <c r="AH39" i="108"/>
  <c r="AE37" i="108"/>
  <c r="AE39" i="108"/>
  <c r="Z38" i="115"/>
  <c r="C17" i="116"/>
  <c r="G17" i="113"/>
  <c r="Z37" i="114"/>
  <c r="J31" i="68"/>
  <c r="J32" i="68" s="1"/>
  <c r="J33" i="68" s="1"/>
  <c r="U37" i="108" s="1" a="1"/>
  <c r="U37" i="108" s="1"/>
  <c r="Z36" i="115"/>
  <c r="Z39" i="115"/>
  <c r="Z35" i="115"/>
  <c r="AH12" i="121"/>
  <c r="AE38" i="108"/>
  <c r="E66" i="120"/>
  <c r="F66" i="120" s="1"/>
  <c r="G66" i="120" s="1"/>
  <c r="H66" i="120" s="1"/>
  <c r="C18" i="114"/>
  <c r="AN15" i="57" a="1"/>
  <c r="AN15" i="57" s="1"/>
  <c r="C17" i="114"/>
  <c r="G12" i="57"/>
  <c r="Q30" i="68"/>
  <c r="R29" i="68" s="1"/>
  <c r="P31" i="68"/>
  <c r="M29" i="68"/>
  <c r="D24" i="57"/>
  <c r="Q37" i="114"/>
  <c r="AP11" i="57" s="1" a="1"/>
  <c r="AP11" i="57" s="1"/>
  <c r="AN11" i="57" a="1"/>
  <c r="AN11" i="57" s="1"/>
  <c r="E24" i="57"/>
  <c r="N40" i="114"/>
  <c r="AJ11" i="57" s="1"/>
  <c r="Q39" i="114"/>
  <c r="AR11" i="57" s="1" a="1"/>
  <c r="AR11" i="57" s="1"/>
  <c r="K19" i="68"/>
  <c r="Z38" i="114"/>
  <c r="Z39" i="114"/>
  <c r="E66" i="83"/>
  <c r="F66" i="83" s="1"/>
  <c r="G66" i="83" s="1"/>
  <c r="H66" i="83" s="1"/>
  <c r="K23" i="68"/>
  <c r="K25" i="68"/>
  <c r="K28" i="68"/>
  <c r="K29" i="68"/>
  <c r="Q39" i="115"/>
  <c r="AR12" i="57" s="1" a="1"/>
  <c r="AR12" i="57" s="1"/>
  <c r="Q37" i="115"/>
  <c r="AP12" i="57" s="1" a="1"/>
  <c r="AP12" i="57" s="1"/>
  <c r="Q38" i="115"/>
  <c r="AQ12" i="57" s="1" a="1"/>
  <c r="AQ12" i="57" s="1"/>
  <c r="Q35" i="115"/>
  <c r="AJ38" i="108"/>
  <c r="AQ15" i="57" s="1" a="1"/>
  <c r="AQ15" i="57" s="1"/>
  <c r="AG40" i="108"/>
  <c r="AJ15" i="57" s="1"/>
  <c r="AJ39" i="108"/>
  <c r="AR15" i="57" s="1" a="1"/>
  <c r="AR15" i="57" s="1"/>
  <c r="G24" i="57"/>
  <c r="K65" i="120"/>
  <c r="L65" i="120" s="1"/>
  <c r="E59" i="120"/>
  <c r="F59" i="120" s="1"/>
  <c r="G59" i="120" s="1"/>
  <c r="H59" i="120" s="1"/>
  <c r="D12" i="124"/>
  <c r="K58" i="120"/>
  <c r="L58" i="120" s="1"/>
  <c r="G17" i="114"/>
  <c r="G18" i="114"/>
  <c r="K23" i="121"/>
  <c r="J9" i="122"/>
  <c r="J4" i="122" s="1"/>
  <c r="G18" i="115"/>
  <c r="G17" i="115"/>
  <c r="D79" i="83"/>
  <c r="K79" i="83" s="1"/>
  <c r="L79" i="83" s="1"/>
  <c r="K29" i="121"/>
  <c r="M9" i="122"/>
  <c r="M4" i="122" s="1"/>
  <c r="Z24" i="121"/>
  <c r="AI38" i="115"/>
  <c r="AQ18" i="57" s="1" a="1"/>
  <c r="AQ18" i="57" s="1"/>
  <c r="AF40" i="115"/>
  <c r="AJ18" i="57" s="1"/>
  <c r="AI35" i="115"/>
  <c r="AI36" i="115"/>
  <c r="AI37" i="115"/>
  <c r="AP18" i="57" s="1" a="1"/>
  <c r="AP18" i="57" s="1"/>
  <c r="H24" i="121"/>
  <c r="F17" i="113"/>
  <c r="AO11" i="121"/>
  <c r="E45" i="120"/>
  <c r="F45" i="120" s="1"/>
  <c r="G45" i="120" s="1"/>
  <c r="H45" i="120" s="1"/>
  <c r="G30" i="57"/>
  <c r="F30" i="57"/>
  <c r="D58" i="83"/>
  <c r="G52" i="83"/>
  <c r="H52" i="83" s="1"/>
  <c r="L55" i="83"/>
  <c r="BA62" i="113"/>
  <c r="Q38" i="116"/>
  <c r="AQ13" i="57" s="1" a="1"/>
  <c r="AQ13" i="57" s="1"/>
  <c r="AJ13" i="57"/>
  <c r="Q35" i="116"/>
  <c r="Q36" i="116"/>
  <c r="Q37" i="116"/>
  <c r="AP13" i="57" s="1" a="1"/>
  <c r="AP13" i="57" s="1"/>
  <c r="K72" i="120"/>
  <c r="L72" i="120" s="1"/>
  <c r="K71" i="83"/>
  <c r="I71" i="83"/>
  <c r="I71" i="120"/>
  <c r="K71" i="120"/>
  <c r="G13" i="122"/>
  <c r="I57" i="83"/>
  <c r="K57" i="83"/>
  <c r="J58" i="83"/>
  <c r="O9" i="122"/>
  <c r="O4" i="122" s="1"/>
  <c r="I78" i="83"/>
  <c r="K78" i="83"/>
  <c r="L48" i="120"/>
  <c r="D17" i="115"/>
  <c r="D18" i="115"/>
  <c r="Q24" i="68"/>
  <c r="M24" i="68" s="1"/>
  <c r="G73" i="83"/>
  <c r="H73" i="83" s="1"/>
  <c r="L76" i="83"/>
  <c r="K20" i="68"/>
  <c r="K21" i="68"/>
  <c r="I9" i="122"/>
  <c r="I4" i="122" s="1"/>
  <c r="E23" i="121"/>
  <c r="Z35" i="116"/>
  <c r="Z36" i="116"/>
  <c r="Z38" i="116"/>
  <c r="Z37" i="116"/>
  <c r="E52" i="120"/>
  <c r="F52" i="120" s="1"/>
  <c r="G52" i="120" s="1"/>
  <c r="H52" i="120" s="1"/>
  <c r="K51" i="120"/>
  <c r="L51" i="120" s="1"/>
  <c r="E36" i="57"/>
  <c r="H30" i="121"/>
  <c r="I29" i="121" s="1"/>
  <c r="J13" i="122"/>
  <c r="D65" i="83"/>
  <c r="K65" i="83" s="1"/>
  <c r="L65" i="83" s="1"/>
  <c r="AL12" i="121"/>
  <c r="AM11" i="121" s="1"/>
  <c r="AN62" i="113"/>
  <c r="L69" i="120"/>
  <c r="K64" i="120"/>
  <c r="I64" i="120"/>
  <c r="L62" i="120"/>
  <c r="AI38" i="114"/>
  <c r="AQ17" i="57" s="1" a="1"/>
  <c r="AQ17" i="57" s="1"/>
  <c r="AN17" i="57" a="1"/>
  <c r="AN17" i="57" s="1"/>
  <c r="AF40" i="114"/>
  <c r="AJ17" i="57" s="1"/>
  <c r="AI37" i="114"/>
  <c r="AP17" i="57" s="1" a="1"/>
  <c r="AP17" i="57" s="1"/>
  <c r="K50" i="120"/>
  <c r="I50" i="120"/>
  <c r="Z23" i="121"/>
  <c r="K57" i="120"/>
  <c r="I57" i="120"/>
  <c r="L62" i="83"/>
  <c r="G59" i="83"/>
  <c r="H59" i="83" s="1"/>
  <c r="D23" i="124"/>
  <c r="K17" i="121"/>
  <c r="G9" i="122"/>
  <c r="G4" i="122" s="1"/>
  <c r="Z29" i="121"/>
  <c r="T29" i="121"/>
  <c r="Z35" i="121"/>
  <c r="AI38" i="113"/>
  <c r="AQ16" i="57" s="1" a="1"/>
  <c r="AQ16" i="57" s="1"/>
  <c r="AN16" i="57" a="1"/>
  <c r="AN16" i="57" s="1"/>
  <c r="AI37" i="113"/>
  <c r="AP16" i="57" s="1" a="1"/>
  <c r="AP16" i="57" s="1"/>
  <c r="F17" i="114"/>
  <c r="F18" i="114"/>
  <c r="I64" i="83"/>
  <c r="K64" i="83"/>
  <c r="F18" i="57"/>
  <c r="Z37" i="113"/>
  <c r="Z38" i="113"/>
  <c r="Q39" i="116"/>
  <c r="AR13" i="57" s="1" a="1"/>
  <c r="AR13" i="57" s="1"/>
  <c r="M13" i="122"/>
  <c r="Q38" i="113"/>
  <c r="AQ10" i="57" s="1" a="1"/>
  <c r="AQ10" i="57" s="1"/>
  <c r="AN10" i="57" a="1"/>
  <c r="AN10" i="57" s="1"/>
  <c r="N40" i="113"/>
  <c r="AJ10" i="57" s="1"/>
  <c r="Q37" i="113"/>
  <c r="AP10" i="57" s="1" a="1"/>
  <c r="AP10" i="57" s="1"/>
  <c r="D18" i="57"/>
  <c r="F9" i="122"/>
  <c r="F4" i="122" s="1"/>
  <c r="L55" i="120"/>
  <c r="AR38" i="115"/>
  <c r="AR36" i="115"/>
  <c r="AR35" i="115"/>
  <c r="AR37" i="115"/>
  <c r="Z17" i="121"/>
  <c r="L9" i="122"/>
  <c r="L4" i="122" s="1"/>
  <c r="E29" i="121"/>
  <c r="L69" i="83"/>
  <c r="L76" i="120"/>
  <c r="P13" i="122"/>
  <c r="AS38" i="108"/>
  <c r="AS37" i="108"/>
  <c r="O62" i="113"/>
  <c r="AR39" i="115"/>
  <c r="J72" i="83"/>
  <c r="K72" i="83" s="1"/>
  <c r="L72" i="83" s="1"/>
  <c r="K26" i="68"/>
  <c r="K27" i="68"/>
  <c r="K35" i="121"/>
  <c r="P9" i="122"/>
  <c r="P4" i="122" s="1"/>
  <c r="AL24" i="121"/>
  <c r="AI39" i="115"/>
  <c r="AR18" i="57" s="1" a="1"/>
  <c r="AR18" i="57" s="1"/>
  <c r="H36" i="121"/>
  <c r="I35" i="121" s="1"/>
  <c r="C23" i="124"/>
  <c r="J36" i="121" l="1"/>
  <c r="N36" i="121"/>
  <c r="T35" i="121"/>
  <c r="E35" i="121"/>
  <c r="AI29" i="121"/>
  <c r="N7" i="124"/>
  <c r="Z61" i="108"/>
  <c r="AI23" i="121"/>
  <c r="AN12" i="57" a="1"/>
  <c r="AN12" i="57" s="1"/>
  <c r="AN13" i="57" a="1"/>
  <c r="AN13" i="57" s="1"/>
  <c r="Y18" i="121"/>
  <c r="Z18" i="121" s="1"/>
  <c r="N18" i="121"/>
  <c r="O18" i="121" s="1"/>
  <c r="G10" i="122" s="1"/>
  <c r="L18" i="121"/>
  <c r="M18" i="121" s="1"/>
  <c r="BG18" i="121"/>
  <c r="BH18" i="121" s="1"/>
  <c r="BE18" i="121"/>
  <c r="BF18" i="121" s="1"/>
  <c r="AN18" i="57" a="1"/>
  <c r="AN18" i="57" s="1"/>
  <c r="K36" i="121"/>
  <c r="L36" i="121"/>
  <c r="M36" i="121" s="1"/>
  <c r="P10" i="122"/>
  <c r="BC30" i="121"/>
  <c r="BD30" i="121" s="1"/>
  <c r="AX11" i="121"/>
  <c r="BC12" i="121"/>
  <c r="AO24" i="121"/>
  <c r="AP24" i="121"/>
  <c r="AQ24" i="121" s="1"/>
  <c r="AR24" i="121"/>
  <c r="AS24" i="121" s="1"/>
  <c r="AC24" i="121"/>
  <c r="AD24" i="121" s="1"/>
  <c r="AA24" i="121"/>
  <c r="AB24" i="121" s="1"/>
  <c r="AO18" i="121"/>
  <c r="AR18" i="121"/>
  <c r="AS18" i="121" s="1"/>
  <c r="AP18" i="121"/>
  <c r="AQ18" i="121" s="1"/>
  <c r="K30" i="121"/>
  <c r="N30" i="121"/>
  <c r="O30" i="121" s="1"/>
  <c r="M10" i="122" s="1"/>
  <c r="L30" i="121"/>
  <c r="M30" i="121" s="1"/>
  <c r="K24" i="121"/>
  <c r="N24" i="121"/>
  <c r="O24" i="121" s="1"/>
  <c r="J10" i="122" s="1"/>
  <c r="L24" i="121"/>
  <c r="M24" i="121" s="1"/>
  <c r="E17" i="121"/>
  <c r="J18" i="121"/>
  <c r="K18" i="121" s="1"/>
  <c r="Z30" i="121"/>
  <c r="AC30" i="121"/>
  <c r="AD30" i="121" s="1"/>
  <c r="AA30" i="121"/>
  <c r="AB30" i="121" s="1"/>
  <c r="AC18" i="121"/>
  <c r="AD18" i="121" s="1"/>
  <c r="AA18" i="121"/>
  <c r="AB18" i="121" s="1"/>
  <c r="AR12" i="121"/>
  <c r="AS12" i="121" s="1"/>
  <c r="AP12" i="121"/>
  <c r="AQ12" i="121" s="1"/>
  <c r="BC24" i="121"/>
  <c r="BD24" i="121" s="1"/>
  <c r="AI11" i="121"/>
  <c r="AN12" i="121"/>
  <c r="AO12" i="121" s="1"/>
  <c r="AO13" i="57" a="1"/>
  <c r="AO13" i="57" s="1"/>
  <c r="AR30" i="121"/>
  <c r="AS30" i="121" s="1"/>
  <c r="AP30" i="121"/>
  <c r="AQ30" i="121" s="1"/>
  <c r="AX17" i="121"/>
  <c r="BC18" i="121"/>
  <c r="BD18" i="121" s="1"/>
  <c r="BG12" i="121"/>
  <c r="BH12" i="121" s="1"/>
  <c r="BE12" i="121"/>
  <c r="BF12" i="121" s="1"/>
  <c r="BG30" i="121"/>
  <c r="BH30" i="121" s="1"/>
  <c r="BE30" i="121"/>
  <c r="BF30" i="121" s="1"/>
  <c r="I17" i="121"/>
  <c r="BG24" i="121"/>
  <c r="BH24" i="121" s="1"/>
  <c r="BE24" i="121"/>
  <c r="BF24" i="121" s="1"/>
  <c r="Z36" i="121"/>
  <c r="AC36" i="121"/>
  <c r="AD36" i="121" s="1"/>
  <c r="AA36" i="121"/>
  <c r="AB36" i="121" s="1"/>
  <c r="I23" i="121"/>
  <c r="AO18" i="57" a="1"/>
  <c r="AO18" i="57" s="1"/>
  <c r="AO12" i="57" a="1"/>
  <c r="AO12" i="57" s="1"/>
  <c r="AA62" i="113"/>
  <c r="W56" i="108"/>
  <c r="W57" i="108" s="1"/>
  <c r="K30" i="133"/>
  <c r="L30" i="133" s="1"/>
  <c r="BB57" i="115"/>
  <c r="BB58" i="115" s="1"/>
  <c r="T17" i="121"/>
  <c r="AA57" i="108"/>
  <c r="K35" i="133"/>
  <c r="L35" i="133" s="1"/>
  <c r="AZ58" i="116"/>
  <c r="K21" i="133"/>
  <c r="L21" i="133" s="1"/>
  <c r="BA58" i="114"/>
  <c r="K37" i="133"/>
  <c r="W19" i="124" s="1"/>
  <c r="BA58" i="116"/>
  <c r="K22" i="133"/>
  <c r="U13" i="124" s="1"/>
  <c r="AZ58" i="114"/>
  <c r="K16" i="133"/>
  <c r="L16" i="133" s="1"/>
  <c r="BN58" i="113"/>
  <c r="K36" i="133"/>
  <c r="L36" i="133" s="1"/>
  <c r="AY58" i="116"/>
  <c r="K29" i="133"/>
  <c r="L29" i="133" s="1"/>
  <c r="AZ58" i="115"/>
  <c r="K14" i="133"/>
  <c r="L14" i="133" s="1"/>
  <c r="BM58" i="113"/>
  <c r="K28" i="133"/>
  <c r="L28" i="133" s="1"/>
  <c r="BA58" i="115"/>
  <c r="L15" i="133"/>
  <c r="AX23" i="121"/>
  <c r="U39" i="108"/>
  <c r="BD12" i="121"/>
  <c r="AX29" i="121"/>
  <c r="M30" i="68"/>
  <c r="AS10" i="57"/>
  <c r="AS17" i="57"/>
  <c r="AS15" i="57"/>
  <c r="AS16" i="57"/>
  <c r="AS11" i="57"/>
  <c r="R28" i="68"/>
  <c r="R26" i="68"/>
  <c r="R27" i="68"/>
  <c r="R25" i="68"/>
  <c r="Q31" i="68"/>
  <c r="T23" i="121"/>
  <c r="T11" i="121"/>
  <c r="AM23" i="121"/>
  <c r="P18" i="122"/>
  <c r="P17" i="122"/>
  <c r="G18" i="122"/>
  <c r="G17" i="122"/>
  <c r="L57" i="83"/>
  <c r="I52" i="83"/>
  <c r="I66" i="83"/>
  <c r="L71" i="83"/>
  <c r="L64" i="120"/>
  <c r="I59" i="120"/>
  <c r="L57" i="120"/>
  <c r="I52" i="120"/>
  <c r="I45" i="120"/>
  <c r="L50" i="120"/>
  <c r="J17" i="122"/>
  <c r="J18" i="122"/>
  <c r="L64" i="83"/>
  <c r="I59" i="83"/>
  <c r="L78" i="83"/>
  <c r="I73" i="83"/>
  <c r="M18" i="122"/>
  <c r="M17" i="122"/>
  <c r="R20" i="68"/>
  <c r="R21" i="68"/>
  <c r="R23" i="68"/>
  <c r="R19" i="68"/>
  <c r="R22" i="68"/>
  <c r="L71" i="120"/>
  <c r="I66" i="120"/>
  <c r="K58" i="83"/>
  <c r="L58" i="83" s="1"/>
  <c r="O7" i="124" l="1"/>
  <c r="I8" i="133" s="1"/>
  <c r="AA61" i="108"/>
  <c r="Y62" i="108" s="1"/>
  <c r="AS13" i="57"/>
  <c r="AS12" i="57"/>
  <c r="AS18" i="57"/>
  <c r="W16" i="124"/>
  <c r="V19" i="124"/>
  <c r="V16" i="124"/>
  <c r="W10" i="124"/>
  <c r="V13" i="124"/>
  <c r="U16" i="124"/>
  <c r="U19" i="124"/>
  <c r="L37" i="133"/>
  <c r="L39" i="133" s="1"/>
  <c r="Q32" i="57" s="1"/>
  <c r="V10" i="124"/>
  <c r="L22" i="133"/>
  <c r="L25" i="133" s="1"/>
  <c r="Q20" i="57" s="1"/>
  <c r="T34" i="108"/>
  <c r="V36" i="108" s="1"/>
  <c r="U10" i="124"/>
  <c r="L18" i="133"/>
  <c r="L32" i="133"/>
  <c r="Q26" i="57" s="1"/>
  <c r="I9" i="133"/>
  <c r="Q32" i="68"/>
  <c r="Q33" i="68" s="1"/>
  <c r="Z37" i="108" s="1" a="1"/>
  <c r="Z37" i="108" s="1"/>
  <c r="V35" i="108" l="1"/>
  <c r="Y35" i="108"/>
  <c r="X37" i="108"/>
  <c r="Y37" i="108"/>
  <c r="V38" i="108"/>
  <c r="V37" i="108"/>
  <c r="V39" i="108"/>
  <c r="W9" i="121"/>
  <c r="Z39" i="108"/>
  <c r="J9" i="133"/>
  <c r="BA57" i="108" s="1"/>
  <c r="J8" i="133"/>
  <c r="BB57" i="108" s="1"/>
  <c r="M33" i="68"/>
  <c r="AA9" i="121" l="1"/>
  <c r="AB9" i="121" s="1"/>
  <c r="AC9" i="121"/>
  <c r="AD9" i="121" s="1"/>
  <c r="X39" i="108"/>
  <c r="Y39" i="108"/>
  <c r="L8" i="57"/>
  <c r="L12" i="57" s="1"/>
  <c r="K8" i="133"/>
  <c r="L8" i="133" s="1"/>
  <c r="BB58" i="108"/>
  <c r="BA58" i="108"/>
  <c r="K9" i="133"/>
  <c r="L9" i="133" s="1"/>
  <c r="T40" i="108"/>
  <c r="AA36" i="108" s="1"/>
  <c r="W11" i="121"/>
  <c r="Z9" i="121"/>
  <c r="Z11" i="121" l="1"/>
  <c r="AC11" i="121"/>
  <c r="AD11" i="121" s="1"/>
  <c r="AA11" i="121"/>
  <c r="AB11" i="121" s="1"/>
  <c r="AA35" i="108"/>
  <c r="AA38" i="108"/>
  <c r="X40" i="108"/>
  <c r="AA39" i="108"/>
  <c r="V7" i="124"/>
  <c r="AA37" i="108"/>
  <c r="U7" i="124"/>
  <c r="L11" i="133"/>
  <c r="W12" i="121"/>
  <c r="D9" i="108"/>
  <c r="Z12" i="121" l="1"/>
  <c r="AC12" i="121"/>
  <c r="AD12" i="121" s="1"/>
  <c r="AA12" i="121"/>
  <c r="AB12" i="121" s="1"/>
  <c r="X11" i="121"/>
  <c r="D17" i="108"/>
  <c r="D18" i="108"/>
  <c r="Q14" i="57"/>
  <c r="L13" i="57"/>
  <c r="M13" i="57" s="1"/>
  <c r="M12" i="57"/>
  <c r="Q8" i="57" l="1"/>
  <c r="D286" i="52" l="1"/>
  <c r="AL31" i="121"/>
  <c r="AP31" i="121" l="1"/>
  <c r="AQ31" i="121" s="1"/>
  <c r="AW31" i="121" l="1"/>
  <c r="BC31" i="121" s="1"/>
  <c r="AH31" i="121"/>
  <c r="AF35" i="116"/>
  <c r="AN31" i="121" l="1"/>
  <c r="AO31" i="121" s="1"/>
  <c r="AR31" i="121"/>
  <c r="AS31" i="121" s="1"/>
  <c r="AF19" i="57" a="1"/>
  <c r="AF19" i="57" s="1"/>
  <c r="BA31" i="121" l="1"/>
  <c r="BD31" i="121" l="1"/>
  <c r="BG31" i="121"/>
  <c r="BH31" i="121" s="1"/>
  <c r="BE31" i="121"/>
  <c r="BF31" i="121" s="1"/>
  <c r="P285" i="52" l="1" a="1"/>
  <c r="P285" i="52" s="1"/>
  <c r="H285" i="52" a="1"/>
  <c r="H285" i="52" s="1"/>
  <c r="B287" i="52"/>
  <c r="I285" i="52" a="1"/>
  <c r="I285" i="52" s="1"/>
  <c r="I287" i="52" s="1"/>
  <c r="B295" i="52"/>
  <c r="O295" i="52" s="1" a="1"/>
  <c r="O295" i="52" s="1"/>
  <c r="B294" i="52"/>
  <c r="B292" i="52"/>
  <c r="B286" i="52"/>
  <c r="B293" i="52"/>
  <c r="B296" i="52"/>
  <c r="B297" i="52"/>
  <c r="F285" i="52" a="1"/>
  <c r="F285" i="52" s="1"/>
  <c r="B298" i="52"/>
  <c r="B288" i="52"/>
  <c r="B289" i="52"/>
  <c r="H286" i="52" l="1" a="1"/>
  <c r="H286" i="52" s="1"/>
  <c r="H287" i="52" s="1"/>
  <c r="AP53" i="114" a="1"/>
  <c r="AP53" i="114" s="1"/>
  <c r="AP56" i="114" s="1"/>
  <c r="AP57" i="114" s="1"/>
  <c r="AK53" i="114" a="1"/>
  <c r="AK53" i="114" s="1"/>
  <c r="AK56" i="114" s="1"/>
  <c r="AK57" i="114" s="1"/>
  <c r="AK61" i="114" s="1"/>
  <c r="P286" i="52" a="1"/>
  <c r="P286" i="52" s="1"/>
  <c r="P287" i="52" s="1"/>
  <c r="O286" i="52" a="1"/>
  <c r="O286" i="52" s="1"/>
  <c r="AH53" i="116" a="1"/>
  <c r="AH53" i="116" s="1"/>
  <c r="AG53" i="116" a="1"/>
  <c r="AG53" i="116" s="1"/>
  <c r="AH36" i="116" a="1"/>
  <c r="AH36" i="116" s="1"/>
  <c r="I292" i="52" a="1"/>
  <c r="I292" i="52" s="1"/>
  <c r="O292" i="52" a="1"/>
  <c r="O292" i="52" s="1"/>
  <c r="H293" i="52" a="1"/>
  <c r="H293" i="52" s="1"/>
  <c r="O293" i="52" a="1"/>
  <c r="O293" i="52" s="1"/>
  <c r="F294" i="52" a="1"/>
  <c r="F294" i="52" s="1"/>
  <c r="O294" i="52" a="1"/>
  <c r="O294" i="52" s="1"/>
  <c r="I293" i="52" a="1"/>
  <c r="I293" i="52" s="1"/>
  <c r="AK52" i="116" a="1"/>
  <c r="AK52" i="116" s="1"/>
  <c r="AK56" i="116" s="1"/>
  <c r="AK57" i="116" s="1"/>
  <c r="AK61" i="116" s="1"/>
  <c r="P293" i="52" a="1"/>
  <c r="P293" i="52" s="1"/>
  <c r="P292" i="52" a="1"/>
  <c r="P292" i="52" s="1"/>
  <c r="AQ36" i="116" a="1"/>
  <c r="AQ36" i="116" s="1"/>
  <c r="AR53" i="116" a="1"/>
  <c r="AR53" i="116" s="1"/>
  <c r="AQ53" i="116" a="1"/>
  <c r="AQ53" i="116" s="1"/>
  <c r="AS53" i="116" a="1"/>
  <c r="AS53" i="116" s="1"/>
  <c r="AP53" i="116" a="1"/>
  <c r="AP53" i="116" s="1"/>
  <c r="AC53" i="116" a="1"/>
  <c r="AC53" i="116" s="1"/>
  <c r="AC56" i="116" s="1"/>
  <c r="AC57" i="116" s="1"/>
  <c r="AC61" i="116" s="1"/>
  <c r="AD53" i="116" a="1"/>
  <c r="AD53" i="116" s="1"/>
  <c r="AC36" i="116" a="1"/>
  <c r="AC36" i="116" s="1"/>
  <c r="I286" i="52" a="1"/>
  <c r="I286" i="52" s="1"/>
  <c r="F295" i="52" a="1"/>
  <c r="F295" i="52" s="1"/>
  <c r="F296" i="52" s="1"/>
  <c r="H295" i="52" a="1"/>
  <c r="H295" i="52" s="1"/>
  <c r="P295" i="52" a="1"/>
  <c r="P295" i="52" s="1"/>
  <c r="I295" i="52" a="1"/>
  <c r="I295" i="52" s="1"/>
  <c r="J285" i="52"/>
  <c r="Q285" i="52"/>
  <c r="H294" i="52" a="1"/>
  <c r="H294" i="52" s="1"/>
  <c r="I294" i="52" a="1"/>
  <c r="I294" i="52" s="1"/>
  <c r="I296" i="52" s="1"/>
  <c r="P294" i="52" a="1"/>
  <c r="P294" i="52" s="1"/>
  <c r="F293" i="52" a="1"/>
  <c r="F293" i="52" s="1"/>
  <c r="F287" i="52" a="1"/>
  <c r="F287" i="52" s="1"/>
  <c r="F292" i="52" a="1"/>
  <c r="F292" i="52" s="1"/>
  <c r="AL52" i="116" a="1"/>
  <c r="AL52" i="116" s="1"/>
  <c r="AM52" i="116" a="1"/>
  <c r="AM52" i="116" s="1"/>
  <c r="F286" i="52" a="1"/>
  <c r="F286" i="52" s="1"/>
  <c r="AN52" i="116" a="1"/>
  <c r="AN52" i="116" s="1"/>
  <c r="H292" i="52" a="1"/>
  <c r="H292" i="52" s="1"/>
  <c r="P180" i="135" l="1" a="1"/>
  <c r="P180" i="135" s="1"/>
  <c r="I180" i="135" a="1"/>
  <c r="I180" i="135" s="1"/>
  <c r="N180" i="135" a="1"/>
  <c r="N180" i="135" s="1"/>
  <c r="N183" i="135" s="1"/>
  <c r="N185" i="135" s="1"/>
  <c r="N188" i="135" s="1"/>
  <c r="G180" i="135" a="1"/>
  <c r="G180" i="135" s="1"/>
  <c r="G183" i="135" s="1"/>
  <c r="O180" i="135" a="1"/>
  <c r="O180" i="135" s="1"/>
  <c r="O183" i="135" s="1"/>
  <c r="O185" i="135" s="1"/>
  <c r="O188" i="135" s="1"/>
  <c r="H180" i="135" a="1"/>
  <c r="H180" i="135" s="1"/>
  <c r="H183" i="135" s="1"/>
  <c r="H185" i="135" s="1"/>
  <c r="X36" i="57" s="1"/>
  <c r="M33" i="124"/>
  <c r="AP61" i="114"/>
  <c r="AP62" i="114" s="1"/>
  <c r="J293" i="52"/>
  <c r="J286" i="52"/>
  <c r="Q292" i="52"/>
  <c r="AO36" i="116"/>
  <c r="AP36" i="116"/>
  <c r="BA32" i="121"/>
  <c r="AQ39" i="116"/>
  <c r="BA35" i="121" s="1"/>
  <c r="AW32" i="121"/>
  <c r="AF36" i="116"/>
  <c r="AE19" i="57" s="1" a="1"/>
  <c r="AE19" i="57" s="1"/>
  <c r="AH32" i="121"/>
  <c r="AC39" i="116"/>
  <c r="F11" i="116" s="1"/>
  <c r="D74" i="120" a="1"/>
  <c r="D74" i="120" s="1"/>
  <c r="AL32" i="121"/>
  <c r="AH39" i="116"/>
  <c r="AB40" i="116" s="1"/>
  <c r="J74" i="120" a="1"/>
  <c r="J74" i="120" s="1"/>
  <c r="L168" i="135" a="1"/>
  <c r="L168" i="135" s="1"/>
  <c r="L171" i="135" s="1"/>
  <c r="L173" i="135" s="1"/>
  <c r="G168" i="135" a="1"/>
  <c r="G168" i="135" s="1"/>
  <c r="G171" i="135" s="1"/>
  <c r="P296" i="52"/>
  <c r="J295" i="52"/>
  <c r="Q286" i="52"/>
  <c r="J292" i="52"/>
  <c r="AG56" i="116"/>
  <c r="AG57" i="116" s="1"/>
  <c r="AS56" i="116"/>
  <c r="AS57" i="116" s="1"/>
  <c r="M285" i="52"/>
  <c r="AP56" i="116"/>
  <c r="AP57" i="116" s="1"/>
  <c r="Q293" i="52"/>
  <c r="J287" i="52"/>
  <c r="K285" i="52" s="1"/>
  <c r="AN56" i="116"/>
  <c r="AN57" i="116" s="1"/>
  <c r="AN61" i="116" s="1"/>
  <c r="AM56" i="116"/>
  <c r="AM57" i="116" s="1"/>
  <c r="AM61" i="116" s="1"/>
  <c r="AQ56" i="116"/>
  <c r="AQ57" i="116" s="1"/>
  <c r="O287" i="52"/>
  <c r="AR56" i="116"/>
  <c r="AR57" i="116" s="1"/>
  <c r="Q294" i="52"/>
  <c r="O296" i="52"/>
  <c r="AD56" i="116"/>
  <c r="AD57" i="116" s="1"/>
  <c r="AD61" i="116" s="1"/>
  <c r="AC62" i="116" s="1"/>
  <c r="AL56" i="116"/>
  <c r="AL57" i="116" s="1"/>
  <c r="AL61" i="116" s="1"/>
  <c r="AO35" i="116"/>
  <c r="AL39" i="116"/>
  <c r="J294" i="52"/>
  <c r="H296" i="52"/>
  <c r="J296" i="52" s="1"/>
  <c r="Q295" i="52"/>
  <c r="G185" i="135" l="1"/>
  <c r="W36" i="57" s="1"/>
  <c r="M180" i="135" a="1"/>
  <c r="M180" i="135" s="1"/>
  <c r="F180" i="135" a="1"/>
  <c r="F180" i="135" s="1"/>
  <c r="N51" i="124" a="1"/>
  <c r="N51" i="124" s="1"/>
  <c r="N173" i="135"/>
  <c r="AK62" i="114"/>
  <c r="K293" i="52"/>
  <c r="M286" i="52"/>
  <c r="M292" i="52"/>
  <c r="AD36" i="116"/>
  <c r="G11" i="116"/>
  <c r="N35" i="57"/>
  <c r="G9" i="116"/>
  <c r="F32" i="57"/>
  <c r="J78" i="120" a="1"/>
  <c r="J78" i="120" s="1"/>
  <c r="AL35" i="121"/>
  <c r="AI39" i="116"/>
  <c r="AR19" i="57" s="1" a="1"/>
  <c r="AR19" i="57" s="1"/>
  <c r="AK40" i="116"/>
  <c r="AP32" i="121"/>
  <c r="AQ32" i="121" s="1"/>
  <c r="AR32" i="121"/>
  <c r="AS32" i="121" s="1"/>
  <c r="AH35" i="121"/>
  <c r="D78" i="120" a="1"/>
  <c r="D78" i="120" s="1"/>
  <c r="D79" i="120" s="1"/>
  <c r="AW35" i="121"/>
  <c r="AF39" i="116"/>
  <c r="AI19" i="57" s="1" a="1"/>
  <c r="AI19" i="57" s="1"/>
  <c r="N32" i="57"/>
  <c r="AN32" i="121"/>
  <c r="AO32" i="121" s="1"/>
  <c r="BE35" i="121"/>
  <c r="BF35" i="121" s="1"/>
  <c r="AI38" i="116"/>
  <c r="AQ19" i="57" s="1" a="1"/>
  <c r="AQ19" i="57" s="1"/>
  <c r="AI37" i="116"/>
  <c r="AP19" i="57" s="1" a="1"/>
  <c r="AP19" i="57" s="1"/>
  <c r="AI35" i="116"/>
  <c r="AO19" i="57" s="1" a="1"/>
  <c r="AO19" i="57" s="1"/>
  <c r="E74" i="120"/>
  <c r="K74" i="120"/>
  <c r="BE32" i="121"/>
  <c r="BF32" i="121" s="1"/>
  <c r="BG32" i="121"/>
  <c r="BH32" i="121" s="1"/>
  <c r="BA36" i="121"/>
  <c r="BB35" i="121" s="1"/>
  <c r="AI36" i="116"/>
  <c r="AN19" i="57" s="1" a="1"/>
  <c r="AN19" i="57" s="1"/>
  <c r="BC32" i="121"/>
  <c r="BD32" i="121" s="1"/>
  <c r="F9" i="116"/>
  <c r="F35" i="57"/>
  <c r="K292" i="52"/>
  <c r="K168" i="135" a="1"/>
  <c r="K168" i="135" s="1"/>
  <c r="F168" i="135" a="1"/>
  <c r="F168" i="135" s="1"/>
  <c r="H168" i="135" s="1"/>
  <c r="I168" i="135" s="1"/>
  <c r="Q287" i="52"/>
  <c r="R285" i="52" s="1"/>
  <c r="Q296" i="52"/>
  <c r="Q297" i="52" s="1"/>
  <c r="Q298" i="52" s="1"/>
  <c r="M39" i="124"/>
  <c r="AP61" i="116"/>
  <c r="N59" i="124"/>
  <c r="O39" i="124"/>
  <c r="AR61" i="116"/>
  <c r="AG61" i="116"/>
  <c r="D47" i="124"/>
  <c r="D50" i="124" s="1"/>
  <c r="K294" i="52"/>
  <c r="M294" i="52"/>
  <c r="P183" i="135"/>
  <c r="P185" i="135" s="1"/>
  <c r="P188" i="135" s="1"/>
  <c r="N189" i="135" s="1"/>
  <c r="AS61" i="116"/>
  <c r="P39" i="124"/>
  <c r="J297" i="52"/>
  <c r="AP39" i="116"/>
  <c r="AO39" i="116"/>
  <c r="AH56" i="116"/>
  <c r="AH57" i="116" s="1"/>
  <c r="N39" i="124"/>
  <c r="AQ61" i="116"/>
  <c r="O59" i="124"/>
  <c r="J288" i="52"/>
  <c r="J289" i="52" s="1"/>
  <c r="I183" i="135"/>
  <c r="I185" i="135" s="1"/>
  <c r="M293" i="52"/>
  <c r="M295" i="52"/>
  <c r="AD39" i="116" l="1"/>
  <c r="AF40" i="116"/>
  <c r="AJ19" i="57" s="1"/>
  <c r="AG35" i="116"/>
  <c r="AG37" i="116"/>
  <c r="AD37" i="116"/>
  <c r="AD38" i="116"/>
  <c r="AD35" i="116"/>
  <c r="AG38" i="116"/>
  <c r="AG36" i="116"/>
  <c r="AG39" i="116"/>
  <c r="G18" i="116"/>
  <c r="G17" i="116"/>
  <c r="AS19" i="57"/>
  <c r="BE36" i="121"/>
  <c r="BF36" i="121" s="1"/>
  <c r="AR39" i="116"/>
  <c r="AR37" i="116"/>
  <c r="AR35" i="116"/>
  <c r="AR38" i="116"/>
  <c r="AR36" i="116"/>
  <c r="AP35" i="121"/>
  <c r="AQ35" i="121" s="1"/>
  <c r="AR35" i="121"/>
  <c r="AS35" i="121" s="1"/>
  <c r="O36" i="57"/>
  <c r="N36" i="57"/>
  <c r="N37" i="57"/>
  <c r="O37" i="57" s="1"/>
  <c r="F17" i="116"/>
  <c r="F18" i="116"/>
  <c r="L74" i="120"/>
  <c r="E73" i="120"/>
  <c r="F73" i="120" s="1"/>
  <c r="G73" i="120" s="1"/>
  <c r="H73" i="120" s="1"/>
  <c r="AN35" i="121"/>
  <c r="AO35" i="121" s="1"/>
  <c r="J79" i="120"/>
  <c r="K79" i="120" s="1"/>
  <c r="L79" i="120" s="1"/>
  <c r="I78" i="120"/>
  <c r="K78" i="120"/>
  <c r="BC35" i="121"/>
  <c r="BD35" i="121" s="1"/>
  <c r="BG35" i="121"/>
  <c r="BH35" i="121" s="1"/>
  <c r="AW36" i="121"/>
  <c r="BC36" i="121" s="1"/>
  <c r="BD36" i="121" s="1"/>
  <c r="AH36" i="121"/>
  <c r="AN36" i="121" s="1"/>
  <c r="AO36" i="121" s="1"/>
  <c r="AL36" i="121"/>
  <c r="G36" i="57"/>
  <c r="F37" i="57"/>
  <c r="G37" i="57" s="1"/>
  <c r="F36" i="57"/>
  <c r="R295" i="52"/>
  <c r="R294" i="52"/>
  <c r="M296" i="52"/>
  <c r="Y36" i="57"/>
  <c r="W32" i="57" s="1"/>
  <c r="R292" i="52"/>
  <c r="R286" i="52"/>
  <c r="Q288" i="52"/>
  <c r="Q289" i="52" s="1"/>
  <c r="M289" i="52" s="1"/>
  <c r="R293" i="52"/>
  <c r="M287" i="52"/>
  <c r="AK62" i="116"/>
  <c r="P59" i="124"/>
  <c r="AH61" i="116"/>
  <c r="AG62" i="116" s="1"/>
  <c r="D48" i="124"/>
  <c r="D51" i="124" s="1"/>
  <c r="D52" i="124" s="1"/>
  <c r="F183" i="135"/>
  <c r="F185" i="135" s="1"/>
  <c r="J185" i="135" s="1"/>
  <c r="AP62" i="116"/>
  <c r="M297" i="52"/>
  <c r="K295" i="52"/>
  <c r="M183" i="135"/>
  <c r="M185" i="135" s="1"/>
  <c r="M59" i="124" s="1"/>
  <c r="K286" i="52"/>
  <c r="AM36" i="116"/>
  <c r="AM38" i="116"/>
  <c r="AO40" i="116"/>
  <c r="AM37" i="116"/>
  <c r="AP35" i="116"/>
  <c r="AM35" i="116"/>
  <c r="J298" i="52"/>
  <c r="M298" i="52" s="1"/>
  <c r="K171" i="135"/>
  <c r="K173" i="135" s="1"/>
  <c r="M51" i="124" s="1" a="1"/>
  <c r="M51" i="124" s="1"/>
  <c r="AM39" i="116"/>
  <c r="F171" i="135"/>
  <c r="H171" i="135" s="1"/>
  <c r="I73" i="120" l="1"/>
  <c r="L78" i="120"/>
  <c r="AP36" i="121"/>
  <c r="AQ36" i="121" s="1"/>
  <c r="AR36" i="121"/>
  <c r="AS36" i="121" s="1"/>
  <c r="AI35" i="121"/>
  <c r="AM35" i="121"/>
  <c r="BG36" i="121"/>
  <c r="BH36" i="121" s="1"/>
  <c r="AX35" i="121"/>
  <c r="M288" i="52"/>
  <c r="Q188" i="135"/>
  <c r="H172" i="135"/>
  <c r="I171" i="135" l="1"/>
  <c r="H173" i="135"/>
  <c r="V32" i="57" s="1" a="1"/>
  <c r="V32" i="57" s="1"/>
  <c r="I169" i="135"/>
  <c r="I170" i="135"/>
  <c r="P56" i="116" l="1"/>
  <c r="P57" i="116" s="1"/>
  <c r="P61" i="116" l="1"/>
  <c r="O62" i="116" s="1"/>
  <c r="C48" i="124"/>
  <c r="C51" i="124" s="1"/>
  <c r="C52" i="124" s="1"/>
  <c r="P56" i="115"/>
  <c r="P57" i="115" l="1"/>
  <c r="P61" i="115" s="1"/>
  <c r="O62" i="115" s="1"/>
  <c r="P69" i="115"/>
  <c r="Q69" i="115" s="1"/>
  <c r="Q64" i="115" s="1"/>
  <c r="AH56" i="115"/>
  <c r="AH57" i="115" s="1"/>
  <c r="C38" i="124" l="1"/>
  <c r="C41" i="124" s="1"/>
  <c r="C42" i="124" s="1"/>
  <c r="D38" i="124"/>
  <c r="D41" i="124" s="1"/>
  <c r="D42" i="124" s="1"/>
  <c r="AH61" i="115"/>
  <c r="AG62" i="115" s="1"/>
  <c r="P56" i="114"/>
  <c r="P57" i="114" s="1"/>
  <c r="P61" i="114" l="1"/>
  <c r="O62" i="114" s="1"/>
  <c r="C28" i="124"/>
  <c r="C31" i="124" s="1"/>
  <c r="C32" i="124" s="1"/>
  <c r="AH56" i="114"/>
  <c r="AH57" i="114" s="1"/>
  <c r="D28" i="124" l="1"/>
  <c r="D31" i="124" s="1"/>
  <c r="D32" i="124" s="1"/>
  <c r="AH61" i="114"/>
  <c r="AG62" i="1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<sst xmlns="http://schemas.openxmlformats.org/spreadsheetml/2006/main" count="9501" uniqueCount="455">
  <si>
    <t>Energex</t>
  </si>
  <si>
    <t>Distribution zone</t>
  </si>
  <si>
    <t>Ausgrid</t>
  </si>
  <si>
    <t>Essential</t>
  </si>
  <si>
    <t>Endeavour</t>
  </si>
  <si>
    <t>SAPN</t>
  </si>
  <si>
    <t>Residential</t>
  </si>
  <si>
    <t>Contents</t>
  </si>
  <si>
    <t>Index</t>
  </si>
  <si>
    <t>S. No.</t>
  </si>
  <si>
    <t>Customer type</t>
  </si>
  <si>
    <t>Tariff type</t>
  </si>
  <si>
    <t>Flat rate with CL</t>
  </si>
  <si>
    <t>Small business</t>
  </si>
  <si>
    <t>CL1</t>
  </si>
  <si>
    <t>CL2</t>
  </si>
  <si>
    <t>CL</t>
  </si>
  <si>
    <t>Summary</t>
  </si>
  <si>
    <t>&lt;&lt;Back to Index</t>
  </si>
  <si>
    <t>Flat rate</t>
  </si>
  <si>
    <t>Change</t>
  </si>
  <si>
    <t>Cost</t>
  </si>
  <si>
    <t>Tariff</t>
  </si>
  <si>
    <t>Proportion</t>
  </si>
  <si>
    <t>Usage</t>
  </si>
  <si>
    <t>kWh/yr</t>
  </si>
  <si>
    <t>Units</t>
  </si>
  <si>
    <t>%</t>
  </si>
  <si>
    <t>Value</t>
  </si>
  <si>
    <t>Assumption</t>
  </si>
  <si>
    <t>CPI</t>
  </si>
  <si>
    <t>Days in year</t>
  </si>
  <si>
    <t>Description</t>
  </si>
  <si>
    <t>Yes</t>
  </si>
  <si>
    <t>No</t>
  </si>
  <si>
    <t>Yes/No</t>
  </si>
  <si>
    <t>Customer</t>
  </si>
  <si>
    <t>Distribution zones</t>
  </si>
  <si>
    <t>GST</t>
  </si>
  <si>
    <t>TOU</t>
  </si>
  <si>
    <t>Flat rate without CL</t>
  </si>
  <si>
    <t>Base year</t>
  </si>
  <si>
    <t>Determination year</t>
  </si>
  <si>
    <t>Index assessment</t>
  </si>
  <si>
    <t>$/MWh</t>
  </si>
  <si>
    <t>$</t>
  </si>
  <si>
    <t>Fixed</t>
  </si>
  <si>
    <t>Variable</t>
  </si>
  <si>
    <t>Annual usage (kWh)</t>
  </si>
  <si>
    <t>% change</t>
  </si>
  <si>
    <t>Contribution 
to change</t>
  </si>
  <si>
    <t>Controlled load usage (kWh)</t>
  </si>
  <si>
    <t>Flat rate usage (kWh)</t>
  </si>
  <si>
    <t>kWh</t>
  </si>
  <si>
    <t>% y-o-y check</t>
  </si>
  <si>
    <t>Total</t>
  </si>
  <si>
    <t>CL1 Proportion</t>
  </si>
  <si>
    <t>NUOS</t>
  </si>
  <si>
    <t>x-factor</t>
  </si>
  <si>
    <t>NA</t>
  </si>
  <si>
    <t>Rate of change</t>
  </si>
  <si>
    <t>ACS</t>
  </si>
  <si>
    <t>Network cost</t>
  </si>
  <si>
    <t>Wholesale cost</t>
  </si>
  <si>
    <t>Environmental cost</t>
  </si>
  <si>
    <t>Network Cost</t>
  </si>
  <si>
    <t>Description2</t>
  </si>
  <si>
    <t>DMO price</t>
  </si>
  <si>
    <t>$ pa</t>
  </si>
  <si>
    <t>WEC</t>
  </si>
  <si>
    <t>Ancillary</t>
  </si>
  <si>
    <t>RERT</t>
  </si>
  <si>
    <t>Losses</t>
  </si>
  <si>
    <t>LRET</t>
  </si>
  <si>
    <t>SRES</t>
  </si>
  <si>
    <t>ESS</t>
  </si>
  <si>
    <t>Small Business</t>
  </si>
  <si>
    <t>NEM fee</t>
  </si>
  <si>
    <t>REES</t>
  </si>
  <si>
    <t>Total inc GST</t>
  </si>
  <si>
    <t>Wholesale Cost</t>
  </si>
  <si>
    <t>Environmental Cost</t>
  </si>
  <si>
    <t>DMO Price</t>
  </si>
  <si>
    <t>Click on each box to go to the sheet</t>
  </si>
  <si>
    <t>Tariff level 1</t>
  </si>
  <si>
    <t>Tariff level 2</t>
  </si>
  <si>
    <t>Tariff level 3</t>
  </si>
  <si>
    <t>CL2 Proportion</t>
  </si>
  <si>
    <t>Note: DMO prices have been rounded to the nearest integer</t>
  </si>
  <si>
    <t>Cost stacks</t>
  </si>
  <si>
    <t>Detail inputs</t>
  </si>
  <si>
    <t>Structure</t>
  </si>
  <si>
    <t>Model Structure and Acronyms</t>
  </si>
  <si>
    <t>Network Use of System</t>
  </si>
  <si>
    <t>Alternative Control Services</t>
  </si>
  <si>
    <t>Wholesale Energy Cost</t>
  </si>
  <si>
    <t>Ancillary Charges</t>
  </si>
  <si>
    <t>ECA</t>
  </si>
  <si>
    <t>FRC</t>
  </si>
  <si>
    <t>NTP</t>
  </si>
  <si>
    <t>Full Retail Contestability</t>
  </si>
  <si>
    <t>National Transmission Planner</t>
  </si>
  <si>
    <t>Prudential fee</t>
  </si>
  <si>
    <t>RPP</t>
  </si>
  <si>
    <t>DLF</t>
  </si>
  <si>
    <t>MLF</t>
  </si>
  <si>
    <t>Network losses, combined loss factor of DLF and MLF</t>
  </si>
  <si>
    <t>Renewable Power Percentage</t>
  </si>
  <si>
    <t>Large-scale Renewable Energy Target</t>
  </si>
  <si>
    <t>Small-scale Renewable Energy Scheme</t>
  </si>
  <si>
    <t>Retail Energy Efficiency Scheme (South Australia)</t>
  </si>
  <si>
    <t>Energy Savings Scheme (New South Wales)</t>
  </si>
  <si>
    <t>Controlled Load</t>
  </si>
  <si>
    <t>Time Of Use</t>
  </si>
  <si>
    <t>DMO</t>
  </si>
  <si>
    <t>Default Market Offer</t>
  </si>
  <si>
    <t>MWh</t>
  </si>
  <si>
    <t>Mega Watt hour</t>
  </si>
  <si>
    <t>pa</t>
  </si>
  <si>
    <t>per annum</t>
  </si>
  <si>
    <t>All prices inc GST</t>
  </si>
  <si>
    <t>General inputs</t>
  </si>
  <si>
    <t>Determination</t>
  </si>
  <si>
    <t>without CL</t>
  </si>
  <si>
    <t>with CL</t>
  </si>
  <si>
    <t>All prices and costs incl GST</t>
  </si>
  <si>
    <t>All cell values that are to be updated in blue</t>
  </si>
  <si>
    <t>APP</t>
  </si>
  <si>
    <t>Annual Pricing Proposal</t>
  </si>
  <si>
    <t>Change y-o-y</t>
  </si>
  <si>
    <t>Prudential</t>
  </si>
  <si>
    <t>Reliability and Emergency Reserve Trader</t>
  </si>
  <si>
    <t>Energy Consumers Australia</t>
  </si>
  <si>
    <t>National Electricity Market fees, which includes AEMO, ECA, FRC and NTP fees</t>
  </si>
  <si>
    <t>Distribution Loss Factor</t>
  </si>
  <si>
    <t>Marginal Loss Factor</t>
  </si>
  <si>
    <t>for annual usage of</t>
  </si>
  <si>
    <t>Overview</t>
  </si>
  <si>
    <t>Index Assessment to Determine DMO Prices</t>
  </si>
  <si>
    <t>Cost Calculations for DMO Prices</t>
  </si>
  <si>
    <t>Inputs and Assumptions</t>
  </si>
  <si>
    <t>Section 1: Overview</t>
  </si>
  <si>
    <t>By distribution zone</t>
  </si>
  <si>
    <t>Section 4: Cost Calculations for DMO Prices</t>
  </si>
  <si>
    <t>By cost type</t>
  </si>
  <si>
    <t>Section 5: Inputs and Assumptions</t>
  </si>
  <si>
    <t>By tariff type</t>
  </si>
  <si>
    <t>Base</t>
  </si>
  <si>
    <t>$/yr</t>
  </si>
  <si>
    <t>CL1 %</t>
  </si>
  <si>
    <t>CL2 %</t>
  </si>
  <si>
    <t>Contribution to change</t>
  </si>
  <si>
    <t>Source</t>
  </si>
  <si>
    <t>Section 2: Cost Stacks with Changes in Underlying Costs</t>
  </si>
  <si>
    <t>Cost Stacks with Changes in Underlying Costs</t>
  </si>
  <si>
    <t>PDRS</t>
  </si>
  <si>
    <t>REPS</t>
  </si>
  <si>
    <t>Directions</t>
  </si>
  <si>
    <t>Bad and doubtful debt</t>
  </si>
  <si>
    <t>Retail cost</t>
  </si>
  <si>
    <t>Retail Cost</t>
  </si>
  <si>
    <t>CPI adjustment</t>
  </si>
  <si>
    <t>Section 3: Zonal cost assessment to Determine DMO Prices</t>
  </si>
  <si>
    <t>N50</t>
  </si>
  <si>
    <t>N54</t>
  </si>
  <si>
    <t>BLNC1AU</t>
  </si>
  <si>
    <t>BLNC2AU</t>
  </si>
  <si>
    <t>EA030</t>
  </si>
  <si>
    <t>EA040</t>
  </si>
  <si>
    <t>Tariff Code</t>
  </si>
  <si>
    <t>RSR</t>
  </si>
  <si>
    <t>Change y-o-y (real)</t>
  </si>
  <si>
    <t xml:space="preserve"> </t>
  </si>
  <si>
    <t>June 2022 Event Cost</t>
  </si>
  <si>
    <t>Peak Demand Reduction Scheme (NSW)</t>
  </si>
  <si>
    <t>Year on Year</t>
  </si>
  <si>
    <t>kilo Watt hour</t>
  </si>
  <si>
    <t>AEMO</t>
  </si>
  <si>
    <t>Australian Energy Market Operator</t>
  </si>
  <si>
    <t>y-o-y</t>
  </si>
  <si>
    <t>Goods and Services Tax</t>
  </si>
  <si>
    <t>Consumer Price Index</t>
  </si>
  <si>
    <t>Ausgrid Group, NSW electricity distributor, owned by NSW Government and a consortium consisting of fund manager IFM Investors, AustralianSuper and Netherlands based APG Asset Management Group</t>
  </si>
  <si>
    <t xml:space="preserve">Endeavour Energy, NSW electricity distributor, owned by NSW Government  </t>
  </si>
  <si>
    <t xml:space="preserve">Essential Energy, NSW electricity distributor, owned by NSW Government </t>
  </si>
  <si>
    <t>Energex, South-East Queensland electricity distributor, owned by Enegy Queensland Limited which is a Government owned entity</t>
  </si>
  <si>
    <t>SA Power Networks, South Australian electricty distributor, owned by the Hong Kong-based Cheung Kong Infrastructure Holdings and Spark Infrastructure</t>
  </si>
  <si>
    <t>Retail Energy Productivity Scheme (South Australia)</t>
  </si>
  <si>
    <t>2024-25</t>
  </si>
  <si>
    <t>non-leap year</t>
  </si>
  <si>
    <t>Smart meter capital allowance</t>
  </si>
  <si>
    <t>Network tariff code</t>
  </si>
  <si>
    <t>Retail margin</t>
  </si>
  <si>
    <t>CPI fct 1/06/2025</t>
  </si>
  <si>
    <t>Distribution Region</t>
  </si>
  <si>
    <t>Cost stack component</t>
  </si>
  <si>
    <t>inc GST</t>
  </si>
  <si>
    <t>margin</t>
  </si>
  <si>
    <t>$ diff</t>
  </si>
  <si>
    <t>% diff</t>
  </si>
  <si>
    <t>Note: Table may not add due to rounding</t>
  </si>
  <si>
    <t>Endeavour Energy</t>
  </si>
  <si>
    <t>Essential Energy</t>
  </si>
  <si>
    <t>SA Power Networks</t>
  </si>
  <si>
    <t>▲</t>
  </si>
  <si>
    <t>▼ ▲</t>
  </si>
  <si>
    <t>▼</t>
  </si>
  <si>
    <t>Default market offer (DMO)</t>
  </si>
  <si>
    <t>Wholesale cost component</t>
  </si>
  <si>
    <t>Network cost component</t>
  </si>
  <si>
    <t>Environmental cost component</t>
  </si>
  <si>
    <t>Retail cost component</t>
  </si>
  <si>
    <t>Retail margin component</t>
  </si>
  <si>
    <t>Summary Detailed</t>
  </si>
  <si>
    <t>Summary Chart</t>
  </si>
  <si>
    <t>2025-26</t>
  </si>
  <si>
    <t>Days in last year</t>
  </si>
  <si>
    <t>CPI fct 1/06/2026</t>
  </si>
  <si>
    <t>DMO 2025-26 Draft Determination</t>
  </si>
  <si>
    <t>AER analysis of retailer submissions, October 2024</t>
  </si>
  <si>
    <t>Retail operating cost</t>
  </si>
  <si>
    <t>RBA forecast for the two years ending Jun 2026 (Feb-2025)</t>
  </si>
  <si>
    <t>Smart meter cost</t>
  </si>
  <si>
    <t>Retailer Metering Counts and Costs Voluntary Information Request – April 2025</t>
  </si>
  <si>
    <t>ACIL Allen, Wholesale energy and environmental cost estimates for DMO 7 Final Determination, Table 4.4</t>
  </si>
  <si>
    <t>Controlled Load 1 – EA030</t>
  </si>
  <si>
    <t>Controlled Load 2 – EA040</t>
  </si>
  <si>
    <t xml:space="preserve">Controlled Load 1 – N50 </t>
  </si>
  <si>
    <t xml:space="preserve">Controlled Load 2  – N54 </t>
  </si>
  <si>
    <t>LV Controlled Load 1 – BLNC1AU</t>
  </si>
  <si>
    <t>LV Controlled Load 2 – BLNC2AU</t>
  </si>
  <si>
    <t>ACIL Allen, Wholesale energy and environmental cost estimates for DMO 7 Final Determination, Table 4.13</t>
  </si>
  <si>
    <t>ACIL Allen, Wholesale energy and environmental cost estimates for DMO 7 Final Determination, Table 4.12</t>
  </si>
  <si>
    <t>ACIL Allen, Wholesale energy and environmental cost estimates for DMO 7 Final Determination, Table 4.29</t>
  </si>
  <si>
    <t>ACIL Allen, Wholesale energy and environmental cost estimates for DMO 7 Final Determination, Table 4.27</t>
  </si>
  <si>
    <t>ACIL Allen, Wholesale energy and environmental cost estimates for DMO 7 Final Determination, Table 4.9</t>
  </si>
  <si>
    <t>ACIL Allen, Wholesale energy and environmental cost estimates for DMO 7 Final Determination, Table 4.10</t>
  </si>
  <si>
    <t>ACIL Allen, Wholesale energy and environmental cost estimates for DMO 7 Final Determination, Table 4.33</t>
  </si>
  <si>
    <t>ACIL Allen, Wholesale energy and environmental cost estimates for DMO 7 Final Determination, Table 4.30</t>
  </si>
  <si>
    <t>ACIL Allen, Wholesale energy and environmental cost estimates for DMO 7 Final Determination, Table 4.31</t>
  </si>
  <si>
    <t>ACIL Allen, Wholesale energy and environmental cost estimates for DMO 7 Final Determination, Table 4.28</t>
  </si>
  <si>
    <t>ACIL Allen, Wholesale energy and environmental cost estimates for DMO 7 Final Determination, Table 4.32</t>
  </si>
  <si>
    <t>ACIL Allen, Wholesale energy and environmental cost estimates for DMO 7 Final Determination, Table 4.11</t>
  </si>
  <si>
    <t>ACIL Allen, Wholesale energy and environmental cost estimates for DMO 7 Final Determination, Section 4.3</t>
  </si>
  <si>
    <t>Annualized cost</t>
  </si>
  <si>
    <t>Usage proportion</t>
  </si>
  <si>
    <t>cents/kWh</t>
  </si>
  <si>
    <t>-</t>
  </si>
  <si>
    <t>DMO 2025-26 Final Determination, p 108</t>
  </si>
  <si>
    <t>Global</t>
  </si>
  <si>
    <t>Determination Year</t>
  </si>
  <si>
    <t>Base Year</t>
  </si>
  <si>
    <t>days</t>
  </si>
  <si>
    <t>FY</t>
  </si>
  <si>
    <t>Daily supply charge</t>
  </si>
  <si>
    <t>2026-27</t>
  </si>
  <si>
    <t>Usage (kWh)</t>
  </si>
  <si>
    <t>Time of use</t>
  </si>
  <si>
    <t>Residential time of use</t>
  </si>
  <si>
    <t>Default Market Offer 8 (DMO 8)</t>
  </si>
  <si>
    <t>DMO 7 Price</t>
  </si>
  <si>
    <t>Retail Margin</t>
  </si>
  <si>
    <t>Supply charge</t>
  </si>
  <si>
    <t>Peak</t>
  </si>
  <si>
    <t>Off peak</t>
  </si>
  <si>
    <t>Non-TOU</t>
  </si>
  <si>
    <t>cents/day</t>
  </si>
  <si>
    <t>DMO 7, 8</t>
  </si>
  <si>
    <t>Usage charge</t>
  </si>
  <si>
    <t>Low season peak</t>
  </si>
  <si>
    <t>High season peak</t>
  </si>
  <si>
    <t>Solar soak</t>
  </si>
  <si>
    <t>time of use</t>
  </si>
  <si>
    <t>annual cost</t>
  </si>
  <si>
    <t>annual price</t>
  </si>
  <si>
    <t>usage</t>
  </si>
  <si>
    <t>flat rate</t>
  </si>
  <si>
    <t>Shoulder</t>
  </si>
  <si>
    <t>time of use (Peak)</t>
  </si>
  <si>
    <t>time of use (Off-peak)</t>
  </si>
  <si>
    <t>time of use (HS Peak)</t>
  </si>
  <si>
    <t>time of use (LS Peak)</t>
  </si>
  <si>
    <t>time of use (Solar soak)</t>
  </si>
  <si>
    <t>time of use (Shoulder)</t>
  </si>
  <si>
    <t>time of use (Solar Soak/Shoulder)</t>
  </si>
  <si>
    <t>controlled load</t>
  </si>
  <si>
    <t>Controlled load</t>
  </si>
  <si>
    <t>TOTAL</t>
  </si>
  <si>
    <t>Annual supply charge</t>
  </si>
  <si>
    <t>Annual usage charge</t>
  </si>
  <si>
    <t>Usage charge (c/kWh)</t>
  </si>
  <si>
    <t>Daily Supply Charge (c/day)</t>
  </si>
  <si>
    <t>Draft Determination DMO 8 2026-27</t>
  </si>
  <si>
    <t>Residential Flat rate</t>
  </si>
  <si>
    <t>Final determination DMO 7 2025-26</t>
  </si>
  <si>
    <t>Difference from DMO 7 to Draft DMO 8</t>
  </si>
  <si>
    <t>Small business Flat rate</t>
  </si>
  <si>
    <t>Residential Flat Rate</t>
  </si>
  <si>
    <t>Small Business Flat Rate</t>
  </si>
  <si>
    <t>CPI fct 1/06/2027</t>
  </si>
  <si>
    <t>Solar Sharer Offer</t>
  </si>
  <si>
    <t>Fct CPI 2025-26 adjustment for 30 Jun 2025 retail costs</t>
  </si>
  <si>
    <t>Volatility Allowance</t>
  </si>
  <si>
    <t>Volatility allowance</t>
  </si>
  <si>
    <t>New component.</t>
  </si>
  <si>
    <r>
      <t xml:space="preserve">Daily supply charge
</t>
    </r>
    <r>
      <rPr>
        <sz val="11"/>
        <color theme="1"/>
        <rFont val="Arial"/>
        <family val="2"/>
      </rPr>
      <t>(cents/day)</t>
    </r>
  </si>
  <si>
    <r>
      <t xml:space="preserve">Usage charges </t>
    </r>
    <r>
      <rPr>
        <sz val="11"/>
        <color rgb="FF0C5B88"/>
        <rFont val="Arial"/>
        <family val="2"/>
      </rPr>
      <t>(cents/kWh)</t>
    </r>
  </si>
  <si>
    <t>CL (Off-peak)</t>
  </si>
  <si>
    <t>CL (Peak)</t>
  </si>
  <si>
    <t>CL (Solar Soak)</t>
  </si>
  <si>
    <t>Controlled load 1</t>
  </si>
  <si>
    <t>Controlled load 2</t>
  </si>
  <si>
    <t xml:space="preserve">Usage charge </t>
  </si>
  <si>
    <t>(cents/kWh)</t>
  </si>
  <si>
    <t>Controlled load - Time of use</t>
  </si>
  <si>
    <t>https://www.rba.gov.au/publications/smp/2025/feb/overview.html</t>
  </si>
  <si>
    <t>Customer Type</t>
  </si>
  <si>
    <t>Fixed Cost</t>
  </si>
  <si>
    <t>Variable cost</t>
  </si>
  <si>
    <t>Annual cost</t>
  </si>
  <si>
    <t>Overall change in costs (%)</t>
  </si>
  <si>
    <t>DMO 2026-27 price</t>
  </si>
  <si>
    <t>Costs</t>
  </si>
  <si>
    <t>Network Tariff codes</t>
  </si>
  <si>
    <t>More information</t>
  </si>
  <si>
    <t>EA025</t>
  </si>
  <si>
    <t>EA225</t>
  </si>
  <si>
    <t>N71</t>
  </si>
  <si>
    <t>N91</t>
  </si>
  <si>
    <t>BLNRSS2</t>
  </si>
  <si>
    <t>BLNBSS1</t>
  </si>
  <si>
    <t>RTOU</t>
  </si>
  <si>
    <t>SBTOU</t>
  </si>
  <si>
    <t>Time of use CL</t>
  </si>
  <si>
    <t>General Supply Time of use  – N91</t>
  </si>
  <si>
    <t>Residential Time of use - EA025</t>
  </si>
  <si>
    <t>Small business Time of use – EA225</t>
  </si>
  <si>
    <t>Residential Time of use – N71</t>
  </si>
  <si>
    <t>$/pa</t>
  </si>
  <si>
    <t xml:space="preserve">SSO Increment </t>
  </si>
  <si>
    <t xml:space="preserve">Total variable </t>
  </si>
  <si>
    <t xml:space="preserve">Tariff  </t>
  </si>
  <si>
    <t>$/KWh</t>
  </si>
  <si>
    <t xml:space="preserve">SSO (Off-peak) </t>
  </si>
  <si>
    <t>SSO (Peak)</t>
  </si>
  <si>
    <t>time of use (Free)</t>
  </si>
  <si>
    <t>Free Usage Period</t>
  </si>
  <si>
    <t>SSO (Solar soak)</t>
  </si>
  <si>
    <t>SSO (Shoulder)</t>
  </si>
  <si>
    <t>SSO (Solar Soak/Shoulder)</t>
  </si>
  <si>
    <t>SSO usage proportion</t>
  </si>
  <si>
    <t xml:space="preserve">SSO Variable Cost </t>
  </si>
  <si>
    <t>SSO Usage</t>
  </si>
  <si>
    <r>
      <t xml:space="preserve">Usage charges </t>
    </r>
    <r>
      <rPr>
        <sz val="11"/>
        <color theme="9" tint="-0.249977111117893"/>
        <rFont val="Arial"/>
        <family val="2"/>
      </rPr>
      <t>(cents/kWh)</t>
    </r>
  </si>
  <si>
    <t>Controlled Load 1</t>
  </si>
  <si>
    <t>Controlled Load 2</t>
  </si>
  <si>
    <t>Controlled Load 1 and 2</t>
  </si>
  <si>
    <t>Total usage</t>
  </si>
  <si>
    <t>Total cost inc GST</t>
  </si>
  <si>
    <t>CL1 only</t>
  </si>
  <si>
    <t>CL2 only</t>
  </si>
  <si>
    <t>SSO</t>
  </si>
  <si>
    <t>Solar sharer offer</t>
  </si>
  <si>
    <t>SSO Increment</t>
  </si>
  <si>
    <t>Tariff price summary</t>
  </si>
  <si>
    <t>Solar sharer offer - SSO</t>
  </si>
  <si>
    <t>Residential flat rate</t>
  </si>
  <si>
    <t>Small business flat rate</t>
  </si>
  <si>
    <t>Glossary</t>
  </si>
  <si>
    <t>Incremental value (costs estimated to be incurred during free period) which is reapportioned outside of the free usage period.</t>
  </si>
  <si>
    <t>Controlled Load Time of use</t>
  </si>
  <si>
    <t>CL time of use</t>
  </si>
  <si>
    <t>Residential Time of use</t>
  </si>
  <si>
    <t>price</t>
  </si>
  <si>
    <t>Small business Time of use</t>
  </si>
  <si>
    <t>CL_Description</t>
  </si>
  <si>
    <t>CL Price</t>
  </si>
  <si>
    <t>CL usage</t>
  </si>
  <si>
    <t>Annual price</t>
  </si>
  <si>
    <t>Solar Soak</t>
  </si>
  <si>
    <t>.</t>
  </si>
  <si>
    <t>AER analysis of retailer responses to information notice, issued September 2025</t>
  </si>
  <si>
    <t>DMO 2025-26 Final Determination</t>
  </si>
  <si>
    <t>AER Analyis of DNSP provided data, 2025</t>
  </si>
  <si>
    <t>AER, Consolidated stakeholder report 2025-26, Ausgrid 2025-26 network prices</t>
  </si>
  <si>
    <t>AER, Consolidated stakeholder report 2025-26, Ausgrid 2025-26 metering prices</t>
  </si>
  <si>
    <t>AER, Consolidated stakeholder report 2025-26, Endeavour Energy 2025-26 metering prices</t>
  </si>
  <si>
    <t>AER, Consolidated stakeholder report 2025-26, Energex 2025-26 metering prices</t>
  </si>
  <si>
    <t>AER, Consolidated stakeholder report 2025-26, Essential Energy 2025-26 metering prices</t>
  </si>
  <si>
    <t>AER, Consolidated stakeholder report 2025-26, SA Power Networks 2025-26 metering prices</t>
  </si>
  <si>
    <t>n/a</t>
  </si>
  <si>
    <t>Annual Usage levels</t>
  </si>
  <si>
    <t>Section 6: More information</t>
  </si>
  <si>
    <t>Final Determination DMO 8 2026-27</t>
  </si>
  <si>
    <t>Difference from DMO 8 Draft to Final</t>
  </si>
  <si>
    <t>Difference from DMO 7 to Final DMO 8</t>
  </si>
  <si>
    <t>Blended</t>
  </si>
  <si>
    <t>Network proportion</t>
  </si>
  <si>
    <t>% Proportion Flat retail flat network</t>
  </si>
  <si>
    <t>% Proportion Flat retail ToU or demand network</t>
  </si>
  <si>
    <t>blended</t>
  </si>
  <si>
    <t>Block 2</t>
  </si>
  <si>
    <t>BLEND</t>
  </si>
  <si>
    <t>BLEND: Residential flat - EA010 &amp; Residential Time of use - EA025</t>
  </si>
  <si>
    <t>BLEND: Small business flat – EA050 &amp; Small business Time of use – EA225</t>
  </si>
  <si>
    <t>BLEND: Residential Flat – N70 &amp; Residential Time of use – N71</t>
  </si>
  <si>
    <t>BLEND: General Supply Block  – N90 &amp; General Supply Time of use  – N91</t>
  </si>
  <si>
    <t xml:space="preserve">BLEND: LV Residential Anytime – BLNN2AU &amp; LV Residential TOU Sun Soaker – BLNRSS2 </t>
  </si>
  <si>
    <t>LV Residential Time of use Sun soaker – BLNRSS2</t>
  </si>
  <si>
    <t>BLEND: LV Small Business – BLNN1AU &amp; LV Small Business TOU Sun Soaker – BLNBSS1</t>
  </si>
  <si>
    <t>LV Small Business Time of use Sun soaker – BLNBSS1</t>
  </si>
  <si>
    <t xml:space="preserve">BLEND: Residential Flat – 8400 &amp; Residential TOU Energy – 6900 </t>
  </si>
  <si>
    <t xml:space="preserve">Controlled Load 1 (Super Economy) – 9000 </t>
  </si>
  <si>
    <t>Controlled Load 2 (Economy) – 9100</t>
  </si>
  <si>
    <t>Residential Time of use – 6900</t>
  </si>
  <si>
    <t>BLEND: Small Business Flat – 8500 &amp; Small Business TOU Energy – 6800</t>
  </si>
  <si>
    <t>Small Business Time of use – 6800</t>
  </si>
  <si>
    <t>BLEND: Residential Single Rate – RSR &amp; Residential Time of Use – RTOU</t>
  </si>
  <si>
    <t>Residential Single Rate – RSR (controlled load)</t>
  </si>
  <si>
    <t>Residential Time of Use – RTOU</t>
  </si>
  <si>
    <t xml:space="preserve">BLEND: Small Business – BSR &amp; Small Business Time of Use – SBTOU </t>
  </si>
  <si>
    <t>Business Time of Use – SBTOU</t>
  </si>
  <si>
    <t>RBA forecast for the two years ending Jun 2028 (May-2026)</t>
  </si>
  <si>
    <t>ACIL Allen, Wholesale energy and environmental cost estimates for DMO 8 Final Determination</t>
  </si>
  <si>
    <t xml:space="preserve"> ACIL Allen, Wholesale energy and environmental cost estimates for DMO 8 Final Determination, Table 3.32</t>
  </si>
  <si>
    <t>ACIL Allen, Wholesale energy and environmental cost estimates for DMO 8 Final Determination, Table 3.28</t>
  </si>
  <si>
    <t>ACIL Allen, Wholesale energy and environmental cost estimates for DMO 8 Final Determination, Table 3.29</t>
  </si>
  <si>
    <t>ACIL Allen, Wholesale energy and environmental cost estimates for DMO 8 Final Determination, Table 3.30</t>
  </si>
  <si>
    <t>ACIL Allen, Wholesale energy and environmental cost estimates for DMO 8 Final Determination, Table 3.31</t>
  </si>
  <si>
    <t>ACIL Allen, Wholesale energy and environmental cost estimates for DMO 8 Final Determination, Table 3.27</t>
  </si>
  <si>
    <t>AER, Consolidated stakeholder report 2026-27, Ausgrid 2026-27 network prices</t>
  </si>
  <si>
    <t>AER, Consolidated stakeholder report 2026-27, Endeavour Energy 2026-27 network prices</t>
  </si>
  <si>
    <t>AER, Consolidated stakeholder report 2026-27, Ausgrid 2026-27 metering prices</t>
  </si>
  <si>
    <t>AER, Consolidated stakeholder report 2026-27, Endeavour Energy 2026-27 metering prices</t>
  </si>
  <si>
    <t>AER, Consolidated stakeholder report 2026-27, Essential Energy 2026-27 network prices</t>
  </si>
  <si>
    <t>AER, Consolidated stakeholder report 2026-27, Essential Energy 2026-27 metering prices</t>
  </si>
  <si>
    <t>AER, Consolidated stakeholder report 2026-27, Energex 2026-27 network prices</t>
  </si>
  <si>
    <t>AER, Consolidated stakeholder report 2026-27, Energex 2026-27 metering prices</t>
  </si>
  <si>
    <t>AER, Consolidated stakeholder report 2026-27, SA Power Networks 2026-27 network prices</t>
  </si>
  <si>
    <t>AER, Consolidated stakeholder report 2026-27, SA Power Networks 2026-27 metering prices</t>
  </si>
  <si>
    <t>AER, Consolidated stakeholder report 2025-26, Endeavour Energy 2025-26 network prices</t>
  </si>
  <si>
    <t>AER, Consolidated stakeholder report 2025-26, Essential Energy 2025-26 network prices</t>
  </si>
  <si>
    <t>AER, Consolidated stakeholder report 2025-26, Energex 2025-26 network prices</t>
  </si>
  <si>
    <t>AER, Consolidated stakeholder report 2025-26, SA Power Networks 2025-26 network prices</t>
  </si>
  <si>
    <t>ACIL Allen, Wholesale energy and environmental cost estimates for DMO 8 Final Determination, Table 3.7</t>
  </si>
  <si>
    <t>ACIL Allen, Wholesale energy and environmental cost estimates for DMO 8 Final Determination, Table 3.8</t>
  </si>
  <si>
    <t>ACIL Allen, Wholesale energy and environmental cost estimates for DMO 8 Final Determination, Table 3.10</t>
  </si>
  <si>
    <t>ACIL Allen, Wholesale energy and environmental cost estimates for DMO 8 Final Determination, Section 3.3</t>
  </si>
  <si>
    <t>DMO 2026-27 Final Determination</t>
  </si>
  <si>
    <t>https://www.rba.gov.au/publications/smp/2026/may/overview.html</t>
  </si>
  <si>
    <t>ACIL Allen Wholesale energy cost estimates - time of use for DMO 8 Final Determination - Scaled to Pattern of Supply by AER</t>
  </si>
  <si>
    <t>Final</t>
  </si>
  <si>
    <t>AER analysis of retailer responses to information notices, issued September 2025 and April 2026</t>
  </si>
  <si>
    <t>AER analysis of retailer responses to information notices, issued April 2026</t>
  </si>
  <si>
    <t>ACIL Allen, Wholesale energy cost estimates for DMO 8 Final Determination - Weighted average cost of capital applied by AER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</si>
</sst>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7" formatCode="&quot;$&quot;#,##0.00;\-&quot;$&quot;#,##0.00"/>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quot;$&quot;#,##0"/>
    <numFmt numFmtId="171" formatCode="#,##0.0"/>
    <numFmt numFmtId="172" formatCode="\+&quot;$&quot;0;\-&quot;$&quot;0;&quot;$&quot;0"/>
    <numFmt numFmtId="173" formatCode="0.000000"/>
    <numFmt numFmtId="174" formatCode="_-* #,##0_-;[Red]\(#,##0\)_-;_-* &quot;-&quot;??_-;_-@_-"/>
    <numFmt numFmtId="175" formatCode="#,##0.0000"/>
    <numFmt numFmtId="176" formatCode="#,##0.00000"/>
    <numFmt numFmtId="177" formatCode="0.0000%"/>
    <numFmt numFmtId="178" formatCode="#,##0.0%;\-#,##0.0%"/>
    <numFmt numFmtId="179" formatCode="\+&quot;$&quot;0.00;\-&quot;$&quot;0.00;&quot;$&quot;0.00"/>
    <numFmt numFmtId="180" formatCode="\+#,##0.0;\-#,##0.0"/>
    <numFmt numFmtId="181" formatCode="#,##0.0%;[Red]\-#,##0.0%"/>
    <numFmt numFmtId="182" formatCode="&quot;$&quot;#,##0.000"/>
    <numFmt numFmtId="183" formatCode="&quot;$&quot;#,##0.0000"/>
    <numFmt numFmtId="184" formatCode="0.000"/>
    <numFmt numFmtId="185" formatCode="0.000%"/>
    <numFmt numFmtId="186" formatCode="0.000000%"/>
    <numFmt numFmtId="187" formatCode="#,##0.000"/>
    <numFmt numFmtId="188" formatCode="0.0000000%"/>
    <numFmt numFmtId="189" formatCode="0.00000000%"/>
    <numFmt numFmtId="190" formatCode="#,##0.00000000"/>
    <numFmt numFmtId="191" formatCode="#,##0.0000000000000"/>
    <numFmt numFmtId="192" formatCode="0.0000"/>
    <numFmt numFmtId="193" formatCode="_(&quot;$&quot;* #,##0_);_(&quot;$&quot;* \(#,##0\);_(&quot;$&quot;* &quot;-&quot;??_);_(@_)"/>
    <numFmt numFmtId="194" formatCode="\+#,##0.0%;\-#,##0.0%"/>
    <numFmt numFmtId="195" formatCode="_(* #,##0_);_(* \(#,##0\);_(* &quot;-&quot;??_);_(@_)"/>
  </numFmts>
  <fonts count="165" x14ac:knownFonts="1">
    <font>
      <sz val="11"/>
      <color theme="1"/>
      <name val="Calibri"/>
      <family val="2"/>
      <scheme val="minor"/>
    </font>
    <font>
      <b/>
      <sz val="11"/>
      <color theme="1"/>
      <name val="Calibri"/>
      <family val="2"/>
      <scheme val="minor"/>
    </font>
    <font>
      <sz val="10"/>
      <color rgb="FF000000"/>
      <name val="Times New Roman"/>
      <family val="1"/>
    </font>
    <font>
      <sz val="10"/>
      <color theme="1"/>
      <name val="Arial"/>
      <family val="2"/>
    </font>
    <font>
      <b/>
      <sz val="10"/>
      <color theme="1"/>
      <name val="Arial"/>
      <family val="2"/>
    </font>
    <font>
      <u/>
      <sz val="11"/>
      <color theme="10"/>
      <name val="Calibri"/>
      <family val="2"/>
      <scheme val="minor"/>
    </font>
    <font>
      <b/>
      <sz val="18"/>
      <color theme="1"/>
      <name val="Calibri"/>
      <family val="2"/>
      <scheme val="minor"/>
    </font>
    <font>
      <b/>
      <sz val="12"/>
      <color rgb="FF076A92"/>
      <name val="Arial"/>
      <family val="2"/>
    </font>
    <font>
      <b/>
      <sz val="14"/>
      <color theme="1"/>
      <name val="Arial"/>
      <family val="2"/>
    </font>
    <font>
      <u/>
      <sz val="8"/>
      <color theme="10"/>
      <name val="Calibri"/>
      <family val="2"/>
      <scheme val="minor"/>
    </font>
    <font>
      <sz val="11"/>
      <color theme="1"/>
      <name val="Calibri"/>
      <family val="2"/>
      <scheme val="minor"/>
    </font>
    <font>
      <sz val="11"/>
      <name val="Calibri"/>
      <family val="2"/>
      <scheme val="minor"/>
    </font>
    <font>
      <u/>
      <sz val="10"/>
      <color theme="10"/>
      <name val="Arial"/>
      <family val="2"/>
    </font>
    <font>
      <sz val="8"/>
      <name val="Calibri"/>
      <family val="2"/>
      <scheme val="minor"/>
    </font>
    <font>
      <sz val="18"/>
      <color theme="3"/>
      <name val="Cambria"/>
      <family val="2"/>
      <scheme val="major"/>
    </font>
    <font>
      <sz val="10"/>
      <color theme="1"/>
      <name val="Calibri"/>
      <family val="2"/>
      <scheme val="minor"/>
    </font>
    <font>
      <sz val="10"/>
      <color theme="1"/>
      <name val="Arial Narrow"/>
      <family val="2"/>
    </font>
    <font>
      <b/>
      <sz val="15"/>
      <color theme="3"/>
      <name val="Arial Narrow"/>
      <family val="2"/>
    </font>
    <font>
      <b/>
      <sz val="13"/>
      <color theme="3"/>
      <name val="Arial Narrow"/>
      <family val="2"/>
    </font>
    <font>
      <b/>
      <sz val="11"/>
      <color theme="3"/>
      <name val="Arial Narrow"/>
      <family val="2"/>
    </font>
    <font>
      <sz val="10"/>
      <color rgb="FF006100"/>
      <name val="Arial Narrow"/>
      <family val="2"/>
    </font>
    <font>
      <sz val="10"/>
      <color rgb="FF9C0006"/>
      <name val="Arial Narrow"/>
      <family val="2"/>
    </font>
    <font>
      <sz val="10"/>
      <color rgb="FF9C6500"/>
      <name val="Arial Narrow"/>
      <family val="2"/>
    </font>
    <font>
      <sz val="10"/>
      <color rgb="FF3F3F76"/>
      <name val="Arial Narrow"/>
      <family val="2"/>
    </font>
    <font>
      <b/>
      <sz val="10"/>
      <color rgb="FF3F3F3F"/>
      <name val="Arial Narrow"/>
      <family val="2"/>
    </font>
    <font>
      <b/>
      <sz val="10"/>
      <color rgb="FFFA7D00"/>
      <name val="Arial Narrow"/>
      <family val="2"/>
    </font>
    <font>
      <sz val="10"/>
      <color rgb="FFFA7D00"/>
      <name val="Arial Narrow"/>
      <family val="2"/>
    </font>
    <font>
      <b/>
      <sz val="10"/>
      <color theme="0"/>
      <name val="Arial Narrow"/>
      <family val="2"/>
    </font>
    <font>
      <sz val="10"/>
      <color rgb="FFFF0000"/>
      <name val="Arial Narrow"/>
      <family val="2"/>
    </font>
    <font>
      <i/>
      <sz val="10"/>
      <color rgb="FF7F7F7F"/>
      <name val="Arial Narrow"/>
      <family val="2"/>
    </font>
    <font>
      <b/>
      <sz val="10"/>
      <color theme="1"/>
      <name val="Arial Narrow"/>
      <family val="2"/>
    </font>
    <font>
      <sz val="10"/>
      <color theme="0"/>
      <name val="Arial Narrow"/>
      <family val="2"/>
    </font>
    <font>
      <b/>
      <u/>
      <sz val="10"/>
      <color theme="1"/>
      <name val="Arial"/>
      <family val="2"/>
    </font>
    <font>
      <sz val="8"/>
      <color theme="1"/>
      <name val="Arial"/>
      <family val="2"/>
    </font>
    <font>
      <sz val="11"/>
      <color theme="0" tint="-0.14999847407452621"/>
      <name val="Calibri"/>
      <family val="2"/>
      <scheme val="minor"/>
    </font>
    <font>
      <i/>
      <sz val="9"/>
      <color theme="1"/>
      <name val="Arial"/>
      <family val="2"/>
    </font>
    <font>
      <sz val="11"/>
      <color theme="1"/>
      <name val="Arial"/>
      <family val="2"/>
    </font>
    <font>
      <sz val="11"/>
      <color rgb="FFFF0000"/>
      <name val="Arial"/>
      <family val="2"/>
    </font>
    <font>
      <b/>
      <sz val="12"/>
      <color theme="1"/>
      <name val="Arial"/>
      <family val="2"/>
    </font>
    <font>
      <b/>
      <sz val="11"/>
      <color theme="1"/>
      <name val="Arial"/>
      <family val="2"/>
    </font>
    <font>
      <b/>
      <sz val="11"/>
      <color theme="0"/>
      <name val="Arial"/>
      <family val="2"/>
    </font>
    <font>
      <b/>
      <sz val="12"/>
      <color theme="0"/>
      <name val="Arial"/>
      <family val="2"/>
    </font>
    <font>
      <b/>
      <sz val="11"/>
      <color theme="4" tint="-0.249977111117893"/>
      <name val="Arial"/>
      <family val="2"/>
    </font>
    <font>
      <b/>
      <sz val="10"/>
      <color theme="0" tint="-0.14999847407452621"/>
      <name val="Arial"/>
      <family val="2"/>
    </font>
    <font>
      <b/>
      <sz val="10"/>
      <color theme="1" tint="0.34998626667073579"/>
      <name val="Arial"/>
      <family val="2"/>
    </font>
    <font>
      <b/>
      <sz val="11"/>
      <color theme="1" tint="0.34998626667073579"/>
      <name val="Arial"/>
      <family val="2"/>
    </font>
    <font>
      <b/>
      <sz val="10"/>
      <color theme="0"/>
      <name val="Arial"/>
      <family val="2"/>
    </font>
    <font>
      <sz val="10"/>
      <color theme="3" tint="-0.249977111117893"/>
      <name val="Arial"/>
      <family val="2"/>
    </font>
    <font>
      <b/>
      <sz val="16"/>
      <color theme="1"/>
      <name val="Arial"/>
      <family val="2"/>
    </font>
    <font>
      <sz val="11"/>
      <color theme="0" tint="-0.34998626667073579"/>
      <name val="Arial"/>
      <family val="2"/>
    </font>
    <font>
      <b/>
      <sz val="12"/>
      <color rgb="FF0C5B88"/>
      <name val="Arial"/>
      <family val="2"/>
    </font>
    <font>
      <sz val="11"/>
      <color rgb="FF0C5B88"/>
      <name val="Arial"/>
      <family val="2"/>
    </font>
    <font>
      <b/>
      <sz val="10"/>
      <color rgb="FF0C5B88"/>
      <name val="Arial"/>
      <family val="2"/>
    </font>
    <font>
      <sz val="10"/>
      <color rgb="FF0C5B88"/>
      <name val="Arial"/>
      <family val="2"/>
    </font>
    <font>
      <b/>
      <sz val="11"/>
      <color rgb="FF0C5B88"/>
      <name val="Arial"/>
      <family val="2"/>
    </font>
    <font>
      <u/>
      <sz val="8"/>
      <color theme="10"/>
      <name val="Arial"/>
      <family val="2"/>
    </font>
    <font>
      <sz val="11"/>
      <color theme="0"/>
      <name val="Arial"/>
      <family val="2"/>
    </font>
    <font>
      <b/>
      <sz val="11"/>
      <color rgb="FFFF0000"/>
      <name val="Arial"/>
      <family val="2"/>
    </font>
    <font>
      <sz val="11"/>
      <name val="Arial"/>
      <family val="2"/>
    </font>
    <font>
      <sz val="12"/>
      <color theme="1"/>
      <name val="Arial"/>
      <family val="2"/>
    </font>
    <font>
      <b/>
      <i/>
      <sz val="10"/>
      <color theme="1" tint="0.34998626667073579"/>
      <name val="Arial"/>
      <family val="2"/>
    </font>
    <font>
      <b/>
      <sz val="10"/>
      <color theme="9" tint="-0.249977111117893"/>
      <name val="Arial"/>
      <family val="2"/>
    </font>
    <font>
      <b/>
      <sz val="11"/>
      <color theme="9" tint="-0.249977111117893"/>
      <name val="Arial"/>
      <family val="2"/>
    </font>
    <font>
      <sz val="10"/>
      <color theme="9" tint="-0.249977111117893"/>
      <name val="Arial"/>
      <family val="2"/>
    </font>
    <font>
      <sz val="11"/>
      <color theme="9" tint="-0.249977111117893"/>
      <name val="Arial"/>
      <family val="2"/>
    </font>
    <font>
      <b/>
      <sz val="12"/>
      <color rgb="FFFF0000"/>
      <name val="Arial"/>
      <family val="2"/>
    </font>
    <font>
      <b/>
      <sz val="9"/>
      <color rgb="FF318468"/>
      <name val="Arial"/>
      <family val="2"/>
    </font>
    <font>
      <sz val="9"/>
      <color rgb="FF318468"/>
      <name val="Arial"/>
      <family val="2"/>
    </font>
    <font>
      <i/>
      <sz val="9"/>
      <color rgb="FFC00000"/>
      <name val="Arial"/>
      <family val="2"/>
    </font>
    <font>
      <i/>
      <sz val="11"/>
      <color theme="1"/>
      <name val="Arial"/>
      <family val="2"/>
    </font>
    <font>
      <i/>
      <sz val="10"/>
      <color theme="1"/>
      <name val="Arial"/>
      <family val="2"/>
    </font>
    <font>
      <i/>
      <sz val="10"/>
      <color theme="0"/>
      <name val="Arial"/>
      <family val="2"/>
    </font>
    <font>
      <b/>
      <sz val="10"/>
      <name val="Arial"/>
      <family val="2"/>
    </font>
    <font>
      <sz val="10"/>
      <name val="Arial"/>
      <family val="2"/>
    </font>
    <font>
      <i/>
      <sz val="10"/>
      <name val="Arial"/>
      <family val="2"/>
    </font>
    <font>
      <b/>
      <i/>
      <sz val="10"/>
      <name val="Arial"/>
      <family val="2"/>
    </font>
    <font>
      <sz val="10"/>
      <color theme="0" tint="-0.34998626667073579"/>
      <name val="Arial"/>
      <family val="2"/>
    </font>
    <font>
      <b/>
      <sz val="16"/>
      <color theme="0"/>
      <name val="Arial"/>
      <family val="2"/>
    </font>
    <font>
      <i/>
      <sz val="8"/>
      <color theme="1" tint="0.499984740745262"/>
      <name val="Arial"/>
      <family val="2"/>
    </font>
    <font>
      <sz val="9"/>
      <color theme="0" tint="-0.249977111117893"/>
      <name val="Arial"/>
      <family val="2"/>
    </font>
    <font>
      <sz val="11"/>
      <color theme="0" tint="-0.249977111117893"/>
      <name val="Arial"/>
      <family val="2"/>
    </font>
    <font>
      <sz val="11"/>
      <color rgb="FFFFFF00"/>
      <name val="Arial"/>
      <family val="2"/>
    </font>
    <font>
      <sz val="14"/>
      <color rgb="FFFFFF00"/>
      <name val="Arial"/>
      <family val="2"/>
    </font>
    <font>
      <b/>
      <sz val="14"/>
      <color theme="0"/>
      <name val="Arial"/>
      <family val="2"/>
    </font>
    <font>
      <sz val="14"/>
      <color theme="1"/>
      <name val="Arial"/>
      <family val="2"/>
    </font>
    <font>
      <sz val="10"/>
      <color rgb="FFFF0000"/>
      <name val="Arial"/>
      <family val="2"/>
    </font>
    <font>
      <i/>
      <sz val="9"/>
      <name val="Arial"/>
      <family val="2"/>
    </font>
    <font>
      <i/>
      <sz val="9"/>
      <color theme="1" tint="0.499984740745262"/>
      <name val="Arial"/>
      <family val="2"/>
    </font>
    <font>
      <i/>
      <sz val="11"/>
      <color rgb="FFC00000"/>
      <name val="Arial"/>
      <family val="2"/>
    </font>
    <font>
      <sz val="11"/>
      <color theme="3" tint="-0.249977111117893"/>
      <name val="Arial"/>
      <family val="2"/>
    </font>
    <font>
      <b/>
      <sz val="10"/>
      <color theme="3" tint="-0.249977111117893"/>
      <name val="Arial"/>
      <family val="2"/>
    </font>
    <font>
      <sz val="10"/>
      <color theme="1" tint="0.499984740745262"/>
      <name val="Arial"/>
      <family val="2"/>
    </font>
    <font>
      <sz val="11"/>
      <color theme="0" tint="-0.14999847407452621"/>
      <name val="Arial"/>
      <family val="2"/>
    </font>
    <font>
      <b/>
      <sz val="11"/>
      <color theme="3" tint="-0.249977111117893"/>
      <name val="Arial"/>
      <family val="2"/>
    </font>
    <font>
      <sz val="11"/>
      <color theme="0" tint="-0.499984740745262"/>
      <name val="Arial"/>
      <family val="2"/>
    </font>
    <font>
      <sz val="10"/>
      <color theme="0" tint="-0.14999847407452621"/>
      <name val="Arial"/>
      <family val="2"/>
    </font>
    <font>
      <b/>
      <sz val="12"/>
      <color theme="9" tint="-0.249977111117893"/>
      <name val="Arial"/>
      <family val="2"/>
    </font>
    <font>
      <i/>
      <sz val="9"/>
      <color theme="1" tint="0.34998626667073579"/>
      <name val="Arial"/>
      <family val="2"/>
    </font>
    <font>
      <b/>
      <sz val="11"/>
      <color theme="4" tint="0.59999389629810485"/>
      <name val="Arial"/>
      <family val="2"/>
    </font>
    <font>
      <i/>
      <sz val="8"/>
      <color indexed="55" tint="-0.249977111117893"/>
      <name val="Arial"/>
      <family val="2"/>
    </font>
    <font>
      <sz val="10"/>
      <color rgb="FFC00000"/>
      <name val="Arial"/>
      <family val="2"/>
    </font>
    <font>
      <b/>
      <sz val="10"/>
      <color rgb="FFC00000"/>
      <name val="Arial"/>
      <family val="2"/>
    </font>
    <font>
      <i/>
      <sz val="11"/>
      <color rgb="FFFF0000"/>
      <name val="Arial"/>
      <family val="2"/>
    </font>
    <font>
      <i/>
      <sz val="10"/>
      <color rgb="FFFF0000"/>
      <name val="Arial"/>
      <family val="2"/>
    </font>
    <font>
      <b/>
      <sz val="11"/>
      <name val="Arial"/>
      <family val="2"/>
    </font>
    <font>
      <sz val="10"/>
      <color theme="0"/>
      <name val="Arial"/>
      <family val="2"/>
    </font>
    <font>
      <sz val="12"/>
      <color theme="0"/>
      <name val="Arial"/>
      <family val="2"/>
    </font>
    <font>
      <i/>
      <sz val="9"/>
      <color rgb="FF0070C0"/>
      <name val="Arial"/>
      <family val="2"/>
    </font>
    <font>
      <b/>
      <sz val="11"/>
      <color rgb="FF0070C0"/>
      <name val="Arial"/>
      <family val="2"/>
    </font>
    <font>
      <u/>
      <sz val="11"/>
      <color theme="10"/>
      <name val="Arial"/>
      <family val="2"/>
    </font>
    <font>
      <i/>
      <sz val="11"/>
      <color rgb="FF0070C0"/>
      <name val="Arial"/>
      <family val="2"/>
    </font>
    <font>
      <sz val="11"/>
      <color rgb="FF0070C0"/>
      <name val="Arial"/>
      <family val="2"/>
    </font>
    <font>
      <b/>
      <sz val="10"/>
      <color rgb="FF076A92"/>
      <name val="Arial"/>
      <family val="2"/>
    </font>
    <font>
      <i/>
      <sz val="11"/>
      <color theme="0" tint="-0.34998626667073579"/>
      <name val="Arial"/>
      <family val="2"/>
    </font>
    <font>
      <b/>
      <sz val="11"/>
      <color theme="0" tint="-0.14999847407452621"/>
      <name val="Arial"/>
      <family val="2"/>
    </font>
    <font>
      <b/>
      <sz val="10"/>
      <color rgb="FFF3F1EB"/>
      <name val="Arial"/>
      <family val="2"/>
    </font>
    <font>
      <b/>
      <sz val="14"/>
      <name val="Arial"/>
      <family val="2"/>
    </font>
    <font>
      <b/>
      <sz val="20"/>
      <color theme="9" tint="-0.249977111117893"/>
      <name val="Arial"/>
      <family val="2"/>
    </font>
    <font>
      <b/>
      <sz val="11"/>
      <color rgb="FF1F497D"/>
      <name val="Arial"/>
      <family val="2"/>
    </font>
    <font>
      <sz val="11"/>
      <color rgb="FF1F497D"/>
      <name val="Arial"/>
      <family val="2"/>
    </font>
    <font>
      <sz val="11"/>
      <color theme="3"/>
      <name val="Arial"/>
      <family val="2"/>
    </font>
    <font>
      <sz val="10"/>
      <color theme="4" tint="-0.249977111117893"/>
      <name val="Arial"/>
      <family val="2"/>
    </font>
    <font>
      <sz val="10"/>
      <color theme="1" tint="0.34998626667073579"/>
      <name val="Arial"/>
      <family val="2"/>
    </font>
    <font>
      <b/>
      <sz val="12"/>
      <color theme="9"/>
      <name val="Arial"/>
      <family val="2"/>
    </font>
    <font>
      <sz val="11"/>
      <color rgb="FF00B050"/>
      <name val="Arial"/>
      <family val="2"/>
    </font>
    <font>
      <b/>
      <sz val="11"/>
      <color theme="4" tint="-0.499984740745262"/>
      <name val="Arial"/>
      <family val="2"/>
    </font>
    <font>
      <sz val="9"/>
      <name val="Arial"/>
      <family val="2"/>
    </font>
    <font>
      <i/>
      <sz val="9"/>
      <color rgb="FFFF0000"/>
      <name val="Arial"/>
      <family val="2"/>
    </font>
    <font>
      <sz val="10"/>
      <color theme="0" tint="-0.499984740745262"/>
      <name val="Arial"/>
      <family val="2"/>
    </font>
    <font>
      <b/>
      <sz val="10"/>
      <color theme="0" tint="-0.499984740745262"/>
      <name val="Arial"/>
      <family val="2"/>
    </font>
    <font>
      <b/>
      <sz val="11"/>
      <color theme="0" tint="-0.499984740745262"/>
      <name val="Arial"/>
      <family val="2"/>
    </font>
    <font>
      <sz val="12"/>
      <color theme="0" tint="-0.499984740745262"/>
      <name val="Arial"/>
      <family val="2"/>
    </font>
    <font>
      <b/>
      <sz val="12"/>
      <color theme="3"/>
      <name val="Arial"/>
      <family val="2"/>
    </font>
    <font>
      <b/>
      <sz val="16"/>
      <color theme="3"/>
      <name val="Arial"/>
      <family val="2"/>
    </font>
    <font>
      <i/>
      <sz val="10"/>
      <color theme="3"/>
      <name val="Arial"/>
      <family val="2"/>
    </font>
    <font>
      <b/>
      <sz val="11"/>
      <color theme="3"/>
      <name val="Arial"/>
      <family val="2"/>
    </font>
    <font>
      <sz val="11"/>
      <color rgb="FFC00000"/>
      <name val="Arial"/>
      <family val="2"/>
    </font>
    <font>
      <sz val="11"/>
      <color theme="5"/>
      <name val="Arial"/>
      <family val="2"/>
    </font>
    <font>
      <sz val="11"/>
      <color theme="1" tint="0.499984740745262"/>
      <name val="Arial"/>
      <family val="2"/>
    </font>
    <font>
      <b/>
      <sz val="11"/>
      <color theme="9"/>
      <name val="Arial"/>
      <family val="2"/>
    </font>
    <font>
      <b/>
      <sz val="11"/>
      <color theme="5"/>
      <name val="Arial"/>
      <family val="2"/>
    </font>
    <font>
      <b/>
      <sz val="11"/>
      <color theme="1" tint="0.499984740745262"/>
      <name val="Arial"/>
      <family val="2"/>
    </font>
    <font>
      <sz val="11"/>
      <color rgb="FF5F9E88"/>
      <name val="Arial"/>
      <family val="2"/>
    </font>
    <font>
      <b/>
      <sz val="10"/>
      <color theme="1" tint="0.499984740745262"/>
      <name val="Arial"/>
      <family val="2"/>
    </font>
    <font>
      <i/>
      <sz val="11"/>
      <color theme="0"/>
      <name val="Arial"/>
      <family val="2"/>
    </font>
    <font>
      <sz val="8"/>
      <color theme="0"/>
      <name val="Arial"/>
      <family val="2"/>
    </font>
    <font>
      <i/>
      <sz val="11"/>
      <color theme="3"/>
      <name val="Arial"/>
      <family val="2"/>
    </font>
    <font>
      <sz val="11"/>
      <color theme="3" tint="9.9978637043366805E-2"/>
      <name val="Arial"/>
      <family val="2"/>
    </font>
    <font>
      <b/>
      <sz val="10"/>
      <color theme="0" tint="-0.34998626667073579"/>
      <name val="Arial"/>
      <family val="2"/>
    </font>
    <font>
      <sz val="10"/>
      <color theme="0" tint="-0.249977111117893"/>
      <name val="Arial"/>
      <family val="2"/>
    </font>
    <font>
      <b/>
      <sz val="10"/>
      <color theme="0" tint="-0.249977111117893"/>
      <name val="Arial"/>
      <family val="2"/>
    </font>
    <font>
      <b/>
      <sz val="11"/>
      <color rgb="FFC00000"/>
      <name val="Arial"/>
      <family val="2"/>
    </font>
    <font>
      <i/>
      <sz val="11"/>
      <color theme="0" tint="-4.9989318521683403E-2"/>
      <name val="Arial"/>
      <family val="2"/>
    </font>
    <font>
      <i/>
      <sz val="10"/>
      <color theme="0" tint="-4.9989318521683403E-2"/>
      <name val="Arial"/>
      <family val="2"/>
    </font>
    <font>
      <b/>
      <sz val="11"/>
      <color indexed="60"/>
      <name val="Arial"/>
      <family val="2"/>
    </font>
    <font>
      <sz val="10"/>
      <color theme="2"/>
      <name val="Arial"/>
      <family val="2"/>
    </font>
    <font>
      <sz val="9"/>
      <color theme="0"/>
      <name val="Arial"/>
      <family val="2"/>
    </font>
    <font>
      <b/>
      <sz val="10"/>
      <color theme="4" tint="-0.249977111117893"/>
      <name val="Arial"/>
      <family val="2"/>
    </font>
    <font>
      <sz val="8"/>
      <color theme="3"/>
      <name val="Arial"/>
      <family val="2"/>
    </font>
    <font>
      <sz val="10"/>
      <color theme="3"/>
      <name val="Arial"/>
      <family val="2"/>
    </font>
    <font>
      <b/>
      <sz val="10"/>
      <color theme="2"/>
      <name val="Arial"/>
      <family val="2"/>
    </font>
    <font>
      <b/>
      <sz val="11"/>
      <color rgb="FFFA7D00"/>
      <name val="Calibri"/>
      <family val="2"/>
      <scheme val="minor"/>
    </font>
    <font>
      <b/>
      <sz val="28"/>
      <color theme="1"/>
      <name val="Arial"/>
      <family val="2"/>
    </font>
    <font>
      <b/>
      <sz val="18"/>
      <color theme="1"/>
      <name val="Arial"/>
      <family val="2"/>
    </font>
    <font>
      <b/>
      <sz val="16"/>
      <name val="Arial"/>
      <family val="2"/>
    </font>
  </fonts>
  <fills count="5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076A92"/>
        <bgColor indexed="64"/>
      </patternFill>
    </fill>
    <fill>
      <patternFill patternType="solid">
        <fgColor theme="1" tint="0.34998626667073579"/>
        <bgColor indexed="64"/>
      </patternFill>
    </fill>
    <fill>
      <patternFill patternType="solid">
        <fgColor rgb="FF595959"/>
        <bgColor indexed="64"/>
      </patternFill>
    </fill>
    <fill>
      <patternFill patternType="solid">
        <fgColor theme="1" tint="0.14999847407452621"/>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303F51"/>
        <bgColor indexed="64"/>
      </patternFill>
    </fill>
    <fill>
      <patternFill patternType="solid">
        <fgColor rgb="FFFFFFFF"/>
        <bgColor theme="0"/>
      </patternFill>
    </fill>
    <fill>
      <patternFill patternType="solid">
        <fgColor theme="0"/>
        <bgColor theme="0"/>
      </patternFill>
    </fill>
    <fill>
      <patternFill patternType="solid">
        <fgColor theme="2"/>
        <bgColor indexed="64"/>
      </patternFill>
    </fill>
    <fill>
      <patternFill patternType="solid">
        <fgColor theme="4" tint="0.79998168889431442"/>
        <bgColor indexed="64"/>
      </patternFill>
    </fill>
    <fill>
      <patternFill patternType="solid">
        <fgColor rgb="FFF2F2F2"/>
        <bgColor indexed="64"/>
      </patternFill>
    </fill>
    <fill>
      <patternFill patternType="solid">
        <fgColor rgb="FF0C5B88"/>
        <bgColor indexed="64"/>
      </patternFill>
    </fill>
    <fill>
      <patternFill patternType="solid">
        <fgColor rgb="FFF3F1EB"/>
        <bgColor indexed="64"/>
      </patternFill>
    </fill>
    <fill>
      <patternFill patternType="solid">
        <fgColor rgb="FF318468"/>
        <bgColor indexed="64"/>
      </patternFill>
    </fill>
    <fill>
      <patternFill patternType="solid">
        <fgColor rgb="FFA3DDCA"/>
        <bgColor indexed="64"/>
      </patternFill>
    </fill>
    <fill>
      <patternFill patternType="solid">
        <fgColor rgb="FF5F9E88"/>
        <bgColor indexed="64"/>
      </patternFill>
    </fill>
    <fill>
      <patternFill patternType="solid">
        <fgColor rgb="FFFCE5A6"/>
        <bgColor indexed="64"/>
      </patternFill>
    </fill>
    <fill>
      <patternFill patternType="solid">
        <fgColor rgb="FFFFCF37"/>
        <bgColor indexed="64"/>
      </patternFill>
    </fill>
    <fill>
      <patternFill patternType="solid">
        <fgColor theme="9" tint="0.79998168889431442"/>
        <bgColor indexed="64"/>
      </patternFill>
    </fill>
    <fill>
      <patternFill patternType="solid">
        <fgColor theme="0" tint="-0.14996795556505021"/>
        <bgColor indexed="64"/>
      </patternFill>
    </fill>
  </fills>
  <borders count="82">
    <border>
      <left/>
      <right/>
      <top/>
      <bottom/>
      <diagonal/>
    </border>
    <border>
      <left/>
      <right/>
      <top/>
      <bottom style="thin">
        <color theme="0"/>
      </bottom>
      <diagonal/>
    </border>
    <border>
      <left/>
      <right/>
      <top/>
      <bottom style="thick">
        <color rgb="FF076A92"/>
      </bottom>
      <diagonal/>
    </border>
    <border>
      <left/>
      <right/>
      <top/>
      <bottom style="thick">
        <color theme="0"/>
      </bottom>
      <diagonal/>
    </border>
    <border>
      <left/>
      <right/>
      <top style="thin">
        <color theme="0"/>
      </top>
      <bottom/>
      <diagonal/>
    </border>
    <border>
      <left/>
      <right/>
      <top style="thick">
        <color theme="0"/>
      </top>
      <bottom style="thin">
        <color theme="0"/>
      </bottom>
      <diagonal/>
    </border>
    <border>
      <left/>
      <right/>
      <top/>
      <bottom style="thick">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style="thin">
        <color theme="0" tint="-0.24994659260841701"/>
      </left>
      <right/>
      <top/>
      <bottom/>
      <diagonal/>
    </border>
    <border>
      <left style="medium">
        <color auto="1"/>
      </left>
      <right style="thin">
        <color indexed="64"/>
      </right>
      <top style="medium">
        <color auto="1"/>
      </top>
      <bottom style="thin">
        <color theme="0" tint="-0.34998626667073579"/>
      </bottom>
      <diagonal/>
    </border>
    <border>
      <left style="thin">
        <color theme="0" tint="-0.24994659260841701"/>
      </left>
      <right/>
      <top/>
      <bottom style="medium">
        <color rgb="FF0070C0"/>
      </bottom>
      <diagonal/>
    </border>
    <border>
      <left/>
      <right style="thin">
        <color theme="0" tint="-0.24994659260841701"/>
      </right>
      <top/>
      <bottom style="medium">
        <color rgb="FF0070C0"/>
      </bottom>
      <diagonal/>
    </border>
    <border>
      <left style="thin">
        <color theme="0"/>
      </left>
      <right style="thin">
        <color theme="0" tint="-0.1499679555650502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double">
        <color auto="1"/>
      </top>
      <bottom/>
      <diagonal/>
    </border>
    <border>
      <left/>
      <right/>
      <top style="medium">
        <color indexed="64"/>
      </top>
      <bottom style="medium">
        <color indexed="64"/>
      </bottom>
      <diagonal/>
    </border>
    <border>
      <left/>
      <right/>
      <top/>
      <bottom style="medium">
        <color rgb="FF0C5B88"/>
      </bottom>
      <diagonal/>
    </border>
    <border>
      <left/>
      <right/>
      <top style="medium">
        <color rgb="FF0C5B88"/>
      </top>
      <bottom style="hair">
        <color rgb="FF0C5B88"/>
      </bottom>
      <diagonal/>
    </border>
    <border>
      <left/>
      <right/>
      <top style="hair">
        <color rgb="FF0C5B88"/>
      </top>
      <bottom style="hair">
        <color rgb="FF0C5B88"/>
      </bottom>
      <diagonal/>
    </border>
    <border>
      <left/>
      <right/>
      <top style="hair">
        <color rgb="FF0C5B88"/>
      </top>
      <bottom/>
      <diagonal/>
    </border>
    <border>
      <left/>
      <right/>
      <top/>
      <bottom style="medium">
        <color rgb="FFF0B134"/>
      </bottom>
      <diagonal/>
    </border>
    <border>
      <left style="thin">
        <color theme="0" tint="-0.34998626667073579"/>
      </left>
      <right style="thin">
        <color theme="0" tint="-0.34998626667073579"/>
      </right>
      <top/>
      <bottom/>
      <diagonal/>
    </border>
    <border>
      <left/>
      <right/>
      <top/>
      <bottom style="thin">
        <color rgb="FF0C5B88"/>
      </bottom>
      <diagonal/>
    </border>
    <border>
      <left/>
      <right style="thin">
        <color theme="0" tint="-0.24994659260841701"/>
      </right>
      <top/>
      <bottom style="thin">
        <color rgb="FF0C5B88"/>
      </bottom>
      <diagonal/>
    </border>
    <border>
      <left style="thin">
        <color theme="0" tint="-0.24994659260841701"/>
      </left>
      <right/>
      <top/>
      <bottom style="thin">
        <color rgb="FF0C5B88"/>
      </bottom>
      <diagonal/>
    </border>
    <border>
      <left style="thin">
        <color theme="0" tint="-0.34998626667073579"/>
      </left>
      <right style="thin">
        <color theme="0" tint="-0.34998626667073579"/>
      </right>
      <top/>
      <bottom style="thin">
        <color rgb="FF0C5B88"/>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rgb="FF0C5B88"/>
      </bottom>
      <diagonal/>
    </border>
    <border>
      <left/>
      <right style="thin">
        <color theme="0" tint="-0.34998626667073579"/>
      </right>
      <top/>
      <bottom style="thin">
        <color rgb="FF0C5B88"/>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right>
      <top style="thin">
        <color theme="0" tint="-0.34998626667073579"/>
      </top>
      <bottom/>
      <diagonal/>
    </border>
    <border>
      <left style="thin">
        <color theme="0"/>
      </left>
      <right style="thin">
        <color theme="0" tint="-0.34998626667073579"/>
      </right>
      <top style="thin">
        <color theme="0" tint="-0.34998626667073579"/>
      </top>
      <bottom/>
      <diagonal/>
    </border>
    <border>
      <left style="thin">
        <color theme="0" tint="-0.34998626667073579"/>
      </left>
      <right style="thin">
        <color theme="0"/>
      </right>
      <top/>
      <bottom/>
      <diagonal/>
    </border>
    <border>
      <left style="thin">
        <color theme="0"/>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top/>
      <bottom style="thin">
        <color theme="9" tint="-0.24994659260841701"/>
      </bottom>
      <diagonal/>
    </border>
    <border>
      <left/>
      <right style="thin">
        <color theme="0" tint="-0.34998626667073579"/>
      </right>
      <top/>
      <bottom style="thin">
        <color theme="9" tint="-0.24994659260841701"/>
      </bottom>
      <diagonal/>
    </border>
    <border>
      <left/>
      <right/>
      <top/>
      <bottom style="double">
        <color indexed="64"/>
      </bottom>
      <diagonal/>
    </border>
    <border>
      <left/>
      <right/>
      <top/>
      <bottom style="thin">
        <color theme="0" tint="-0.34998626667073579"/>
      </bottom>
      <diagonal/>
    </border>
    <border>
      <left/>
      <right/>
      <top style="thin">
        <color indexed="64"/>
      </top>
      <bottom style="medium">
        <color indexed="64"/>
      </bottom>
      <diagonal/>
    </border>
  </borders>
  <cellStyleXfs count="72">
    <xf numFmtId="0" fontId="0" fillId="0" borderId="0"/>
    <xf numFmtId="0" fontId="2" fillId="0" borderId="0"/>
    <xf numFmtId="0" fontId="5" fillId="0" borderId="0" applyNumberForma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174" fontId="11" fillId="8" borderId="32" applyBorder="0">
      <alignment horizontal="right"/>
      <protection locked="0"/>
    </xf>
    <xf numFmtId="0" fontId="10" fillId="0" borderId="0"/>
    <xf numFmtId="165" fontId="10" fillId="0" borderId="0" applyFont="0" applyFill="0" applyBorder="0" applyAlignment="0" applyProtection="0"/>
    <xf numFmtId="164" fontId="10" fillId="0" borderId="0" applyFont="0" applyFill="0" applyBorder="0" applyAlignment="0" applyProtection="0"/>
    <xf numFmtId="0" fontId="14" fillId="0" borderId="0" applyNumberFormat="0" applyFill="0" applyBorder="0" applyAlignment="0" applyProtection="0"/>
    <xf numFmtId="0" fontId="10" fillId="15" borderId="43" applyNumberFormat="0" applyFont="0" applyAlignment="0" applyProtection="0"/>
    <xf numFmtId="0" fontId="15" fillId="0" borderId="0"/>
    <xf numFmtId="167" fontId="10" fillId="0" borderId="0" applyFont="0" applyFill="0" applyBorder="0" applyAlignment="0" applyProtection="0"/>
    <xf numFmtId="166" fontId="10" fillId="0" borderId="0" applyFont="0" applyFill="0" applyBorder="0" applyAlignment="0" applyProtection="0"/>
    <xf numFmtId="0" fontId="17" fillId="0" borderId="36" applyNumberFormat="0" applyFill="0" applyAlignment="0" applyProtection="0"/>
    <xf numFmtId="0" fontId="18" fillId="0" borderId="37" applyNumberFormat="0" applyFill="0" applyAlignment="0" applyProtection="0"/>
    <xf numFmtId="0" fontId="19" fillId="0" borderId="38" applyNumberFormat="0" applyFill="0" applyAlignment="0" applyProtection="0"/>
    <xf numFmtId="0" fontId="19" fillId="0" borderId="0" applyNumberFormat="0" applyFill="0" applyBorder="0" applyAlignment="0" applyProtection="0"/>
    <xf numFmtId="0" fontId="20" fillId="9" borderId="0" applyNumberFormat="0" applyBorder="0" applyAlignment="0" applyProtection="0"/>
    <xf numFmtId="0" fontId="21" fillId="10" borderId="0" applyNumberFormat="0" applyBorder="0" applyAlignment="0" applyProtection="0"/>
    <xf numFmtId="0" fontId="22" fillId="11" borderId="0" applyNumberFormat="0" applyBorder="0" applyAlignment="0" applyProtection="0"/>
    <xf numFmtId="0" fontId="23" fillId="12" borderId="39" applyNumberFormat="0" applyAlignment="0" applyProtection="0"/>
    <xf numFmtId="0" fontId="24" fillId="13" borderId="40" applyNumberFormat="0" applyAlignment="0" applyProtection="0"/>
    <xf numFmtId="0" fontId="25" fillId="13" borderId="39" applyNumberFormat="0" applyAlignment="0" applyProtection="0"/>
    <xf numFmtId="0" fontId="26" fillId="0" borderId="41" applyNumberFormat="0" applyFill="0" applyAlignment="0" applyProtection="0"/>
    <xf numFmtId="0" fontId="27" fillId="14" borderId="42"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44" applyNumberFormat="0" applyFill="0" applyAlignment="0" applyProtection="0"/>
    <xf numFmtId="0" fontId="31"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31" fillId="39" borderId="0" applyNumberFormat="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7"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0" fontId="33" fillId="0" borderId="0"/>
    <xf numFmtId="167" fontId="10" fillId="0" borderId="0" applyFont="0" applyFill="0" applyBorder="0" applyAlignment="0" applyProtection="0"/>
    <xf numFmtId="43" fontId="10" fillId="0" borderId="0" applyFont="0" applyFill="0" applyBorder="0" applyAlignment="0" applyProtection="0"/>
    <xf numFmtId="0" fontId="73" fillId="0" borderId="0"/>
    <xf numFmtId="0" fontId="161" fillId="13" borderId="39" applyNumberFormat="0" applyBorder="0" applyAlignment="0" applyProtection="0"/>
    <xf numFmtId="0" fontId="85" fillId="56" borderId="0"/>
    <xf numFmtId="44" fontId="10" fillId="0" borderId="0" applyFont="0" applyFill="0" applyBorder="0" applyAlignment="0" applyProtection="0"/>
  </cellStyleXfs>
  <cellXfs count="918">
    <xf numFmtId="0" fontId="0" fillId="0" borderId="0" xfId="0"/>
    <xf numFmtId="0" fontId="3" fillId="2" borderId="0" xfId="0" applyFont="1" applyFill="1" applyAlignment="1">
      <alignment horizontal="center" vertical="center"/>
    </xf>
    <xf numFmtId="0" fontId="0" fillId="2" borderId="0" xfId="0" applyFill="1" applyAlignment="1">
      <alignment vertical="center"/>
    </xf>
    <xf numFmtId="0" fontId="6" fillId="2" borderId="0" xfId="0" applyFont="1" applyFill="1" applyAlignment="1">
      <alignment vertical="center"/>
    </xf>
    <xf numFmtId="0" fontId="1" fillId="2" borderId="0" xfId="0" applyFont="1" applyFill="1" applyAlignment="1">
      <alignment vertical="center"/>
    </xf>
    <xf numFmtId="0" fontId="3"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Alignment="1">
      <alignment horizontal="left" vertical="center"/>
    </xf>
    <xf numFmtId="0" fontId="3" fillId="3" borderId="0" xfId="0" applyFont="1" applyFill="1" applyAlignment="1">
      <alignment horizontal="center" vertical="center"/>
    </xf>
    <xf numFmtId="0" fontId="3" fillId="3" borderId="0" xfId="0" applyFont="1" applyFill="1" applyAlignment="1">
      <alignment horizontal="left" vertical="center"/>
    </xf>
    <xf numFmtId="0" fontId="7" fillId="2" borderId="0" xfId="0" applyFont="1" applyFill="1" applyAlignment="1">
      <alignment horizontal="center" vertical="center"/>
    </xf>
    <xf numFmtId="168" fontId="3" fillId="2" borderId="0" xfId="0" applyNumberFormat="1" applyFont="1" applyFill="1" applyAlignment="1">
      <alignment horizontal="center" vertical="center"/>
    </xf>
    <xf numFmtId="0" fontId="8" fillId="3" borderId="0" xfId="0" applyFont="1" applyFill="1" applyAlignment="1">
      <alignment horizontal="left" vertical="center"/>
    </xf>
    <xf numFmtId="0" fontId="0" fillId="2" borderId="0" xfId="0" applyFill="1" applyAlignment="1">
      <alignment horizontal="center" vertical="center"/>
    </xf>
    <xf numFmtId="0" fontId="1" fillId="2" borderId="0" xfId="0" applyFont="1" applyFill="1" applyAlignment="1">
      <alignment horizontal="center" vertical="center"/>
    </xf>
    <xf numFmtId="0" fontId="12" fillId="2" borderId="0" xfId="2" applyFont="1" applyFill="1" applyAlignment="1">
      <alignment horizontal="left" vertical="center"/>
    </xf>
    <xf numFmtId="1" fontId="4" fillId="2" borderId="0" xfId="0" applyNumberFormat="1" applyFont="1" applyFill="1" applyAlignment="1">
      <alignment horizontal="center" vertical="center"/>
    </xf>
    <xf numFmtId="0" fontId="32" fillId="2" borderId="0" xfId="0" applyFont="1" applyFill="1"/>
    <xf numFmtId="0" fontId="4" fillId="2" borderId="0" xfId="0" applyFont="1" applyFill="1" applyAlignment="1">
      <alignment horizontal="center"/>
    </xf>
    <xf numFmtId="0" fontId="3" fillId="2" borderId="0" xfId="0" applyFont="1" applyFill="1"/>
    <xf numFmtId="0" fontId="3" fillId="2" borderId="0" xfId="0" applyFont="1" applyFill="1" applyAlignment="1">
      <alignment horizontal="center" vertical="center" wrapText="1"/>
    </xf>
    <xf numFmtId="0" fontId="3" fillId="2" borderId="0" xfId="0" applyFont="1" applyFill="1" applyAlignment="1">
      <alignment wrapText="1"/>
    </xf>
    <xf numFmtId="3" fontId="3" fillId="2" borderId="0" xfId="0" applyNumberFormat="1" applyFont="1" applyFill="1"/>
    <xf numFmtId="181" fontId="4" fillId="2" borderId="0" xfId="3" applyNumberFormat="1" applyFont="1" applyFill="1" applyAlignment="1">
      <alignment horizontal="right"/>
    </xf>
    <xf numFmtId="181" fontId="4" fillId="2" borderId="0" xfId="0" applyNumberFormat="1" applyFont="1" applyFill="1" applyAlignment="1">
      <alignment horizontal="right"/>
    </xf>
    <xf numFmtId="0" fontId="3" fillId="2" borderId="0" xfId="0" applyFont="1" applyFill="1" applyAlignment="1">
      <alignment horizontal="right"/>
    </xf>
    <xf numFmtId="181" fontId="3" fillId="2" borderId="0" xfId="3" applyNumberFormat="1" applyFont="1" applyFill="1" applyAlignment="1">
      <alignment horizontal="right"/>
    </xf>
    <xf numFmtId="181" fontId="3" fillId="2" borderId="0" xfId="0" applyNumberFormat="1" applyFont="1" applyFill="1" applyAlignment="1">
      <alignment horizontal="right"/>
    </xf>
    <xf numFmtId="169" fontId="3" fillId="2" borderId="0" xfId="3" applyNumberFormat="1" applyFont="1" applyFill="1"/>
    <xf numFmtId="0" fontId="35" fillId="2" borderId="0" xfId="0" applyFont="1" applyFill="1" applyAlignment="1">
      <alignment vertical="center"/>
    </xf>
    <xf numFmtId="0" fontId="36" fillId="2" borderId="0" xfId="0" applyFont="1" applyFill="1" applyAlignment="1">
      <alignment vertical="center"/>
    </xf>
    <xf numFmtId="0" fontId="37" fillId="2" borderId="0" xfId="0" applyFont="1" applyFill="1" applyAlignment="1">
      <alignment vertical="center"/>
    </xf>
    <xf numFmtId="0" fontId="36" fillId="0" borderId="0" xfId="0" applyFont="1"/>
    <xf numFmtId="0" fontId="38" fillId="2" borderId="0" xfId="0" applyFont="1" applyFill="1" applyAlignment="1">
      <alignment vertical="center"/>
    </xf>
    <xf numFmtId="179" fontId="36" fillId="2" borderId="0" xfId="0" applyNumberFormat="1" applyFont="1" applyFill="1" applyAlignment="1">
      <alignment vertical="center"/>
    </xf>
    <xf numFmtId="0" fontId="36" fillId="2" borderId="0" xfId="0" applyFont="1" applyFill="1" applyAlignment="1">
      <alignment vertical="center" wrapText="1"/>
    </xf>
    <xf numFmtId="172" fontId="36" fillId="2" borderId="0" xfId="0" applyNumberFormat="1" applyFont="1" applyFill="1" applyAlignment="1">
      <alignment vertical="center"/>
    </xf>
    <xf numFmtId="0" fontId="39" fillId="0" borderId="0" xfId="0" applyFont="1"/>
    <xf numFmtId="0" fontId="7" fillId="2" borderId="0" xfId="0" applyFont="1" applyFill="1" applyAlignment="1">
      <alignment vertical="center"/>
    </xf>
    <xf numFmtId="0" fontId="46" fillId="2" borderId="0" xfId="0" applyFont="1" applyFill="1" applyAlignment="1">
      <alignment vertical="center"/>
    </xf>
    <xf numFmtId="3" fontId="45" fillId="2" borderId="31" xfId="0" applyNumberFormat="1" applyFont="1" applyFill="1" applyBorder="1" applyAlignment="1">
      <alignment horizontal="center" vertical="center"/>
    </xf>
    <xf numFmtId="3" fontId="45" fillId="2" borderId="30" xfId="0" applyNumberFormat="1" applyFont="1" applyFill="1" applyBorder="1" applyAlignment="1">
      <alignment horizontal="center" vertical="center"/>
    </xf>
    <xf numFmtId="3" fontId="45" fillId="2" borderId="0" xfId="0" applyNumberFormat="1" applyFont="1" applyFill="1" applyAlignment="1">
      <alignment horizontal="center" vertical="center"/>
    </xf>
    <xf numFmtId="0" fontId="43" fillId="2" borderId="0" xfId="0" applyFont="1" applyFill="1" applyAlignment="1">
      <alignment vertical="center"/>
    </xf>
    <xf numFmtId="0" fontId="47" fillId="46" borderId="0" xfId="0" applyFont="1" applyFill="1" applyAlignment="1">
      <alignment horizontal="center" vertical="center" wrapText="1"/>
    </xf>
    <xf numFmtId="3" fontId="45" fillId="2" borderId="0" xfId="0" applyNumberFormat="1" applyFont="1" applyFill="1" applyAlignment="1">
      <alignment vertical="center"/>
    </xf>
    <xf numFmtId="0" fontId="44" fillId="2" borderId="30" xfId="0" applyFont="1" applyFill="1" applyBorder="1" applyAlignment="1">
      <alignment vertical="center" wrapText="1"/>
    </xf>
    <xf numFmtId="0" fontId="36" fillId="0" borderId="30" xfId="0" applyFont="1" applyBorder="1" applyAlignment="1">
      <alignment vertical="center" wrapText="1"/>
    </xf>
    <xf numFmtId="0" fontId="48" fillId="2" borderId="0" xfId="0" applyFont="1" applyFill="1" applyAlignment="1">
      <alignment vertical="center"/>
    </xf>
    <xf numFmtId="0" fontId="43" fillId="49" borderId="0" xfId="0" applyFont="1" applyFill="1" applyAlignment="1">
      <alignment vertical="center"/>
    </xf>
    <xf numFmtId="3" fontId="45" fillId="49" borderId="31" xfId="0" applyNumberFormat="1" applyFont="1" applyFill="1" applyBorder="1" applyAlignment="1">
      <alignment horizontal="center" vertical="center"/>
    </xf>
    <xf numFmtId="0" fontId="50" fillId="49" borderId="0" xfId="0" applyFont="1" applyFill="1" applyAlignment="1">
      <alignment vertical="center"/>
    </xf>
    <xf numFmtId="0" fontId="50" fillId="49" borderId="30" xfId="0" applyFont="1" applyFill="1" applyBorder="1" applyAlignment="1">
      <alignment vertical="center"/>
    </xf>
    <xf numFmtId="0" fontId="52" fillId="49" borderId="0" xfId="0" applyFont="1" applyFill="1" applyAlignment="1">
      <alignment vertical="center"/>
    </xf>
    <xf numFmtId="0" fontId="50" fillId="2" borderId="0" xfId="0" applyFont="1" applyFill="1" applyAlignment="1">
      <alignment vertical="center"/>
    </xf>
    <xf numFmtId="0" fontId="50" fillId="2" borderId="30" xfId="0" applyFont="1" applyFill="1" applyBorder="1" applyAlignment="1">
      <alignment vertical="center"/>
    </xf>
    <xf numFmtId="0" fontId="52" fillId="2" borderId="0" xfId="0" applyFont="1" applyFill="1" applyAlignment="1">
      <alignment vertical="center"/>
    </xf>
    <xf numFmtId="0" fontId="36" fillId="49" borderId="0" xfId="0" applyFont="1" applyFill="1"/>
    <xf numFmtId="0" fontId="51" fillId="49" borderId="0" xfId="0" applyFont="1" applyFill="1"/>
    <xf numFmtId="0" fontId="51" fillId="2" borderId="0" xfId="0" applyFont="1" applyFill="1"/>
    <xf numFmtId="0" fontId="56" fillId="2" borderId="0" xfId="0" applyFont="1" applyFill="1" applyAlignment="1">
      <alignment horizontal="center" vertical="center"/>
    </xf>
    <xf numFmtId="0" fontId="8" fillId="3" borderId="0" xfId="0" applyFont="1" applyFill="1" applyAlignment="1">
      <alignment vertical="center"/>
    </xf>
    <xf numFmtId="0" fontId="36" fillId="3" borderId="0" xfId="0" applyFont="1" applyFill="1" applyAlignment="1">
      <alignment vertical="center"/>
    </xf>
    <xf numFmtId="0" fontId="56" fillId="3" borderId="0" xfId="0" applyFont="1" applyFill="1" applyAlignment="1">
      <alignment horizontal="center" vertical="center"/>
    </xf>
    <xf numFmtId="0" fontId="39" fillId="2" borderId="0" xfId="0" applyFont="1" applyFill="1" applyAlignment="1">
      <alignment vertical="center"/>
    </xf>
    <xf numFmtId="0" fontId="36" fillId="2" borderId="0" xfId="0" applyFont="1" applyFill="1" applyAlignment="1">
      <alignment horizontal="center" vertical="center"/>
    </xf>
    <xf numFmtId="0" fontId="58" fillId="2" borderId="0" xfId="0" applyFont="1" applyFill="1" applyAlignment="1">
      <alignment vertical="center"/>
    </xf>
    <xf numFmtId="0" fontId="58" fillId="2" borderId="0" xfId="0" applyFont="1" applyFill="1" applyAlignment="1">
      <alignment horizontal="center" vertical="center"/>
    </xf>
    <xf numFmtId="9" fontId="36" fillId="2" borderId="0" xfId="3" applyFont="1" applyFill="1" applyAlignment="1">
      <alignment vertical="center"/>
    </xf>
    <xf numFmtId="0" fontId="59" fillId="2" borderId="0" xfId="0" applyFont="1" applyFill="1" applyAlignment="1">
      <alignment vertical="center"/>
    </xf>
    <xf numFmtId="0" fontId="60" fillId="2" borderId="30" xfId="0" applyFont="1" applyFill="1" applyBorder="1" applyAlignment="1">
      <alignment horizontal="left" vertical="center" wrapText="1"/>
    </xf>
    <xf numFmtId="170" fontId="60" fillId="2" borderId="31" xfId="4" applyNumberFormat="1" applyFont="1" applyFill="1" applyBorder="1" applyAlignment="1">
      <alignment horizontal="center" vertical="center"/>
    </xf>
    <xf numFmtId="170" fontId="60" fillId="2" borderId="30" xfId="4" applyNumberFormat="1" applyFont="1" applyFill="1" applyBorder="1" applyAlignment="1">
      <alignment horizontal="center" vertical="center"/>
    </xf>
    <xf numFmtId="170" fontId="60" fillId="2" borderId="30" xfId="4" applyNumberFormat="1" applyFont="1" applyFill="1" applyBorder="1" applyAlignment="1">
      <alignment horizontal="center" vertical="center" wrapText="1"/>
    </xf>
    <xf numFmtId="169" fontId="62" fillId="2" borderId="0" xfId="3" applyNumberFormat="1" applyFont="1" applyFill="1" applyBorder="1" applyAlignment="1">
      <alignment horizontal="left" vertical="center"/>
    </xf>
    <xf numFmtId="169" fontId="64" fillId="2" borderId="0" xfId="3" applyNumberFormat="1" applyFont="1" applyFill="1" applyBorder="1" applyAlignment="1">
      <alignment horizontal="left" vertical="center"/>
    </xf>
    <xf numFmtId="178" fontId="36" fillId="2" borderId="0" xfId="0" applyNumberFormat="1" applyFont="1" applyFill="1" applyAlignment="1">
      <alignment vertical="center"/>
    </xf>
    <xf numFmtId="0" fontId="65" fillId="2" borderId="0" xfId="0" applyFont="1" applyFill="1" applyAlignment="1">
      <alignment vertical="center"/>
    </xf>
    <xf numFmtId="0" fontId="40" fillId="2" borderId="0" xfId="0" applyFont="1" applyFill="1" applyAlignment="1">
      <alignment wrapText="1"/>
    </xf>
    <xf numFmtId="0" fontId="41" fillId="2" borderId="0" xfId="0" applyFont="1" applyFill="1" applyAlignment="1">
      <alignment vertical="center" wrapText="1"/>
    </xf>
    <xf numFmtId="0" fontId="40" fillId="2" borderId="0" xfId="0" applyFont="1" applyFill="1"/>
    <xf numFmtId="0" fontId="36" fillId="2" borderId="0" xfId="0" applyFont="1" applyFill="1"/>
    <xf numFmtId="0" fontId="40" fillId="2" borderId="0" xfId="0" applyFont="1" applyFill="1" applyAlignment="1">
      <alignment vertical="top" wrapText="1"/>
    </xf>
    <xf numFmtId="170" fontId="7" fillId="2" borderId="0" xfId="0" applyNumberFormat="1" applyFont="1" applyFill="1" applyAlignment="1">
      <alignment vertical="center"/>
    </xf>
    <xf numFmtId="182" fontId="36" fillId="2" borderId="0" xfId="0" applyNumberFormat="1" applyFont="1" applyFill="1"/>
    <xf numFmtId="0" fontId="44" fillId="2" borderId="0" xfId="0" applyFont="1" applyFill="1" applyAlignment="1">
      <alignment vertical="center" wrapText="1"/>
    </xf>
    <xf numFmtId="3" fontId="45" fillId="2" borderId="0" xfId="0" applyNumberFormat="1" applyFont="1" applyFill="1" applyAlignment="1">
      <alignment vertical="center" wrapText="1"/>
    </xf>
    <xf numFmtId="10" fontId="36" fillId="2" borderId="0" xfId="3" applyNumberFormat="1" applyFont="1" applyFill="1" applyBorder="1"/>
    <xf numFmtId="0" fontId="60" fillId="2" borderId="0" xfId="0" applyFont="1" applyFill="1" applyAlignment="1">
      <alignment horizontal="left" vertical="center" wrapText="1"/>
    </xf>
    <xf numFmtId="170" fontId="60" fillId="2" borderId="0" xfId="4" applyNumberFormat="1" applyFont="1" applyFill="1" applyBorder="1" applyAlignment="1">
      <alignment horizontal="center" vertical="center"/>
    </xf>
    <xf numFmtId="169" fontId="60" fillId="2" borderId="0" xfId="3" applyNumberFormat="1" applyFont="1" applyFill="1" applyBorder="1" applyAlignment="1">
      <alignment horizontal="center" vertical="center"/>
    </xf>
    <xf numFmtId="170" fontId="60" fillId="2" borderId="0" xfId="4" applyNumberFormat="1" applyFont="1" applyFill="1" applyBorder="1" applyAlignment="1">
      <alignment horizontal="center" vertical="center" wrapText="1"/>
    </xf>
    <xf numFmtId="0" fontId="61" fillId="2" borderId="0" xfId="0" applyFont="1" applyFill="1" applyAlignment="1">
      <alignment horizontal="right" vertical="center"/>
    </xf>
    <xf numFmtId="172" fontId="62" fillId="2" borderId="0" xfId="3" applyNumberFormat="1" applyFont="1" applyFill="1" applyBorder="1" applyAlignment="1">
      <alignment horizontal="right" vertical="center"/>
    </xf>
    <xf numFmtId="0" fontId="63" fillId="2" borderId="0" xfId="0" applyFont="1" applyFill="1" applyAlignment="1">
      <alignment horizontal="right" vertical="center"/>
    </xf>
    <xf numFmtId="172" fontId="64" fillId="2" borderId="0" xfId="3" applyNumberFormat="1" applyFont="1" applyFill="1" applyBorder="1" applyAlignment="1">
      <alignment horizontal="right" vertical="center"/>
    </xf>
    <xf numFmtId="9" fontId="62" fillId="2" borderId="0" xfId="3" applyFont="1" applyFill="1" applyBorder="1" applyAlignment="1">
      <alignment horizontal="left" vertical="center"/>
    </xf>
    <xf numFmtId="10" fontId="62" fillId="2" borderId="0" xfId="3" applyNumberFormat="1" applyFont="1" applyFill="1" applyBorder="1" applyAlignment="1">
      <alignment horizontal="left" vertical="center"/>
    </xf>
    <xf numFmtId="9" fontId="36" fillId="2" borderId="0" xfId="3" applyFont="1" applyFill="1" applyAlignment="1">
      <alignment horizontal="center" vertical="center"/>
    </xf>
    <xf numFmtId="0" fontId="36" fillId="2" borderId="0" xfId="0" applyFont="1" applyFill="1" applyAlignment="1">
      <alignment horizontal="center"/>
    </xf>
    <xf numFmtId="0" fontId="41" fillId="48" borderId="26" xfId="0" applyFont="1" applyFill="1" applyBorder="1" applyAlignment="1">
      <alignment horizontal="center" vertical="center" wrapText="1"/>
    </xf>
    <xf numFmtId="0" fontId="51" fillId="2" borderId="0" xfId="0" applyFont="1" applyFill="1" applyAlignment="1">
      <alignment vertical="center"/>
    </xf>
    <xf numFmtId="3" fontId="45" fillId="49" borderId="30" xfId="0" applyNumberFormat="1" applyFont="1" applyFill="1" applyBorder="1" applyAlignment="1">
      <alignment horizontal="center" vertical="center"/>
    </xf>
    <xf numFmtId="0" fontId="60" fillId="49" borderId="30" xfId="0" applyFont="1" applyFill="1" applyBorder="1" applyAlignment="1">
      <alignment horizontal="left" vertical="center" wrapText="1"/>
    </xf>
    <xf numFmtId="170" fontId="60" fillId="49" borderId="31" xfId="4" applyNumberFormat="1" applyFont="1" applyFill="1" applyBorder="1" applyAlignment="1">
      <alignment horizontal="center" vertical="center"/>
    </xf>
    <xf numFmtId="169" fontId="60" fillId="49" borderId="30" xfId="3" applyNumberFormat="1" applyFont="1" applyFill="1" applyBorder="1" applyAlignment="1">
      <alignment horizontal="center" vertical="center"/>
    </xf>
    <xf numFmtId="170" fontId="60" fillId="49" borderId="30" xfId="4" applyNumberFormat="1" applyFont="1" applyFill="1" applyBorder="1" applyAlignment="1">
      <alignment horizontal="center" vertical="center" wrapText="1"/>
    </xf>
    <xf numFmtId="170" fontId="60" fillId="49" borderId="30" xfId="4" applyNumberFormat="1" applyFont="1" applyFill="1" applyBorder="1" applyAlignment="1">
      <alignment horizontal="center" vertical="center"/>
    </xf>
    <xf numFmtId="0" fontId="66" fillId="49" borderId="30" xfId="0" applyFont="1" applyFill="1" applyBorder="1" applyAlignment="1">
      <alignment horizontal="right" vertical="center"/>
    </xf>
    <xf numFmtId="172" fontId="66" fillId="49" borderId="31" xfId="3" applyNumberFormat="1" applyFont="1" applyFill="1" applyBorder="1" applyAlignment="1">
      <alignment horizontal="right" vertical="center"/>
    </xf>
    <xf numFmtId="169" fontId="66" fillId="49" borderId="30" xfId="3" applyNumberFormat="1" applyFont="1" applyFill="1" applyBorder="1" applyAlignment="1">
      <alignment horizontal="left" vertical="center"/>
    </xf>
    <xf numFmtId="0" fontId="67" fillId="49" borderId="30" xfId="0" applyFont="1" applyFill="1" applyBorder="1" applyAlignment="1">
      <alignment horizontal="right" vertical="center"/>
    </xf>
    <xf numFmtId="172" fontId="67" fillId="49" borderId="31" xfId="3" applyNumberFormat="1" applyFont="1" applyFill="1" applyBorder="1" applyAlignment="1">
      <alignment horizontal="right" vertical="center"/>
    </xf>
    <xf numFmtId="169" fontId="67" fillId="49" borderId="30" xfId="3" applyNumberFormat="1" applyFont="1" applyFill="1" applyBorder="1" applyAlignment="1">
      <alignment horizontal="left" vertical="center"/>
    </xf>
    <xf numFmtId="0" fontId="66" fillId="2" borderId="30" xfId="0" applyFont="1" applyFill="1" applyBorder="1" applyAlignment="1">
      <alignment horizontal="right" vertical="center"/>
    </xf>
    <xf numFmtId="172" fontId="66" fillId="2" borderId="31" xfId="3" applyNumberFormat="1" applyFont="1" applyFill="1" applyBorder="1" applyAlignment="1">
      <alignment horizontal="right" vertical="center"/>
    </xf>
    <xf numFmtId="169" fontId="66" fillId="2" borderId="30" xfId="3" applyNumberFormat="1" applyFont="1" applyFill="1" applyBorder="1" applyAlignment="1">
      <alignment horizontal="left" vertical="center"/>
    </xf>
    <xf numFmtId="0" fontId="67" fillId="2" borderId="30" xfId="0" applyFont="1" applyFill="1" applyBorder="1" applyAlignment="1">
      <alignment horizontal="right" vertical="center"/>
    </xf>
    <xf numFmtId="172" fontId="67" fillId="2" borderId="31" xfId="3" applyNumberFormat="1" applyFont="1" applyFill="1" applyBorder="1" applyAlignment="1">
      <alignment horizontal="right" vertical="center"/>
    </xf>
    <xf numFmtId="169" fontId="67" fillId="2" borderId="30" xfId="3" applyNumberFormat="1" applyFont="1" applyFill="1" applyBorder="1" applyAlignment="1">
      <alignment horizontal="left" vertical="center"/>
    </xf>
    <xf numFmtId="172" fontId="67" fillId="49" borderId="33" xfId="3" applyNumberFormat="1" applyFont="1" applyFill="1" applyBorder="1" applyAlignment="1">
      <alignment horizontal="right" vertical="center"/>
    </xf>
    <xf numFmtId="169" fontId="67" fillId="49" borderId="34" xfId="3" applyNumberFormat="1" applyFont="1" applyFill="1" applyBorder="1" applyAlignment="1">
      <alignment horizontal="left" vertical="center"/>
    </xf>
    <xf numFmtId="0" fontId="68" fillId="2" borderId="0" xfId="0" applyFont="1" applyFill="1" applyAlignment="1">
      <alignment vertical="center"/>
    </xf>
    <xf numFmtId="0" fontId="44" fillId="49" borderId="30" xfId="0" applyFont="1" applyFill="1" applyBorder="1" applyAlignment="1">
      <alignment vertical="top" wrapText="1"/>
    </xf>
    <xf numFmtId="0" fontId="44" fillId="2" borderId="30" xfId="0" applyFont="1" applyFill="1" applyBorder="1" applyAlignment="1">
      <alignment vertical="top" wrapText="1"/>
    </xf>
    <xf numFmtId="0" fontId="36" fillId="0" borderId="30" xfId="0" applyFont="1" applyBorder="1" applyAlignment="1">
      <alignment vertical="top" wrapText="1"/>
    </xf>
    <xf numFmtId="0" fontId="44" fillId="49" borderId="30" xfId="0" applyFont="1" applyFill="1" applyBorder="1" applyAlignment="1">
      <alignment vertical="center" wrapText="1"/>
    </xf>
    <xf numFmtId="0" fontId="36" fillId="49" borderId="30" xfId="0" applyFont="1" applyFill="1" applyBorder="1" applyAlignment="1">
      <alignment vertical="center" wrapText="1"/>
    </xf>
    <xf numFmtId="0" fontId="69" fillId="2" borderId="0" xfId="0" applyFont="1" applyFill="1"/>
    <xf numFmtId="0" fontId="39" fillId="2" borderId="0" xfId="0" applyFont="1" applyFill="1"/>
    <xf numFmtId="0" fontId="46" fillId="2" borderId="0" xfId="0" applyFont="1" applyFill="1" applyAlignment="1">
      <alignment horizontal="left" vertical="top"/>
    </xf>
    <xf numFmtId="0" fontId="46" fillId="42" borderId="7" xfId="0" applyFont="1" applyFill="1" applyBorder="1" applyAlignment="1">
      <alignment horizontal="left" vertical="top" wrapText="1"/>
    </xf>
    <xf numFmtId="0" fontId="46" fillId="42" borderId="45" xfId="0" applyFont="1" applyFill="1" applyBorder="1" applyAlignment="1">
      <alignment horizontal="left" vertical="top" wrapText="1"/>
    </xf>
    <xf numFmtId="0" fontId="70" fillId="2" borderId="0" xfId="0" applyFont="1" applyFill="1"/>
    <xf numFmtId="0" fontId="71" fillId="42" borderId="12" xfId="0" applyFont="1" applyFill="1" applyBorder="1" applyAlignment="1">
      <alignment vertical="center" wrapText="1"/>
    </xf>
    <xf numFmtId="0" fontId="71" fillId="42" borderId="47" xfId="0" applyFont="1" applyFill="1" applyBorder="1" applyAlignment="1">
      <alignment vertical="center" wrapText="1"/>
    </xf>
    <xf numFmtId="0" fontId="71" fillId="42" borderId="13" xfId="0" applyFont="1" applyFill="1" applyBorder="1" applyAlignment="1">
      <alignment horizontal="center" vertical="center" wrapText="1"/>
    </xf>
    <xf numFmtId="0" fontId="71" fillId="42" borderId="47" xfId="0" applyFont="1" applyFill="1" applyBorder="1" applyAlignment="1">
      <alignment horizontal="center" vertical="center" wrapText="1"/>
    </xf>
    <xf numFmtId="0" fontId="71" fillId="42" borderId="48" xfId="0" applyFont="1" applyFill="1" applyBorder="1" applyAlignment="1">
      <alignment horizontal="center" vertical="center" wrapText="1"/>
    </xf>
    <xf numFmtId="4" fontId="72" fillId="43" borderId="10" xfId="0" applyNumberFormat="1" applyFont="1" applyFill="1" applyBorder="1" applyAlignment="1">
      <alignment vertical="center"/>
    </xf>
    <xf numFmtId="4" fontId="73" fillId="43" borderId="20" xfId="0" applyNumberFormat="1" applyFont="1" applyFill="1" applyBorder="1" applyAlignment="1">
      <alignment vertical="center"/>
    </xf>
    <xf numFmtId="4" fontId="73" fillId="44" borderId="0" xfId="0" applyNumberFormat="1" applyFont="1" applyFill="1" applyAlignment="1">
      <alignment horizontal="right" vertical="center"/>
    </xf>
    <xf numFmtId="4" fontId="73" fillId="44" borderId="20" xfId="0" applyNumberFormat="1" applyFont="1" applyFill="1" applyBorder="1" applyAlignment="1">
      <alignment vertical="center"/>
    </xf>
    <xf numFmtId="4" fontId="73" fillId="44" borderId="19" xfId="0" applyNumberFormat="1" applyFont="1" applyFill="1" applyBorder="1" applyAlignment="1">
      <alignment vertical="center"/>
    </xf>
    <xf numFmtId="4" fontId="73" fillId="44" borderId="45" xfId="0" applyNumberFormat="1" applyFont="1" applyFill="1" applyBorder="1" applyAlignment="1">
      <alignment vertical="center"/>
    </xf>
    <xf numFmtId="40" fontId="73" fillId="44" borderId="46" xfId="0" applyNumberFormat="1" applyFont="1" applyFill="1" applyBorder="1" applyAlignment="1">
      <alignment vertical="center"/>
    </xf>
    <xf numFmtId="181" fontId="73" fillId="44" borderId="45" xfId="3" applyNumberFormat="1" applyFont="1" applyFill="1" applyBorder="1" applyAlignment="1">
      <alignment vertical="center"/>
    </xf>
    <xf numFmtId="40" fontId="73" fillId="44" borderId="19" xfId="0" applyNumberFormat="1" applyFont="1" applyFill="1" applyBorder="1" applyAlignment="1">
      <alignment vertical="center"/>
    </xf>
    <xf numFmtId="181" fontId="73" fillId="44" borderId="20" xfId="3" applyNumberFormat="1" applyFont="1" applyFill="1" applyBorder="1" applyAlignment="1">
      <alignment vertical="center"/>
    </xf>
    <xf numFmtId="169" fontId="74" fillId="44" borderId="20" xfId="3" applyNumberFormat="1" applyFont="1" applyFill="1" applyBorder="1" applyAlignment="1">
      <alignment vertical="center"/>
    </xf>
    <xf numFmtId="4" fontId="72" fillId="43" borderId="49" xfId="0" applyNumberFormat="1" applyFont="1" applyFill="1" applyBorder="1" applyAlignment="1">
      <alignment vertical="center"/>
    </xf>
    <xf numFmtId="4" fontId="61" fillId="44" borderId="50" xfId="0" applyNumberFormat="1" applyFont="1" applyFill="1" applyBorder="1" applyAlignment="1">
      <alignment vertical="center"/>
    </xf>
    <xf numFmtId="3" fontId="72" fillId="44" borderId="51" xfId="0" applyNumberFormat="1" applyFont="1" applyFill="1" applyBorder="1" applyAlignment="1">
      <alignment horizontal="right" vertical="center"/>
    </xf>
    <xf numFmtId="3" fontId="75" fillId="44" borderId="50" xfId="3" applyNumberFormat="1" applyFont="1" applyFill="1" applyBorder="1" applyAlignment="1">
      <alignment vertical="center"/>
    </xf>
    <xf numFmtId="3" fontId="72" fillId="44" borderId="51" xfId="0" applyNumberFormat="1" applyFont="1" applyFill="1" applyBorder="1" applyAlignment="1">
      <alignment vertical="center"/>
    </xf>
    <xf numFmtId="181" fontId="72" fillId="44" borderId="50" xfId="3" applyNumberFormat="1" applyFont="1" applyFill="1" applyBorder="1" applyAlignment="1">
      <alignment vertical="center"/>
    </xf>
    <xf numFmtId="4" fontId="74" fillId="43" borderId="10" xfId="0" applyNumberFormat="1" applyFont="1" applyFill="1" applyBorder="1" applyAlignment="1">
      <alignment vertical="center"/>
    </xf>
    <xf numFmtId="4" fontId="73" fillId="44" borderId="0" xfId="0" applyNumberFormat="1" applyFont="1" applyFill="1" applyAlignment="1">
      <alignment vertical="center"/>
    </xf>
    <xf numFmtId="0" fontId="35" fillId="2" borderId="0" xfId="0" applyFont="1" applyFill="1" applyAlignment="1">
      <alignment vertical="top"/>
    </xf>
    <xf numFmtId="3" fontId="36" fillId="2" borderId="0" xfId="0" applyNumberFormat="1" applyFont="1" applyFill="1" applyAlignment="1">
      <alignment horizontal="center"/>
    </xf>
    <xf numFmtId="0" fontId="56" fillId="2" borderId="0" xfId="0" applyFont="1" applyFill="1" applyAlignment="1">
      <alignment vertical="center"/>
    </xf>
    <xf numFmtId="0" fontId="38" fillId="2" borderId="7" xfId="0" applyFont="1" applyFill="1" applyBorder="1" applyAlignment="1">
      <alignment vertical="center"/>
    </xf>
    <xf numFmtId="0" fontId="56" fillId="2" borderId="8" xfId="0" applyFont="1" applyFill="1" applyBorder="1" applyAlignment="1">
      <alignment vertical="center"/>
    </xf>
    <xf numFmtId="0" fontId="36" fillId="2" borderId="9" xfId="0" applyFont="1" applyFill="1" applyBorder="1" applyAlignment="1">
      <alignment vertical="center"/>
    </xf>
    <xf numFmtId="0" fontId="36" fillId="2" borderId="10" xfId="0" applyFont="1" applyFill="1" applyBorder="1" applyAlignment="1">
      <alignment vertical="center"/>
    </xf>
    <xf numFmtId="0" fontId="57" fillId="2" borderId="0" xfId="0" applyFont="1" applyFill="1" applyAlignment="1">
      <alignment vertical="center"/>
    </xf>
    <xf numFmtId="0" fontId="36" fillId="2" borderId="11" xfId="0" applyFont="1" applyFill="1" applyBorder="1" applyAlignment="1">
      <alignment vertical="center"/>
    </xf>
    <xf numFmtId="0" fontId="40" fillId="48" borderId="0" xfId="0" applyFont="1" applyFill="1" applyAlignment="1">
      <alignment horizontal="center"/>
    </xf>
    <xf numFmtId="0" fontId="40" fillId="48" borderId="0" xfId="0" applyFont="1" applyFill="1" applyAlignment="1">
      <alignment horizontal="center" vertical="top" wrapText="1"/>
    </xf>
    <xf numFmtId="3" fontId="50" fillId="49" borderId="0" xfId="0" applyNumberFormat="1" applyFont="1" applyFill="1" applyAlignment="1">
      <alignment horizontal="center" vertical="center"/>
    </xf>
    <xf numFmtId="0" fontId="59" fillId="2" borderId="11" xfId="0" applyFont="1" applyFill="1" applyBorder="1" applyAlignment="1">
      <alignment vertical="center"/>
    </xf>
    <xf numFmtId="3" fontId="52" fillId="2" borderId="0" xfId="0" applyNumberFormat="1" applyFont="1" applyFill="1" applyAlignment="1">
      <alignment horizontal="center" vertical="center"/>
    </xf>
    <xf numFmtId="0" fontId="59" fillId="2" borderId="10" xfId="0" applyFont="1" applyFill="1" applyBorder="1" applyAlignment="1">
      <alignment vertical="center"/>
    </xf>
    <xf numFmtId="0" fontId="50" fillId="47" borderId="0" xfId="0" applyFont="1" applyFill="1" applyAlignment="1">
      <alignment vertical="center"/>
    </xf>
    <xf numFmtId="3" fontId="50" fillId="47" borderId="0" xfId="0" applyNumberFormat="1" applyFont="1" applyFill="1" applyAlignment="1">
      <alignment horizontal="center" vertical="center"/>
    </xf>
    <xf numFmtId="0" fontId="52" fillId="47" borderId="0" xfId="0" applyFont="1" applyFill="1" applyAlignment="1">
      <alignment vertical="center"/>
    </xf>
    <xf numFmtId="0" fontId="53" fillId="47" borderId="0" xfId="0" applyFont="1" applyFill="1" applyAlignment="1">
      <alignment vertical="center"/>
    </xf>
    <xf numFmtId="3" fontId="53" fillId="47" borderId="0" xfId="0" applyNumberFormat="1" applyFont="1" applyFill="1" applyAlignment="1">
      <alignment horizontal="center" vertical="center"/>
    </xf>
    <xf numFmtId="3" fontId="51" fillId="47" borderId="0" xfId="0" applyNumberFormat="1" applyFont="1" applyFill="1" applyAlignment="1">
      <alignment horizontal="center" vertical="center"/>
    </xf>
    <xf numFmtId="0" fontId="53" fillId="47" borderId="2" xfId="0" applyFont="1" applyFill="1" applyBorder="1" applyAlignment="1">
      <alignment vertical="center"/>
    </xf>
    <xf numFmtId="169" fontId="53" fillId="47" borderId="2" xfId="0" applyNumberFormat="1" applyFont="1" applyFill="1" applyBorder="1" applyAlignment="1">
      <alignment horizontal="center" vertical="center"/>
    </xf>
    <xf numFmtId="0" fontId="78" fillId="2" borderId="0" xfId="0" applyFont="1" applyFill="1" applyAlignment="1">
      <alignment vertical="center"/>
    </xf>
    <xf numFmtId="10" fontId="36" fillId="2" borderId="0" xfId="3" applyNumberFormat="1" applyFont="1" applyFill="1" applyAlignment="1">
      <alignment vertical="center"/>
    </xf>
    <xf numFmtId="0" fontId="36" fillId="2" borderId="12" xfId="0" applyFont="1" applyFill="1" applyBorder="1" applyAlignment="1">
      <alignment vertical="center"/>
    </xf>
    <xf numFmtId="0" fontId="36" fillId="2" borderId="13" xfId="0" applyFont="1" applyFill="1" applyBorder="1" applyAlignment="1">
      <alignment vertical="center"/>
    </xf>
    <xf numFmtId="0" fontId="36" fillId="2" borderId="14" xfId="0" applyFont="1" applyFill="1" applyBorder="1" applyAlignment="1">
      <alignment vertical="center"/>
    </xf>
    <xf numFmtId="0" fontId="81" fillId="2" borderId="0" xfId="0" applyFont="1" applyFill="1" applyAlignment="1">
      <alignment vertical="center"/>
    </xf>
    <xf numFmtId="0" fontId="82" fillId="2" borderId="0" xfId="0" applyFont="1" applyFill="1" applyAlignment="1">
      <alignment vertical="center"/>
    </xf>
    <xf numFmtId="0" fontId="82" fillId="5" borderId="0" xfId="0" applyFont="1" applyFill="1" applyAlignment="1">
      <alignment vertical="center"/>
    </xf>
    <xf numFmtId="0" fontId="83" fillId="5" borderId="0" xfId="0" applyFont="1" applyFill="1" applyAlignment="1">
      <alignment horizontal="center" vertical="center"/>
    </xf>
    <xf numFmtId="0" fontId="84" fillId="2" borderId="0" xfId="0" applyFont="1" applyFill="1" applyAlignment="1">
      <alignment vertical="center"/>
    </xf>
    <xf numFmtId="0" fontId="36" fillId="5" borderId="0" xfId="0" applyFont="1" applyFill="1" applyAlignment="1">
      <alignment vertical="center"/>
    </xf>
    <xf numFmtId="0" fontId="46" fillId="5" borderId="0" xfId="0" applyFont="1" applyFill="1" applyAlignment="1">
      <alignment horizontal="center" vertical="center"/>
    </xf>
    <xf numFmtId="0" fontId="44" fillId="5" borderId="0" xfId="0" applyFont="1" applyFill="1" applyAlignment="1">
      <alignment horizontal="right" vertical="center" indent="1"/>
    </xf>
    <xf numFmtId="0" fontId="46" fillId="5" borderId="0" xfId="0" applyFont="1" applyFill="1" applyAlignment="1">
      <alignment horizontal="right" vertical="center" indent="1"/>
    </xf>
    <xf numFmtId="0" fontId="46" fillId="5" borderId="0" xfId="0" applyFont="1" applyFill="1" applyAlignment="1">
      <alignment horizontal="right" vertical="center" wrapText="1" indent="1"/>
    </xf>
    <xf numFmtId="0" fontId="73" fillId="2" borderId="0" xfId="0" applyFont="1" applyFill="1" applyAlignment="1">
      <alignment horizontal="left" vertical="center"/>
    </xf>
    <xf numFmtId="4" fontId="73" fillId="2" borderId="0" xfId="0" applyNumberFormat="1" applyFont="1" applyFill="1" applyAlignment="1">
      <alignment horizontal="right" vertical="center" indent="1"/>
    </xf>
    <xf numFmtId="169" fontId="73" fillId="2" borderId="0" xfId="0" applyNumberFormat="1" applyFont="1" applyFill="1" applyAlignment="1">
      <alignment horizontal="right" vertical="center" indent="1"/>
    </xf>
    <xf numFmtId="169" fontId="85" fillId="2" borderId="0" xfId="0" applyNumberFormat="1" applyFont="1" applyFill="1" applyAlignment="1">
      <alignment horizontal="right" vertical="center" indent="1"/>
    </xf>
    <xf numFmtId="0" fontId="73" fillId="2" borderId="0" xfId="0" applyFont="1" applyFill="1" applyAlignment="1">
      <alignment horizontal="right" vertical="center" indent="1"/>
    </xf>
    <xf numFmtId="0" fontId="73" fillId="2" borderId="0" xfId="0" applyFont="1" applyFill="1" applyAlignment="1">
      <alignment horizontal="right" vertical="center"/>
    </xf>
    <xf numFmtId="169" fontId="73" fillId="2" borderId="0" xfId="3" applyNumberFormat="1" applyFont="1" applyFill="1" applyAlignment="1">
      <alignment horizontal="right" vertical="center" indent="1"/>
    </xf>
    <xf numFmtId="169" fontId="85" fillId="2" borderId="0" xfId="3" applyNumberFormat="1" applyFont="1" applyFill="1" applyAlignment="1">
      <alignment horizontal="right" vertical="center" indent="1"/>
    </xf>
    <xf numFmtId="3" fontId="73" fillId="2" borderId="0" xfId="0" applyNumberFormat="1" applyFont="1" applyFill="1" applyAlignment="1">
      <alignment horizontal="right" vertical="center" indent="1"/>
    </xf>
    <xf numFmtId="0" fontId="72" fillId="2" borderId="6" xfId="0" applyFont="1" applyFill="1" applyBorder="1" applyAlignment="1">
      <alignment horizontal="left" vertical="center"/>
    </xf>
    <xf numFmtId="4" fontId="72" fillId="2" borderId="6" xfId="0" applyNumberFormat="1" applyFont="1" applyFill="1" applyBorder="1" applyAlignment="1">
      <alignment horizontal="right" vertical="center" indent="1"/>
    </xf>
    <xf numFmtId="169" fontId="72" fillId="2" borderId="6" xfId="0" applyNumberFormat="1" applyFont="1" applyFill="1" applyBorder="1" applyAlignment="1">
      <alignment horizontal="right" vertical="center" indent="1"/>
    </xf>
    <xf numFmtId="0" fontId="72" fillId="2" borderId="6" xfId="0" applyFont="1" applyFill="1" applyBorder="1" applyAlignment="1">
      <alignment horizontal="right" vertical="center" indent="1"/>
    </xf>
    <xf numFmtId="0" fontId="86" fillId="2" borderId="0" xfId="0" applyFont="1" applyFill="1" applyAlignment="1">
      <alignment vertical="center"/>
    </xf>
    <xf numFmtId="4" fontId="36" fillId="2" borderId="0" xfId="0" applyNumberFormat="1" applyFont="1" applyFill="1" applyAlignment="1">
      <alignment vertical="center"/>
    </xf>
    <xf numFmtId="175" fontId="36" fillId="2" borderId="0" xfId="0" applyNumberFormat="1" applyFont="1" applyFill="1" applyAlignment="1">
      <alignment vertical="center"/>
    </xf>
    <xf numFmtId="169" fontId="36" fillId="2" borderId="0" xfId="3" applyNumberFormat="1" applyFont="1" applyFill="1" applyAlignment="1">
      <alignment vertical="center"/>
    </xf>
    <xf numFmtId="0" fontId="87" fillId="2" borderId="0" xfId="0" applyFont="1" applyFill="1" applyAlignment="1">
      <alignment vertical="center"/>
    </xf>
    <xf numFmtId="4" fontId="87" fillId="2" borderId="0" xfId="0" applyNumberFormat="1" applyFont="1" applyFill="1" applyAlignment="1">
      <alignment vertical="center"/>
    </xf>
    <xf numFmtId="0" fontId="36" fillId="2" borderId="0" xfId="0" applyFont="1" applyFill="1" applyAlignment="1">
      <alignment horizontal="right" vertical="center"/>
    </xf>
    <xf numFmtId="2" fontId="36" fillId="2" borderId="0" xfId="0" applyNumberFormat="1" applyFont="1" applyFill="1" applyAlignment="1">
      <alignment vertical="center"/>
    </xf>
    <xf numFmtId="0" fontId="88" fillId="2" borderId="0" xfId="0" applyFont="1" applyFill="1" applyAlignment="1">
      <alignment vertical="center"/>
    </xf>
    <xf numFmtId="0" fontId="49" fillId="2" borderId="0" xfId="0" applyFont="1" applyFill="1" applyAlignment="1">
      <alignment vertical="center"/>
    </xf>
    <xf numFmtId="0" fontId="89" fillId="0" borderId="0" xfId="0" applyFont="1" applyAlignment="1">
      <alignment vertical="center"/>
    </xf>
    <xf numFmtId="0" fontId="90" fillId="46" borderId="0" xfId="0" applyFont="1" applyFill="1" applyAlignment="1">
      <alignment vertical="center"/>
    </xf>
    <xf numFmtId="0" fontId="89" fillId="46" borderId="0" xfId="0" applyFont="1" applyFill="1" applyAlignment="1">
      <alignment vertical="center"/>
    </xf>
    <xf numFmtId="0" fontId="90" fillId="46" borderId="0" xfId="0" applyFont="1" applyFill="1" applyAlignment="1">
      <alignment horizontal="center" vertical="center"/>
    </xf>
    <xf numFmtId="0" fontId="47" fillId="46" borderId="0" xfId="0" applyFont="1" applyFill="1" applyAlignment="1">
      <alignment horizontal="right" vertical="center" wrapText="1"/>
    </xf>
    <xf numFmtId="0" fontId="90" fillId="46" borderId="0" xfId="0" applyFont="1" applyFill="1" applyAlignment="1">
      <alignment horizontal="right" vertical="center" wrapText="1"/>
    </xf>
    <xf numFmtId="0" fontId="90" fillId="46" borderId="0" xfId="0" applyFont="1" applyFill="1" applyAlignment="1">
      <alignment horizontal="center" vertical="center" wrapText="1"/>
    </xf>
    <xf numFmtId="0" fontId="89" fillId="46" borderId="0" xfId="0" applyFont="1" applyFill="1" applyAlignment="1">
      <alignment vertical="center" wrapText="1"/>
    </xf>
    <xf numFmtId="0" fontId="90" fillId="46" borderId="8" xfId="0" applyFont="1" applyFill="1" applyBorder="1" applyAlignment="1">
      <alignment horizontal="center" vertical="center" wrapText="1"/>
    </xf>
    <xf numFmtId="0" fontId="89" fillId="0" borderId="0" xfId="0" applyFont="1" applyAlignment="1">
      <alignment vertical="center" wrapText="1"/>
    </xf>
    <xf numFmtId="169" fontId="91" fillId="2" borderId="0" xfId="0" applyNumberFormat="1" applyFont="1" applyFill="1" applyAlignment="1">
      <alignment horizontal="center" vertical="center"/>
    </xf>
    <xf numFmtId="169" fontId="73" fillId="2" borderId="0" xfId="0" applyNumberFormat="1" applyFont="1" applyFill="1" applyAlignment="1">
      <alignment horizontal="center" vertical="center"/>
    </xf>
    <xf numFmtId="175" fontId="73" fillId="2" borderId="0" xfId="0" applyNumberFormat="1" applyFont="1" applyFill="1" applyAlignment="1">
      <alignment horizontal="center" vertical="center"/>
    </xf>
    <xf numFmtId="187" fontId="73" fillId="2" borderId="0" xfId="0" applyNumberFormat="1" applyFont="1" applyFill="1" applyAlignment="1">
      <alignment horizontal="center" vertical="center"/>
    </xf>
    <xf numFmtId="187" fontId="73" fillId="2" borderId="0" xfId="3" applyNumberFormat="1" applyFont="1" applyFill="1" applyAlignment="1">
      <alignment horizontal="center" vertical="center"/>
    </xf>
    <xf numFmtId="187" fontId="73" fillId="2" borderId="0" xfId="0" applyNumberFormat="1" applyFont="1" applyFill="1" applyAlignment="1">
      <alignment horizontal="right" vertical="center" indent="1"/>
    </xf>
    <xf numFmtId="4" fontId="73" fillId="2" borderId="0" xfId="0" applyNumberFormat="1" applyFont="1" applyFill="1" applyAlignment="1">
      <alignment horizontal="center" vertical="center"/>
    </xf>
    <xf numFmtId="175" fontId="72" fillId="2" borderId="52" xfId="0" applyNumberFormat="1" applyFont="1" applyFill="1" applyBorder="1" applyAlignment="1">
      <alignment horizontal="center" vertical="center"/>
    </xf>
    <xf numFmtId="2" fontId="72" fillId="2" borderId="6" xfId="0" applyNumberFormat="1" applyFont="1" applyFill="1" applyBorder="1" applyAlignment="1">
      <alignment horizontal="right" vertical="center" indent="1"/>
    </xf>
    <xf numFmtId="0" fontId="92" fillId="2" borderId="0" xfId="0" applyFont="1" applyFill="1" applyAlignment="1">
      <alignment vertical="center"/>
    </xf>
    <xf numFmtId="0" fontId="93" fillId="0" borderId="0" xfId="0" applyFont="1" applyAlignment="1">
      <alignment vertical="center" wrapText="1"/>
    </xf>
    <xf numFmtId="0" fontId="94" fillId="0" borderId="0" xfId="0" applyFont="1" applyAlignment="1">
      <alignment vertical="center"/>
    </xf>
    <xf numFmtId="0" fontId="81" fillId="5" borderId="0" xfId="0" applyFont="1" applyFill="1" applyAlignment="1">
      <alignment vertical="center"/>
    </xf>
    <xf numFmtId="177" fontId="36" fillId="2" borderId="0" xfId="0" applyNumberFormat="1" applyFont="1" applyFill="1" applyAlignment="1">
      <alignment vertical="center"/>
    </xf>
    <xf numFmtId="175" fontId="73" fillId="2" borderId="0" xfId="3" applyNumberFormat="1" applyFont="1" applyFill="1" applyAlignment="1">
      <alignment horizontal="center" vertical="center"/>
    </xf>
    <xf numFmtId="3" fontId="52" fillId="47" borderId="0" xfId="0" applyNumberFormat="1" applyFont="1" applyFill="1" applyAlignment="1">
      <alignment horizontal="center" vertical="center"/>
    </xf>
    <xf numFmtId="0" fontId="96" fillId="2" borderId="0" xfId="0" applyFont="1" applyFill="1"/>
    <xf numFmtId="0" fontId="97" fillId="2" borderId="0" xfId="0" applyFont="1" applyFill="1" applyAlignment="1">
      <alignment vertical="center"/>
    </xf>
    <xf numFmtId="0" fontId="98" fillId="7" borderId="23" xfId="0" applyFont="1" applyFill="1" applyBorder="1" applyAlignment="1">
      <alignment vertical="center"/>
    </xf>
    <xf numFmtId="0" fontId="98" fillId="7" borderId="24" xfId="0" applyFont="1" applyFill="1" applyBorder="1" applyAlignment="1">
      <alignment vertical="center"/>
    </xf>
    <xf numFmtId="0" fontId="40" fillId="7" borderId="24" xfId="0" applyFont="1" applyFill="1" applyBorder="1" applyAlignment="1">
      <alignment horizontal="right" vertical="center" indent="1"/>
    </xf>
    <xf numFmtId="0" fontId="99" fillId="2" borderId="0" xfId="0" applyFont="1" applyFill="1" applyAlignment="1">
      <alignment horizontal="center" vertical="center"/>
    </xf>
    <xf numFmtId="0" fontId="36" fillId="2" borderId="16" xfId="0" applyFont="1" applyFill="1" applyBorder="1" applyAlignment="1">
      <alignment vertical="center"/>
    </xf>
    <xf numFmtId="0" fontId="36" fillId="2" borderId="17" xfId="0" applyFont="1" applyFill="1" applyBorder="1" applyAlignment="1">
      <alignment vertical="center"/>
    </xf>
    <xf numFmtId="3" fontId="36" fillId="2" borderId="17" xfId="0" applyNumberFormat="1" applyFont="1" applyFill="1" applyBorder="1" applyAlignment="1">
      <alignment horizontal="right" vertical="center" indent="1"/>
    </xf>
    <xf numFmtId="4" fontId="36" fillId="2" borderId="17" xfId="0" applyNumberFormat="1" applyFont="1" applyFill="1" applyBorder="1" applyAlignment="1">
      <alignment horizontal="right" vertical="center" indent="1"/>
    </xf>
    <xf numFmtId="4" fontId="36" fillId="2" borderId="18" xfId="0" applyNumberFormat="1" applyFont="1" applyFill="1" applyBorder="1" applyAlignment="1">
      <alignment horizontal="right" vertical="center" indent="1"/>
    </xf>
    <xf numFmtId="3" fontId="36" fillId="2" borderId="0" xfId="0" applyNumberFormat="1" applyFont="1" applyFill="1" applyAlignment="1">
      <alignment horizontal="center" vertical="center"/>
    </xf>
    <xf numFmtId="0" fontId="36" fillId="2" borderId="19" xfId="0" applyFont="1" applyFill="1" applyBorder="1" applyAlignment="1">
      <alignment vertical="center"/>
    </xf>
    <xf numFmtId="3" fontId="36" fillId="2" borderId="0" xfId="0" applyNumberFormat="1" applyFont="1" applyFill="1" applyAlignment="1">
      <alignment horizontal="right" vertical="center" indent="1"/>
    </xf>
    <xf numFmtId="171" fontId="36" fillId="2" borderId="0" xfId="0" applyNumberFormat="1" applyFont="1" applyFill="1" applyAlignment="1">
      <alignment horizontal="right" vertical="center" indent="1"/>
    </xf>
    <xf numFmtId="180" fontId="36" fillId="2" borderId="0" xfId="0" applyNumberFormat="1" applyFont="1" applyFill="1" applyAlignment="1">
      <alignment horizontal="right" vertical="center" indent="1"/>
    </xf>
    <xf numFmtId="169" fontId="36" fillId="2" borderId="20" xfId="3" applyNumberFormat="1" applyFont="1" applyFill="1" applyBorder="1" applyAlignment="1">
      <alignment horizontal="right" vertical="center" indent="1"/>
    </xf>
    <xf numFmtId="0" fontId="36" fillId="2" borderId="21" xfId="0" applyFont="1" applyFill="1" applyBorder="1" applyAlignment="1">
      <alignment vertical="center"/>
    </xf>
    <xf numFmtId="0" fontId="36" fillId="2" borderId="15" xfId="0" applyFont="1" applyFill="1" applyBorder="1" applyAlignment="1">
      <alignment vertical="center"/>
    </xf>
    <xf numFmtId="3" fontId="36" fillId="2" borderId="15" xfId="0" applyNumberFormat="1" applyFont="1" applyFill="1" applyBorder="1" applyAlignment="1">
      <alignment horizontal="right" vertical="center" indent="1"/>
    </xf>
    <xf numFmtId="180" fontId="36" fillId="2" borderId="15" xfId="0" applyNumberFormat="1" applyFont="1" applyFill="1" applyBorder="1" applyAlignment="1">
      <alignment horizontal="right" vertical="center" indent="1"/>
    </xf>
    <xf numFmtId="180" fontId="36" fillId="2" borderId="17" xfId="0" applyNumberFormat="1" applyFont="1" applyFill="1" applyBorder="1" applyAlignment="1">
      <alignment horizontal="right" vertical="center" indent="1"/>
    </xf>
    <xf numFmtId="169" fontId="36" fillId="2" borderId="18" xfId="3" applyNumberFormat="1" applyFont="1" applyFill="1" applyBorder="1" applyAlignment="1">
      <alignment horizontal="right" vertical="center" indent="1"/>
    </xf>
    <xf numFmtId="169" fontId="36" fillId="2" borderId="22" xfId="3" applyNumberFormat="1" applyFont="1" applyFill="1" applyBorder="1" applyAlignment="1">
      <alignment horizontal="right" vertical="center" indent="1"/>
    </xf>
    <xf numFmtId="3" fontId="33" fillId="2" borderId="0" xfId="0" applyNumberFormat="1" applyFont="1" applyFill="1" applyAlignment="1">
      <alignment horizontal="center" vertical="center"/>
    </xf>
    <xf numFmtId="171" fontId="73" fillId="2" borderId="0" xfId="0" applyNumberFormat="1" applyFont="1" applyFill="1" applyAlignment="1">
      <alignment horizontal="right" vertical="center" indent="1"/>
    </xf>
    <xf numFmtId="171" fontId="72" fillId="2" borderId="6" xfId="0" applyNumberFormat="1" applyFont="1" applyFill="1" applyBorder="1" applyAlignment="1">
      <alignment horizontal="right" vertical="center" indent="1"/>
    </xf>
    <xf numFmtId="0" fontId="94" fillId="2" borderId="0" xfId="0" applyFont="1" applyFill="1" applyAlignment="1">
      <alignment vertical="center"/>
    </xf>
    <xf numFmtId="169" fontId="36" fillId="2" borderId="0" xfId="3" applyNumberFormat="1" applyFont="1" applyFill="1" applyAlignment="1">
      <alignment horizontal="center" vertical="center"/>
    </xf>
    <xf numFmtId="169" fontId="36" fillId="2" borderId="0" xfId="0" applyNumberFormat="1" applyFont="1" applyFill="1" applyAlignment="1">
      <alignment vertical="center"/>
    </xf>
    <xf numFmtId="0" fontId="40" fillId="48" borderId="0" xfId="0" applyFont="1" applyFill="1" applyAlignment="1">
      <alignment vertical="center" wrapText="1"/>
    </xf>
    <xf numFmtId="0" fontId="39" fillId="49" borderId="54" xfId="0" applyFont="1" applyFill="1" applyBorder="1" applyAlignment="1">
      <alignment vertical="center"/>
    </xf>
    <xf numFmtId="0" fontId="36" fillId="49" borderId="0" xfId="0" applyFont="1" applyFill="1" applyAlignment="1">
      <alignment vertical="center"/>
    </xf>
    <xf numFmtId="0" fontId="39" fillId="49" borderId="54" xfId="0" applyFont="1" applyFill="1" applyBorder="1" applyAlignment="1">
      <alignment horizontal="right" vertical="center"/>
    </xf>
    <xf numFmtId="192" fontId="36" fillId="49" borderId="0" xfId="0" applyNumberFormat="1" applyFont="1" applyFill="1" applyAlignment="1">
      <alignment horizontal="right" vertical="center"/>
    </xf>
    <xf numFmtId="0" fontId="39" fillId="49" borderId="0" xfId="0" applyFont="1" applyFill="1" applyAlignment="1">
      <alignment vertical="center"/>
    </xf>
    <xf numFmtId="0" fontId="39" fillId="49" borderId="0" xfId="0" applyFont="1" applyFill="1" applyAlignment="1">
      <alignment horizontal="right" vertical="center" wrapText="1"/>
    </xf>
    <xf numFmtId="2" fontId="36" fillId="49" borderId="0" xfId="0" applyNumberFormat="1" applyFont="1" applyFill="1" applyAlignment="1">
      <alignment horizontal="center" vertical="center"/>
    </xf>
    <xf numFmtId="0" fontId="34" fillId="49" borderId="0" xfId="0" applyFont="1" applyFill="1" applyAlignment="1">
      <alignment vertical="center"/>
    </xf>
    <xf numFmtId="0" fontId="42" fillId="49" borderId="0" xfId="0" applyFont="1" applyFill="1" applyAlignment="1">
      <alignment horizontal="center" vertical="center"/>
    </xf>
    <xf numFmtId="0" fontId="54" fillId="49" borderId="0" xfId="0" applyFont="1" applyFill="1" applyAlignment="1">
      <alignment vertical="center"/>
    </xf>
    <xf numFmtId="187" fontId="100" fillId="2" borderId="0" xfId="0" applyNumberFormat="1" applyFont="1" applyFill="1" applyAlignment="1">
      <alignment horizontal="center" vertical="center"/>
    </xf>
    <xf numFmtId="169" fontId="100" fillId="2" borderId="0" xfId="0" applyNumberFormat="1" applyFont="1" applyFill="1" applyAlignment="1">
      <alignment horizontal="right" vertical="center" indent="1"/>
    </xf>
    <xf numFmtId="169" fontId="100" fillId="2" borderId="0" xfId="3" applyNumberFormat="1" applyFont="1" applyFill="1" applyAlignment="1">
      <alignment horizontal="right" vertical="center" indent="1"/>
    </xf>
    <xf numFmtId="0" fontId="102" fillId="2" borderId="0" xfId="0" applyFont="1" applyFill="1"/>
    <xf numFmtId="0" fontId="36" fillId="49" borderId="54" xfId="0" applyFont="1" applyFill="1" applyBorder="1" applyAlignment="1">
      <alignment vertical="center"/>
    </xf>
    <xf numFmtId="0" fontId="103" fillId="2" borderId="0" xfId="0" applyFont="1" applyFill="1" applyAlignment="1">
      <alignment vertical="center"/>
    </xf>
    <xf numFmtId="0" fontId="36" fillId="49" borderId="54" xfId="0" applyFont="1" applyFill="1" applyBorder="1" applyAlignment="1">
      <alignment horizontal="center" vertical="center"/>
    </xf>
    <xf numFmtId="0" fontId="104" fillId="49" borderId="0" xfId="0" applyFont="1" applyFill="1" applyAlignment="1">
      <alignment horizontal="center" vertical="center"/>
    </xf>
    <xf numFmtId="175" fontId="72" fillId="2" borderId="0" xfId="0" applyNumberFormat="1" applyFont="1" applyFill="1" applyAlignment="1">
      <alignment horizontal="right" vertical="center"/>
    </xf>
    <xf numFmtId="175" fontId="72" fillId="2" borderId="0" xfId="0" applyNumberFormat="1" applyFont="1" applyFill="1" applyAlignment="1">
      <alignment horizontal="right" vertical="center" indent="1"/>
    </xf>
    <xf numFmtId="175" fontId="39" fillId="2" borderId="0" xfId="0" applyNumberFormat="1" applyFont="1" applyFill="1" applyAlignment="1">
      <alignment vertical="center"/>
    </xf>
    <xf numFmtId="175" fontId="101" fillId="2" borderId="52" xfId="0" applyNumberFormat="1" applyFont="1" applyFill="1" applyBorder="1" applyAlignment="1">
      <alignment horizontal="center" vertical="center"/>
    </xf>
    <xf numFmtId="175" fontId="72" fillId="2" borderId="0" xfId="0" applyNumberFormat="1" applyFont="1" applyFill="1" applyAlignment="1">
      <alignment horizontal="center" vertical="center"/>
    </xf>
    <xf numFmtId="175" fontId="72" fillId="2" borderId="0" xfId="3" applyNumberFormat="1" applyFont="1" applyFill="1" applyAlignment="1">
      <alignment horizontal="center" vertical="center"/>
    </xf>
    <xf numFmtId="0" fontId="36" fillId="49" borderId="55" xfId="0" applyFont="1" applyFill="1" applyBorder="1" applyAlignment="1">
      <alignment vertical="center"/>
    </xf>
    <xf numFmtId="0" fontId="36" fillId="49" borderId="56" xfId="0" applyFont="1" applyFill="1" applyBorder="1" applyAlignment="1">
      <alignment vertical="center"/>
    </xf>
    <xf numFmtId="0" fontId="36" fillId="49" borderId="57" xfId="0" applyFont="1" applyFill="1" applyBorder="1" applyAlignment="1">
      <alignment vertical="center"/>
    </xf>
    <xf numFmtId="192" fontId="36" fillId="49" borderId="55" xfId="0" applyNumberFormat="1" applyFont="1" applyFill="1" applyBorder="1" applyAlignment="1">
      <alignment horizontal="center" vertical="center"/>
    </xf>
    <xf numFmtId="192" fontId="36" fillId="49" borderId="56" xfId="0" applyNumberFormat="1" applyFont="1" applyFill="1" applyBorder="1" applyAlignment="1">
      <alignment horizontal="center" vertical="center"/>
    </xf>
    <xf numFmtId="192" fontId="36" fillId="49" borderId="57" xfId="0" applyNumberFormat="1" applyFont="1" applyFill="1" applyBorder="1" applyAlignment="1">
      <alignment horizontal="center" vertical="center"/>
    </xf>
    <xf numFmtId="0" fontId="90" fillId="46" borderId="8" xfId="0" applyFont="1" applyFill="1" applyBorder="1" applyAlignment="1">
      <alignment vertical="center" wrapText="1"/>
    </xf>
    <xf numFmtId="0" fontId="58" fillId="0" borderId="0" xfId="0" applyFont="1"/>
    <xf numFmtId="192" fontId="36" fillId="0" borderId="0" xfId="0" applyNumberFormat="1" applyFont="1"/>
    <xf numFmtId="2" fontId="36" fillId="0" borderId="0" xfId="0" applyNumberFormat="1" applyFont="1"/>
    <xf numFmtId="0" fontId="36" fillId="0" borderId="0" xfId="0" applyFont="1" applyAlignment="1">
      <alignment horizontal="center"/>
    </xf>
    <xf numFmtId="0" fontId="58" fillId="0" borderId="0" xfId="0" applyFont="1" applyAlignment="1">
      <alignment horizontal="center"/>
    </xf>
    <xf numFmtId="0" fontId="94" fillId="0" borderId="0" xfId="0" applyFont="1" applyAlignment="1">
      <alignment horizontal="center"/>
    </xf>
    <xf numFmtId="9" fontId="36" fillId="0" borderId="0" xfId="3" applyFont="1" applyAlignment="1">
      <alignment horizontal="center"/>
    </xf>
    <xf numFmtId="0" fontId="4" fillId="51" borderId="0" xfId="0" applyFont="1" applyFill="1" applyAlignment="1">
      <alignment horizontal="center" vertical="center"/>
    </xf>
    <xf numFmtId="0" fontId="39" fillId="2" borderId="0" xfId="0" applyFont="1" applyFill="1" applyAlignment="1">
      <alignment horizontal="center" vertical="center"/>
    </xf>
    <xf numFmtId="0" fontId="46" fillId="52" borderId="0" xfId="0" applyFont="1" applyFill="1" applyAlignment="1">
      <alignment horizontal="right" vertical="center" indent="1"/>
    </xf>
    <xf numFmtId="0" fontId="40" fillId="50" borderId="0" xfId="0" applyFont="1" applyFill="1" applyAlignment="1">
      <alignment vertical="center"/>
    </xf>
    <xf numFmtId="0" fontId="40" fillId="50" borderId="0" xfId="0" applyFont="1" applyFill="1" applyAlignment="1">
      <alignment horizontal="center" vertical="center"/>
    </xf>
    <xf numFmtId="0" fontId="56" fillId="50" borderId="0" xfId="0" applyFont="1" applyFill="1" applyAlignment="1">
      <alignment horizontal="center"/>
    </xf>
    <xf numFmtId="0" fontId="46" fillId="52" borderId="0" xfId="0" applyFont="1" applyFill="1" applyAlignment="1">
      <alignment horizontal="center" vertical="center"/>
    </xf>
    <xf numFmtId="0" fontId="36" fillId="0" borderId="52" xfId="0" applyFont="1" applyBorder="1"/>
    <xf numFmtId="2" fontId="36" fillId="0" borderId="52" xfId="0" applyNumberFormat="1" applyFont="1" applyBorder="1"/>
    <xf numFmtId="0" fontId="39" fillId="0" borderId="52" xfId="0" applyFont="1" applyBorder="1"/>
    <xf numFmtId="0" fontId="94" fillId="49" borderId="0" xfId="0" applyFont="1" applyFill="1" applyAlignment="1">
      <alignment horizontal="center"/>
    </xf>
    <xf numFmtId="2" fontId="36" fillId="49" borderId="0" xfId="0" applyNumberFormat="1" applyFont="1" applyFill="1"/>
    <xf numFmtId="9" fontId="36" fillId="49" borderId="0" xfId="3" applyFont="1" applyFill="1" applyAlignment="1">
      <alignment horizontal="center"/>
    </xf>
    <xf numFmtId="192" fontId="36" fillId="49" borderId="0" xfId="0" applyNumberFormat="1" applyFont="1" applyFill="1"/>
    <xf numFmtId="0" fontId="39" fillId="49" borderId="0" xfId="0" applyFont="1" applyFill="1"/>
    <xf numFmtId="166" fontId="39" fillId="0" borderId="0" xfId="4" applyFont="1"/>
    <xf numFmtId="0" fontId="3" fillId="51" borderId="0" xfId="0" applyFont="1" applyFill="1" applyAlignment="1">
      <alignment horizontal="center" vertical="center"/>
    </xf>
    <xf numFmtId="0" fontId="36" fillId="3" borderId="0" xfId="0" applyFont="1" applyFill="1" applyAlignment="1">
      <alignment horizontal="center" vertical="center"/>
    </xf>
    <xf numFmtId="0" fontId="37" fillId="2" borderId="0" xfId="0" applyFont="1" applyFill="1" applyAlignment="1">
      <alignment horizontal="center" vertical="center"/>
    </xf>
    <xf numFmtId="0" fontId="36" fillId="2" borderId="0" xfId="0" applyFont="1" applyFill="1" applyAlignment="1">
      <alignment horizontal="center" vertical="center" wrapText="1"/>
    </xf>
    <xf numFmtId="0" fontId="40" fillId="2" borderId="0" xfId="0" applyFont="1" applyFill="1" applyAlignment="1">
      <alignment horizontal="center"/>
    </xf>
    <xf numFmtId="0" fontId="40" fillId="2" borderId="0" xfId="0" applyFont="1" applyFill="1" applyAlignment="1">
      <alignment horizontal="center" vertical="top" wrapText="1"/>
    </xf>
    <xf numFmtId="170" fontId="7" fillId="2" borderId="0" xfId="0" applyNumberFormat="1" applyFont="1" applyFill="1" applyAlignment="1">
      <alignment horizontal="center" vertical="center"/>
    </xf>
    <xf numFmtId="3" fontId="45" fillId="2" borderId="0" xfId="0" applyNumberFormat="1" applyFont="1" applyFill="1" applyAlignment="1">
      <alignment horizontal="center" vertical="center" wrapText="1"/>
    </xf>
    <xf numFmtId="172" fontId="62" fillId="2" borderId="0" xfId="3" applyNumberFormat="1" applyFont="1" applyFill="1" applyBorder="1" applyAlignment="1">
      <alignment horizontal="center" vertical="center"/>
    </xf>
    <xf numFmtId="169" fontId="62" fillId="2" borderId="0" xfId="3" applyNumberFormat="1" applyFont="1" applyFill="1" applyBorder="1" applyAlignment="1">
      <alignment horizontal="center" vertical="center"/>
    </xf>
    <xf numFmtId="172" fontId="64" fillId="2" borderId="0" xfId="3" applyNumberFormat="1" applyFont="1" applyFill="1" applyBorder="1" applyAlignment="1">
      <alignment horizontal="center" vertical="center"/>
    </xf>
    <xf numFmtId="169" fontId="64" fillId="2" borderId="0" xfId="3" applyNumberFormat="1" applyFont="1" applyFill="1" applyBorder="1" applyAlignment="1">
      <alignment horizontal="center" vertical="center"/>
    </xf>
    <xf numFmtId="9" fontId="62" fillId="2" borderId="0" xfId="3" applyFont="1" applyFill="1" applyBorder="1" applyAlignment="1">
      <alignment horizontal="center" vertical="center"/>
    </xf>
    <xf numFmtId="10" fontId="62" fillId="2" borderId="0" xfId="3" applyNumberFormat="1" applyFont="1" applyFill="1" applyBorder="1" applyAlignment="1">
      <alignment horizontal="center" vertical="center"/>
    </xf>
    <xf numFmtId="0" fontId="104" fillId="2" borderId="0" xfId="0" applyFont="1" applyFill="1" applyAlignment="1">
      <alignment horizontal="left" vertical="center"/>
    </xf>
    <xf numFmtId="0" fontId="72" fillId="49" borderId="0" xfId="0" applyFont="1" applyFill="1" applyAlignment="1">
      <alignment horizontal="left" vertical="center"/>
    </xf>
    <xf numFmtId="0" fontId="72" fillId="49" borderId="0" xfId="0" applyFont="1" applyFill="1" applyAlignment="1">
      <alignment horizontal="center" vertical="center"/>
    </xf>
    <xf numFmtId="0" fontId="73" fillId="49" borderId="0" xfId="0" applyFont="1" applyFill="1" applyAlignment="1">
      <alignment horizontal="center" vertical="center"/>
    </xf>
    <xf numFmtId="0" fontId="3" fillId="2" borderId="0" xfId="0" applyFont="1" applyFill="1" applyAlignment="1">
      <alignment vertical="center"/>
    </xf>
    <xf numFmtId="178" fontId="3" fillId="2" borderId="0" xfId="3" applyNumberFormat="1" applyFont="1" applyFill="1" applyBorder="1" applyAlignment="1">
      <alignment horizontal="center" vertical="center"/>
    </xf>
    <xf numFmtId="194" fontId="3" fillId="2" borderId="0" xfId="3" applyNumberFormat="1" applyFont="1" applyFill="1" applyAlignment="1">
      <alignment horizontal="center" vertical="center"/>
    </xf>
    <xf numFmtId="194" fontId="3" fillId="2" borderId="0" xfId="3" applyNumberFormat="1" applyFont="1" applyFill="1" applyBorder="1" applyAlignment="1">
      <alignment horizontal="center" vertical="center"/>
    </xf>
    <xf numFmtId="0" fontId="3" fillId="2" borderId="15" xfId="0" applyFont="1" applyFill="1" applyBorder="1" applyAlignment="1">
      <alignment vertical="center"/>
    </xf>
    <xf numFmtId="178" fontId="3" fillId="2" borderId="15" xfId="3" applyNumberFormat="1" applyFont="1" applyFill="1" applyBorder="1" applyAlignment="1">
      <alignment horizontal="center" vertical="center"/>
    </xf>
    <xf numFmtId="194" fontId="3" fillId="2" borderId="15" xfId="3" applyNumberFormat="1" applyFont="1" applyFill="1" applyBorder="1" applyAlignment="1">
      <alignment horizontal="center" vertical="center"/>
    </xf>
    <xf numFmtId="0" fontId="105" fillId="2" borderId="0" xfId="0" applyFont="1" applyFill="1" applyAlignment="1">
      <alignment vertical="center"/>
    </xf>
    <xf numFmtId="0" fontId="106" fillId="2" borderId="0" xfId="0" applyFont="1" applyFill="1" applyAlignment="1">
      <alignment vertical="center"/>
    </xf>
    <xf numFmtId="0" fontId="39" fillId="0" borderId="0" xfId="0" applyFont="1" applyAlignment="1">
      <alignment horizontal="left" vertical="center"/>
    </xf>
    <xf numFmtId="0" fontId="36" fillId="0" borderId="0" xfId="0" applyFont="1" applyAlignment="1">
      <alignment vertical="center"/>
    </xf>
    <xf numFmtId="0" fontId="48" fillId="3" borderId="0" xfId="0" applyFont="1" applyFill="1" applyAlignment="1">
      <alignment horizontal="center" vertical="center"/>
    </xf>
    <xf numFmtId="0" fontId="107" fillId="2" borderId="0" xfId="0" applyFont="1" applyFill="1" applyAlignment="1">
      <alignment vertical="center"/>
    </xf>
    <xf numFmtId="0" fontId="40" fillId="5" borderId="0" xfId="0" applyFont="1" applyFill="1" applyAlignment="1">
      <alignment horizontal="left" vertical="center"/>
    </xf>
    <xf numFmtId="0" fontId="40" fillId="5" borderId="0" xfId="0" applyFont="1" applyFill="1" applyAlignment="1">
      <alignment horizontal="right" vertical="center"/>
    </xf>
    <xf numFmtId="0" fontId="40" fillId="5" borderId="0" xfId="0" applyFont="1" applyFill="1" applyAlignment="1">
      <alignment horizontal="center" vertical="center"/>
    </xf>
    <xf numFmtId="10" fontId="36" fillId="2" borderId="0" xfId="0" applyNumberFormat="1" applyFont="1" applyFill="1" applyAlignment="1">
      <alignment vertical="center"/>
    </xf>
    <xf numFmtId="0" fontId="108" fillId="2" borderId="0" xfId="0" applyFont="1" applyFill="1" applyAlignment="1">
      <alignment horizontal="right" vertical="center"/>
    </xf>
    <xf numFmtId="10" fontId="58" fillId="2" borderId="0" xfId="0" applyNumberFormat="1" applyFont="1" applyFill="1" applyAlignment="1">
      <alignment horizontal="right" vertical="center"/>
    </xf>
    <xf numFmtId="0" fontId="109" fillId="2" borderId="0" xfId="2" applyFont="1" applyFill="1" applyAlignment="1">
      <alignment horizontal="left" vertical="center"/>
    </xf>
    <xf numFmtId="17" fontId="36" fillId="2" borderId="0" xfId="0" applyNumberFormat="1" applyFont="1" applyFill="1" applyAlignment="1">
      <alignment horizontal="right" vertical="center"/>
    </xf>
    <xf numFmtId="10" fontId="108" fillId="2" borderId="0" xfId="0" applyNumberFormat="1" applyFont="1" applyFill="1" applyAlignment="1">
      <alignment horizontal="center" vertical="center"/>
    </xf>
    <xf numFmtId="17" fontId="36" fillId="2" borderId="0" xfId="0" applyNumberFormat="1" applyFont="1" applyFill="1" applyAlignment="1">
      <alignment vertical="center" wrapText="1"/>
    </xf>
    <xf numFmtId="17" fontId="36" fillId="2" borderId="0" xfId="0" applyNumberFormat="1" applyFont="1" applyFill="1" applyAlignment="1">
      <alignment horizontal="center" vertical="center" wrapText="1"/>
    </xf>
    <xf numFmtId="10" fontId="110" fillId="2" borderId="0" xfId="0" applyNumberFormat="1" applyFont="1" applyFill="1" applyAlignment="1">
      <alignment horizontal="right" vertical="center"/>
    </xf>
    <xf numFmtId="0" fontId="69" fillId="2" borderId="0" xfId="0" applyFont="1" applyFill="1" applyAlignment="1">
      <alignment vertical="center"/>
    </xf>
    <xf numFmtId="169" fontId="108" fillId="2" borderId="0" xfId="0" applyNumberFormat="1" applyFont="1" applyFill="1" applyAlignment="1">
      <alignment horizontal="right" vertical="center"/>
    </xf>
    <xf numFmtId="169" fontId="111" fillId="2" borderId="0" xfId="0" applyNumberFormat="1" applyFont="1" applyFill="1" applyAlignment="1">
      <alignment horizontal="center" vertical="center"/>
    </xf>
    <xf numFmtId="2" fontId="36" fillId="2" borderId="0" xfId="0" applyNumberFormat="1" applyFont="1" applyFill="1" applyAlignment="1">
      <alignment horizontal="center" vertical="center"/>
    </xf>
    <xf numFmtId="173" fontId="36" fillId="2" borderId="0" xfId="0" applyNumberFormat="1" applyFont="1" applyFill="1" applyAlignment="1">
      <alignment horizontal="center" vertical="center"/>
    </xf>
    <xf numFmtId="0" fontId="111" fillId="2" borderId="0" xfId="0" applyFont="1" applyFill="1" applyAlignment="1">
      <alignment horizontal="center" vertical="center"/>
    </xf>
    <xf numFmtId="0" fontId="58" fillId="2" borderId="0" xfId="0" applyFont="1" applyFill="1" applyAlignment="1">
      <alignment horizontal="left" vertical="center"/>
    </xf>
    <xf numFmtId="0" fontId="58" fillId="2" borderId="15" xfId="0" applyFont="1" applyFill="1" applyBorder="1" applyAlignment="1">
      <alignment horizontal="left" vertical="center"/>
    </xf>
    <xf numFmtId="0" fontId="58" fillId="2" borderId="15" xfId="0" applyFont="1" applyFill="1" applyBorder="1" applyAlignment="1">
      <alignment vertical="center"/>
    </xf>
    <xf numFmtId="0" fontId="112" fillId="2" borderId="0" xfId="0" applyFont="1" applyFill="1" applyAlignment="1">
      <alignment horizontal="left" vertical="center"/>
    </xf>
    <xf numFmtId="0" fontId="59" fillId="2" borderId="0" xfId="0" applyFont="1" applyFill="1"/>
    <xf numFmtId="0" fontId="113" fillId="2" borderId="0" xfId="0" applyFont="1" applyFill="1" applyAlignment="1">
      <alignment vertical="center"/>
    </xf>
    <xf numFmtId="0" fontId="58" fillId="3" borderId="0" xfId="0" applyFont="1" applyFill="1" applyAlignment="1">
      <alignment vertical="center"/>
    </xf>
    <xf numFmtId="0" fontId="58" fillId="3" borderId="0" xfId="0" applyFont="1" applyFill="1" applyAlignment="1">
      <alignment horizontal="center" vertical="center"/>
    </xf>
    <xf numFmtId="0" fontId="104" fillId="3" borderId="0" xfId="0" applyFont="1" applyFill="1" applyAlignment="1">
      <alignment vertical="center"/>
    </xf>
    <xf numFmtId="0" fontId="62" fillId="49" borderId="0" xfId="0" applyFont="1" applyFill="1" applyAlignment="1">
      <alignment vertical="center"/>
    </xf>
    <xf numFmtId="0" fontId="39" fillId="49" borderId="58" xfId="0" applyFont="1" applyFill="1" applyBorder="1" applyAlignment="1">
      <alignment vertical="center"/>
    </xf>
    <xf numFmtId="0" fontId="39" fillId="49" borderId="58" xfId="0" applyFont="1" applyFill="1" applyBorder="1" applyAlignment="1">
      <alignment horizontal="right" vertical="center"/>
    </xf>
    <xf numFmtId="0" fontId="36" fillId="49" borderId="58" xfId="0" applyFont="1" applyFill="1" applyBorder="1" applyAlignment="1">
      <alignment vertical="center"/>
    </xf>
    <xf numFmtId="166" fontId="36" fillId="0" borderId="0" xfId="0" applyNumberFormat="1" applyFont="1"/>
    <xf numFmtId="0" fontId="56" fillId="0" borderId="52" xfId="0" applyFont="1" applyBorder="1" applyAlignment="1">
      <alignment horizontal="center"/>
    </xf>
    <xf numFmtId="166" fontId="39" fillId="49" borderId="0" xfId="4" applyFont="1" applyFill="1"/>
    <xf numFmtId="166" fontId="114" fillId="0" borderId="0" xfId="4" applyFont="1" applyBorder="1"/>
    <xf numFmtId="166" fontId="39" fillId="0" borderId="0" xfId="0" applyNumberFormat="1" applyFont="1" applyAlignment="1">
      <alignment horizontal="center"/>
    </xf>
    <xf numFmtId="0" fontId="56" fillId="0" borderId="0" xfId="0" applyFont="1"/>
    <xf numFmtId="0" fontId="51" fillId="2" borderId="0" xfId="0" applyFont="1" applyFill="1" applyAlignment="1">
      <alignment horizontal="center" vertical="center"/>
    </xf>
    <xf numFmtId="0" fontId="51" fillId="3" borderId="0" xfId="0" applyFont="1" applyFill="1" applyAlignment="1">
      <alignment vertical="center"/>
    </xf>
    <xf numFmtId="178" fontId="51" fillId="2" borderId="0" xfId="0" applyNumberFormat="1" applyFont="1" applyFill="1" applyAlignment="1">
      <alignment vertical="center"/>
    </xf>
    <xf numFmtId="0" fontId="115" fillId="49" borderId="0" xfId="0" applyFont="1" applyFill="1" applyAlignment="1">
      <alignment vertical="center"/>
    </xf>
    <xf numFmtId="0" fontId="115" fillId="49" borderId="60" xfId="0" applyFont="1" applyFill="1" applyBorder="1" applyAlignment="1">
      <alignment vertical="center"/>
    </xf>
    <xf numFmtId="0" fontId="67" fillId="49" borderId="61" xfId="0" applyFont="1" applyFill="1" applyBorder="1" applyAlignment="1">
      <alignment horizontal="right" vertical="center"/>
    </xf>
    <xf numFmtId="172" fontId="67" fillId="49" borderId="62" xfId="3" applyNumberFormat="1" applyFont="1" applyFill="1" applyBorder="1" applyAlignment="1">
      <alignment horizontal="right" vertical="center"/>
    </xf>
    <xf numFmtId="169" fontId="67" fillId="49" borderId="61" xfId="3" applyNumberFormat="1" applyFont="1" applyFill="1" applyBorder="1" applyAlignment="1">
      <alignment horizontal="left" vertical="center"/>
    </xf>
    <xf numFmtId="0" fontId="40" fillId="48" borderId="64" xfId="0" applyFont="1" applyFill="1" applyBorder="1" applyAlignment="1">
      <alignment horizontal="center" vertical="center" wrapText="1"/>
    </xf>
    <xf numFmtId="170" fontId="50" fillId="49" borderId="64" xfId="0" applyNumberFormat="1" applyFont="1" applyFill="1" applyBorder="1" applyAlignment="1">
      <alignment horizontal="center" vertical="center"/>
    </xf>
    <xf numFmtId="170" fontId="50" fillId="49" borderId="65" xfId="0" applyNumberFormat="1" applyFont="1" applyFill="1" applyBorder="1" applyAlignment="1">
      <alignment horizontal="center" vertical="center"/>
    </xf>
    <xf numFmtId="3" fontId="45" fillId="49" borderId="64" xfId="0" applyNumberFormat="1" applyFont="1" applyFill="1" applyBorder="1" applyAlignment="1">
      <alignment horizontal="center" vertical="center" wrapText="1"/>
    </xf>
    <xf numFmtId="193" fontId="45" fillId="49" borderId="64" xfId="4" applyNumberFormat="1" applyFont="1" applyFill="1" applyBorder="1" applyAlignment="1">
      <alignment horizontal="center" vertical="center" wrapText="1"/>
    </xf>
    <xf numFmtId="0" fontId="51" fillId="49" borderId="65" xfId="0" applyFont="1" applyFill="1" applyBorder="1" applyAlignment="1">
      <alignment horizontal="center" vertical="center"/>
    </xf>
    <xf numFmtId="172" fontId="67" fillId="49" borderId="64" xfId="3" applyNumberFormat="1" applyFont="1" applyFill="1" applyBorder="1" applyAlignment="1">
      <alignment horizontal="center" vertical="center"/>
    </xf>
    <xf numFmtId="0" fontId="36" fillId="2" borderId="64" xfId="0" applyFont="1" applyFill="1" applyBorder="1" applyAlignment="1">
      <alignment horizontal="center" vertical="center"/>
    </xf>
    <xf numFmtId="172" fontId="67" fillId="2" borderId="64" xfId="3" applyNumberFormat="1" applyFont="1" applyFill="1" applyBorder="1" applyAlignment="1">
      <alignment horizontal="center" vertical="center"/>
    </xf>
    <xf numFmtId="0" fontId="51" fillId="2" borderId="65" xfId="0" applyFont="1" applyFill="1" applyBorder="1" applyAlignment="1">
      <alignment horizontal="center" vertical="center"/>
    </xf>
    <xf numFmtId="170" fontId="60" fillId="49" borderId="64" xfId="4" applyNumberFormat="1" applyFont="1" applyFill="1" applyBorder="1" applyAlignment="1">
      <alignment horizontal="center" vertical="center"/>
    </xf>
    <xf numFmtId="172" fontId="66" fillId="49" borderId="64" xfId="3" applyNumberFormat="1" applyFont="1" applyFill="1" applyBorder="1" applyAlignment="1">
      <alignment horizontal="center" vertical="center"/>
    </xf>
    <xf numFmtId="172" fontId="67" fillId="49" borderId="66" xfId="3" applyNumberFormat="1" applyFont="1" applyFill="1" applyBorder="1" applyAlignment="1">
      <alignment horizontal="center" vertical="center"/>
    </xf>
    <xf numFmtId="3" fontId="45" fillId="49" borderId="59" xfId="0" applyNumberFormat="1" applyFont="1" applyFill="1" applyBorder="1" applyAlignment="1">
      <alignment horizontal="center" vertical="center"/>
    </xf>
    <xf numFmtId="3" fontId="45" fillId="2" borderId="59" xfId="0" applyNumberFormat="1" applyFont="1" applyFill="1" applyBorder="1" applyAlignment="1">
      <alignment horizontal="center" vertical="center"/>
    </xf>
    <xf numFmtId="0" fontId="40" fillId="48" borderId="65" xfId="0" applyFont="1" applyFill="1" applyBorder="1" applyAlignment="1">
      <alignment horizontal="center" vertical="center" wrapText="1"/>
    </xf>
    <xf numFmtId="3" fontId="45" fillId="49" borderId="64" xfId="0" applyNumberFormat="1" applyFont="1" applyFill="1" applyBorder="1" applyAlignment="1">
      <alignment horizontal="center" vertical="center"/>
    </xf>
    <xf numFmtId="3" fontId="45" fillId="49" borderId="0" xfId="0" applyNumberFormat="1" applyFont="1" applyFill="1" applyAlignment="1">
      <alignment horizontal="center" vertical="center"/>
    </xf>
    <xf numFmtId="3" fontId="45" fillId="49" borderId="65" xfId="0" applyNumberFormat="1" applyFont="1" applyFill="1" applyBorder="1" applyAlignment="1">
      <alignment horizontal="center" vertical="center"/>
    </xf>
    <xf numFmtId="172" fontId="62" fillId="49" borderId="64" xfId="3" applyNumberFormat="1" applyFont="1" applyFill="1" applyBorder="1" applyAlignment="1">
      <alignment horizontal="right" vertical="center"/>
    </xf>
    <xf numFmtId="169" fontId="62" fillId="49" borderId="65" xfId="3" applyNumberFormat="1" applyFont="1" applyFill="1" applyBorder="1" applyAlignment="1">
      <alignment horizontal="left" vertical="center"/>
    </xf>
    <xf numFmtId="172" fontId="64" fillId="49" borderId="64" xfId="3" applyNumberFormat="1" applyFont="1" applyFill="1" applyBorder="1" applyAlignment="1">
      <alignment horizontal="right" vertical="center"/>
    </xf>
    <xf numFmtId="169" fontId="64" fillId="49" borderId="65" xfId="3" applyNumberFormat="1" applyFont="1" applyFill="1" applyBorder="1" applyAlignment="1">
      <alignment horizontal="left" vertical="center"/>
    </xf>
    <xf numFmtId="170" fontId="50" fillId="2" borderId="65" xfId="0" applyNumberFormat="1" applyFont="1" applyFill="1" applyBorder="1" applyAlignment="1">
      <alignment horizontal="center" vertical="center"/>
    </xf>
    <xf numFmtId="3" fontId="45" fillId="2" borderId="64" xfId="0" applyNumberFormat="1" applyFont="1" applyFill="1" applyBorder="1" applyAlignment="1">
      <alignment horizontal="center" vertical="center"/>
    </xf>
    <xf numFmtId="3" fontId="45" fillId="2" borderId="65" xfId="0" applyNumberFormat="1" applyFont="1" applyFill="1" applyBorder="1" applyAlignment="1">
      <alignment horizontal="center" vertical="center"/>
    </xf>
    <xf numFmtId="170" fontId="60" fillId="2" borderId="64" xfId="4" applyNumberFormat="1" applyFont="1" applyFill="1" applyBorder="1" applyAlignment="1">
      <alignment horizontal="center" vertical="center"/>
    </xf>
    <xf numFmtId="172" fontId="62" fillId="2" borderId="64" xfId="3" applyNumberFormat="1" applyFont="1" applyFill="1" applyBorder="1" applyAlignment="1">
      <alignment horizontal="right" vertical="center"/>
    </xf>
    <xf numFmtId="169" fontId="62" fillId="2" borderId="65" xfId="3" applyNumberFormat="1" applyFont="1" applyFill="1" applyBorder="1" applyAlignment="1">
      <alignment horizontal="left" vertical="center"/>
    </xf>
    <xf numFmtId="172" fontId="64" fillId="2" borderId="64" xfId="3" applyNumberFormat="1" applyFont="1" applyFill="1" applyBorder="1" applyAlignment="1">
      <alignment horizontal="right" vertical="center"/>
    </xf>
    <xf numFmtId="169" fontId="64" fillId="2" borderId="65" xfId="3" applyNumberFormat="1" applyFont="1" applyFill="1" applyBorder="1" applyAlignment="1">
      <alignment horizontal="left" vertical="center"/>
    </xf>
    <xf numFmtId="10" fontId="62" fillId="49" borderId="65" xfId="3" applyNumberFormat="1" applyFont="1" applyFill="1" applyBorder="1" applyAlignment="1">
      <alignment horizontal="left" vertical="center"/>
    </xf>
    <xf numFmtId="192" fontId="39" fillId="49" borderId="0" xfId="0" applyNumberFormat="1" applyFont="1" applyFill="1"/>
    <xf numFmtId="0" fontId="116" fillId="3" borderId="0" xfId="0" applyFont="1" applyFill="1" applyAlignment="1">
      <alignment vertical="center"/>
    </xf>
    <xf numFmtId="0" fontId="56" fillId="0" borderId="0" xfId="0" applyFont="1" applyAlignment="1">
      <alignment horizontal="right"/>
    </xf>
    <xf numFmtId="0" fontId="41" fillId="48" borderId="0" xfId="0" applyFont="1" applyFill="1" applyAlignment="1">
      <alignment vertical="center" wrapText="1"/>
    </xf>
    <xf numFmtId="0" fontId="52" fillId="49" borderId="0" xfId="0" applyFont="1" applyFill="1" applyAlignment="1">
      <alignment horizontal="left" vertical="center" wrapText="1"/>
    </xf>
    <xf numFmtId="0" fontId="44" fillId="49" borderId="0" xfId="0" applyFont="1" applyFill="1" applyAlignment="1">
      <alignment horizontal="left" vertical="center" wrapText="1"/>
    </xf>
    <xf numFmtId="0" fontId="52" fillId="2" borderId="0" xfId="0" applyFont="1" applyFill="1" applyAlignment="1">
      <alignment horizontal="left" vertical="center" wrapText="1"/>
    </xf>
    <xf numFmtId="0" fontId="40" fillId="48" borderId="59" xfId="0" applyFont="1" applyFill="1" applyBorder="1" applyAlignment="1">
      <alignment vertical="center"/>
    </xf>
    <xf numFmtId="183" fontId="50" fillId="49" borderId="59" xfId="0" applyNumberFormat="1" applyFont="1" applyFill="1" applyBorder="1" applyAlignment="1">
      <alignment vertical="center"/>
    </xf>
    <xf numFmtId="192" fontId="50" fillId="49" borderId="59" xfId="4" applyNumberFormat="1" applyFont="1" applyFill="1" applyBorder="1" applyAlignment="1">
      <alignment vertical="center"/>
    </xf>
    <xf numFmtId="192" fontId="50" fillId="49" borderId="59" xfId="0" applyNumberFormat="1" applyFont="1" applyFill="1" applyBorder="1" applyAlignment="1">
      <alignment vertical="center"/>
    </xf>
    <xf numFmtId="193" fontId="54" fillId="49" borderId="59" xfId="4" applyNumberFormat="1" applyFont="1" applyFill="1" applyBorder="1" applyAlignment="1">
      <alignment vertical="top"/>
    </xf>
    <xf numFmtId="0" fontId="36" fillId="49" borderId="59" xfId="0" applyFont="1" applyFill="1" applyBorder="1"/>
    <xf numFmtId="193" fontId="45" fillId="49" borderId="59" xfId="4" applyNumberFormat="1" applyFont="1" applyFill="1" applyBorder="1" applyAlignment="1">
      <alignment vertical="top"/>
    </xf>
    <xf numFmtId="0" fontId="51" fillId="2" borderId="59" xfId="0" applyFont="1" applyFill="1" applyBorder="1"/>
    <xf numFmtId="183" fontId="50" fillId="2" borderId="59" xfId="0" applyNumberFormat="1" applyFont="1" applyFill="1" applyBorder="1" applyAlignment="1">
      <alignment vertical="center"/>
    </xf>
    <xf numFmtId="192" fontId="50" fillId="2" borderId="59" xfId="0" applyNumberFormat="1" applyFont="1" applyFill="1" applyBorder="1" applyAlignment="1">
      <alignment vertical="center"/>
    </xf>
    <xf numFmtId="193" fontId="54" fillId="2" borderId="59" xfId="4" applyNumberFormat="1" applyFont="1" applyFill="1" applyBorder="1" applyAlignment="1">
      <alignment vertical="top"/>
    </xf>
    <xf numFmtId="0" fontId="51" fillId="49" borderId="59" xfId="0" applyFont="1" applyFill="1" applyBorder="1"/>
    <xf numFmtId="0" fontId="117" fillId="2" borderId="0" xfId="0" applyFont="1" applyFill="1" applyAlignment="1">
      <alignment vertical="center"/>
    </xf>
    <xf numFmtId="4" fontId="36" fillId="2" borderId="0" xfId="0" applyNumberFormat="1" applyFont="1" applyFill="1" applyAlignment="1">
      <alignment horizontal="center" vertical="center"/>
    </xf>
    <xf numFmtId="4" fontId="36" fillId="3" borderId="0" xfId="0" applyNumberFormat="1" applyFont="1" applyFill="1" applyAlignment="1">
      <alignment horizontal="center" vertical="center"/>
    </xf>
    <xf numFmtId="2" fontId="36" fillId="3" borderId="0" xfId="0" applyNumberFormat="1" applyFont="1" applyFill="1" applyAlignment="1">
      <alignment horizontal="center" vertical="center"/>
    </xf>
    <xf numFmtId="0" fontId="40" fillId="5" borderId="0" xfId="0" applyFont="1" applyFill="1" applyAlignment="1">
      <alignment horizontal="left"/>
    </xf>
    <xf numFmtId="0" fontId="40" fillId="5" borderId="0" xfId="0" applyFont="1" applyFill="1"/>
    <xf numFmtId="0" fontId="40" fillId="5" borderId="0" xfId="0" applyFont="1" applyFill="1" applyAlignment="1">
      <alignment horizontal="center"/>
    </xf>
    <xf numFmtId="0" fontId="45" fillId="5" borderId="0" xfId="0" applyFont="1" applyFill="1" applyAlignment="1">
      <alignment horizontal="center"/>
    </xf>
    <xf numFmtId="4" fontId="40" fillId="5" borderId="0" xfId="0" applyNumberFormat="1" applyFont="1" applyFill="1" applyAlignment="1">
      <alignment horizontal="center"/>
    </xf>
    <xf numFmtId="4" fontId="45" fillId="5" borderId="0" xfId="0" applyNumberFormat="1" applyFont="1" applyFill="1" applyAlignment="1">
      <alignment horizontal="center"/>
    </xf>
    <xf numFmtId="2" fontId="45" fillId="5" borderId="0" xfId="0" applyNumberFormat="1" applyFont="1" applyFill="1" applyAlignment="1">
      <alignment horizontal="center"/>
    </xf>
    <xf numFmtId="4" fontId="40" fillId="5" borderId="0" xfId="0" applyNumberFormat="1" applyFont="1" applyFill="1" applyAlignment="1">
      <alignment horizontal="right" vertical="center" indent="1"/>
    </xf>
    <xf numFmtId="187" fontId="40" fillId="5" borderId="0" xfId="0" applyNumberFormat="1" applyFont="1" applyFill="1" applyAlignment="1">
      <alignment horizontal="center" vertical="center"/>
    </xf>
    <xf numFmtId="2" fontId="40" fillId="5" borderId="0" xfId="0" applyNumberFormat="1" applyFont="1" applyFill="1" applyAlignment="1">
      <alignment horizontal="right" vertical="center" indent="1"/>
    </xf>
    <xf numFmtId="0" fontId="40" fillId="5" borderId="0" xfId="0" applyFont="1" applyFill="1" applyAlignment="1">
      <alignment horizontal="right" vertical="center" indent="1"/>
    </xf>
    <xf numFmtId="0" fontId="36" fillId="2" borderId="0" xfId="0" applyFont="1" applyFill="1" applyAlignment="1">
      <alignment vertical="top"/>
    </xf>
    <xf numFmtId="0" fontId="36" fillId="6" borderId="0" xfId="0" applyFont="1" applyFill="1" applyAlignment="1">
      <alignment vertical="top"/>
    </xf>
    <xf numFmtId="0" fontId="40" fillId="5" borderId="0" xfId="0" applyFont="1" applyFill="1" applyAlignment="1">
      <alignment horizontal="center" vertical="top"/>
    </xf>
    <xf numFmtId="4" fontId="40" fillId="5" borderId="0" xfId="0" applyNumberFormat="1" applyFont="1" applyFill="1" applyAlignment="1">
      <alignment horizontal="right" vertical="top" indent="1"/>
    </xf>
    <xf numFmtId="4" fontId="40" fillId="5" borderId="0" xfId="0" applyNumberFormat="1" applyFont="1" applyFill="1" applyAlignment="1">
      <alignment horizontal="center" vertical="top"/>
    </xf>
    <xf numFmtId="2" fontId="40" fillId="5" borderId="0" xfId="0" applyNumberFormat="1" applyFont="1" applyFill="1" applyAlignment="1">
      <alignment horizontal="center" vertical="top"/>
    </xf>
    <xf numFmtId="0" fontId="40" fillId="5" borderId="0" xfId="0" applyFont="1" applyFill="1" applyAlignment="1">
      <alignment horizontal="right" vertical="top" indent="1"/>
    </xf>
    <xf numFmtId="0" fontId="118" fillId="2" borderId="0" xfId="0" applyFont="1" applyFill="1" applyAlignment="1">
      <alignment vertical="center"/>
    </xf>
    <xf numFmtId="0" fontId="119" fillId="2" borderId="0" xfId="0" applyFont="1" applyFill="1" applyAlignment="1">
      <alignment vertical="center"/>
    </xf>
    <xf numFmtId="190" fontId="119" fillId="2" borderId="0" xfId="0" applyNumberFormat="1" applyFont="1" applyFill="1" applyAlignment="1">
      <alignment horizontal="right" vertical="center" indent="1"/>
    </xf>
    <xf numFmtId="4" fontId="36" fillId="2" borderId="0" xfId="0" applyNumberFormat="1" applyFont="1" applyFill="1" applyAlignment="1">
      <alignment horizontal="right" vertical="center" indent="1"/>
    </xf>
    <xf numFmtId="2" fontId="36" fillId="2" borderId="0" xfId="3" applyNumberFormat="1" applyFont="1" applyFill="1" applyAlignment="1">
      <alignment horizontal="right" vertical="center" indent="1"/>
    </xf>
    <xf numFmtId="10" fontId="36" fillId="2" borderId="0" xfId="3" applyNumberFormat="1" applyFont="1" applyFill="1" applyAlignment="1">
      <alignment horizontal="right" vertical="center" indent="1"/>
    </xf>
    <xf numFmtId="3" fontId="120" fillId="2" borderId="0" xfId="0" applyNumberFormat="1" applyFont="1" applyFill="1" applyAlignment="1">
      <alignment horizontal="right" vertical="center" indent="1"/>
    </xf>
    <xf numFmtId="4" fontId="104" fillId="2" borderId="0" xfId="0" applyNumberFormat="1" applyFont="1" applyFill="1" applyAlignment="1">
      <alignment horizontal="right" vertical="center" indent="1"/>
    </xf>
    <xf numFmtId="4" fontId="39" fillId="2" borderId="0" xfId="0" applyNumberFormat="1" applyFont="1" applyFill="1" applyAlignment="1">
      <alignment horizontal="right" vertical="center" indent="1"/>
    </xf>
    <xf numFmtId="187" fontId="36" fillId="2" borderId="0" xfId="0" applyNumberFormat="1" applyFont="1" applyFill="1" applyAlignment="1">
      <alignment horizontal="right" vertical="center" indent="1"/>
    </xf>
    <xf numFmtId="176" fontId="36" fillId="2" borderId="0" xfId="0" applyNumberFormat="1" applyFont="1" applyFill="1" applyAlignment="1">
      <alignment horizontal="right" vertical="center" indent="1"/>
    </xf>
    <xf numFmtId="3" fontId="39" fillId="2" borderId="0" xfId="0" applyNumberFormat="1" applyFont="1" applyFill="1" applyAlignment="1">
      <alignment horizontal="right" vertical="center" indent="1"/>
    </xf>
    <xf numFmtId="1" fontId="39" fillId="2" borderId="0" xfId="3" applyNumberFormat="1" applyFont="1" applyFill="1" applyAlignment="1">
      <alignment horizontal="right" vertical="center" indent="1"/>
    </xf>
    <xf numFmtId="0" fontId="36" fillId="3" borderId="0" xfId="0" applyFont="1" applyFill="1" applyAlignment="1">
      <alignment vertical="center" wrapText="1"/>
    </xf>
    <xf numFmtId="0" fontId="36" fillId="3" borderId="0" xfId="0" applyFont="1" applyFill="1"/>
    <xf numFmtId="0" fontId="121" fillId="2" borderId="0" xfId="0" applyFont="1" applyFill="1" applyAlignment="1">
      <alignment horizontal="center" vertical="center"/>
    </xf>
    <xf numFmtId="0" fontId="51" fillId="49" borderId="67" xfId="0" applyFont="1" applyFill="1" applyBorder="1" applyAlignment="1">
      <alignment horizontal="center" vertical="center"/>
    </xf>
    <xf numFmtId="3" fontId="45" fillId="49" borderId="65" xfId="0" applyNumberFormat="1" applyFont="1" applyFill="1" applyBorder="1" applyAlignment="1">
      <alignment horizontal="center" vertical="center" wrapText="1"/>
    </xf>
    <xf numFmtId="193" fontId="45" fillId="49" borderId="65" xfId="4" applyNumberFormat="1" applyFont="1" applyFill="1" applyBorder="1" applyAlignment="1">
      <alignment horizontal="center" vertical="center" wrapText="1"/>
    </xf>
    <xf numFmtId="169" fontId="67" fillId="49" borderId="65" xfId="3" applyNumberFormat="1" applyFont="1" applyFill="1" applyBorder="1" applyAlignment="1">
      <alignment horizontal="center" vertical="center"/>
    </xf>
    <xf numFmtId="0" fontId="36" fillId="2" borderId="65" xfId="0" applyFont="1" applyFill="1" applyBorder="1" applyAlignment="1">
      <alignment horizontal="center" vertical="center"/>
    </xf>
    <xf numFmtId="169" fontId="67" fillId="2" borderId="65" xfId="3" applyNumberFormat="1" applyFont="1" applyFill="1" applyBorder="1" applyAlignment="1">
      <alignment horizontal="center" vertical="center"/>
    </xf>
    <xf numFmtId="170" fontId="60" fillId="49" borderId="65" xfId="4" applyNumberFormat="1" applyFont="1" applyFill="1" applyBorder="1" applyAlignment="1">
      <alignment horizontal="center" vertical="center" wrapText="1"/>
    </xf>
    <xf numFmtId="169" fontId="66" fillId="49" borderId="65" xfId="3" applyNumberFormat="1" applyFont="1" applyFill="1" applyBorder="1" applyAlignment="1">
      <alignment horizontal="center" vertical="center"/>
    </xf>
    <xf numFmtId="169" fontId="67" fillId="49" borderId="67" xfId="3" applyNumberFormat="1" applyFont="1" applyFill="1" applyBorder="1" applyAlignment="1">
      <alignment horizontal="center" vertical="center"/>
    </xf>
    <xf numFmtId="0" fontId="122" fillId="2" borderId="0" xfId="0" applyFont="1" applyFill="1" applyAlignment="1">
      <alignment horizontal="right" vertical="center"/>
    </xf>
    <xf numFmtId="0" fontId="122" fillId="2" borderId="0" xfId="0" applyFont="1" applyFill="1" applyAlignment="1">
      <alignment horizontal="center" vertical="center"/>
    </xf>
    <xf numFmtId="172" fontId="64" fillId="49" borderId="77" xfId="3" applyNumberFormat="1" applyFont="1" applyFill="1" applyBorder="1" applyAlignment="1">
      <alignment horizontal="right" vertical="center"/>
    </xf>
    <xf numFmtId="169" fontId="64" fillId="49" borderId="78" xfId="3" applyNumberFormat="1" applyFont="1" applyFill="1" applyBorder="1" applyAlignment="1">
      <alignment horizontal="left" vertical="center"/>
    </xf>
    <xf numFmtId="2" fontId="58" fillId="2" borderId="0" xfId="0" applyNumberFormat="1" applyFont="1" applyFill="1" applyAlignment="1">
      <alignment vertical="center"/>
    </xf>
    <xf numFmtId="192" fontId="58" fillId="2" borderId="0" xfId="0" applyNumberFormat="1" applyFont="1" applyFill="1" applyAlignment="1">
      <alignment vertical="center"/>
    </xf>
    <xf numFmtId="0" fontId="95" fillId="2" borderId="0" xfId="0" applyFont="1" applyFill="1"/>
    <xf numFmtId="0" fontId="36" fillId="2" borderId="0" xfId="0" applyFont="1" applyFill="1" applyAlignment="1">
      <alignment horizontal="left" vertical="center"/>
    </xf>
    <xf numFmtId="0" fontId="36" fillId="3" borderId="0" xfId="0" applyFont="1" applyFill="1" applyAlignment="1">
      <alignment horizontal="left" vertical="center"/>
    </xf>
    <xf numFmtId="10" fontId="58" fillId="2" borderId="0" xfId="3" applyNumberFormat="1" applyFont="1" applyFill="1" applyBorder="1" applyAlignment="1">
      <alignment horizontal="right" vertical="center" indent="1"/>
    </xf>
    <xf numFmtId="0" fontId="127" fillId="2" borderId="0" xfId="0" applyFont="1" applyFill="1"/>
    <xf numFmtId="0" fontId="90" fillId="46" borderId="13" xfId="0" applyFont="1" applyFill="1" applyBorder="1" applyAlignment="1">
      <alignment vertical="center"/>
    </xf>
    <xf numFmtId="0" fontId="90" fillId="46" borderId="0" xfId="0" applyFont="1" applyFill="1" applyAlignment="1">
      <alignment vertical="center" wrapText="1"/>
    </xf>
    <xf numFmtId="0" fontId="90" fillId="46" borderId="53" xfId="0" applyFont="1" applyFill="1" applyBorder="1" applyAlignment="1">
      <alignment vertical="center"/>
    </xf>
    <xf numFmtId="0" fontId="58" fillId="2" borderId="0" xfId="0" applyFont="1" applyFill="1" applyAlignment="1">
      <alignment horizontal="right" vertical="center"/>
    </xf>
    <xf numFmtId="175" fontId="58" fillId="2" borderId="0" xfId="0" applyNumberFormat="1" applyFont="1" applyFill="1" applyAlignment="1">
      <alignment vertical="center"/>
    </xf>
    <xf numFmtId="0" fontId="56" fillId="0" borderId="0" xfId="0" applyFont="1" applyAlignment="1">
      <alignment vertical="center"/>
    </xf>
    <xf numFmtId="0" fontId="59" fillId="0" borderId="0" xfId="0" applyFont="1" applyAlignment="1">
      <alignment vertical="center"/>
    </xf>
    <xf numFmtId="0" fontId="81" fillId="0" borderId="0" xfId="0" applyFont="1" applyAlignment="1">
      <alignment vertical="center"/>
    </xf>
    <xf numFmtId="0" fontId="79" fillId="0" borderId="0" xfId="0" applyFont="1" applyAlignment="1">
      <alignment vertical="center"/>
    </xf>
    <xf numFmtId="0" fontId="80" fillId="0" borderId="0" xfId="0" applyFont="1" applyAlignment="1">
      <alignment horizontal="center" vertical="center"/>
    </xf>
    <xf numFmtId="0" fontId="50" fillId="2" borderId="0" xfId="0" applyFont="1" applyFill="1"/>
    <xf numFmtId="0" fontId="128" fillId="49" borderId="0" xfId="0" applyFont="1" applyFill="1" applyAlignment="1">
      <alignment vertical="center" wrapText="1"/>
    </xf>
    <xf numFmtId="193" fontId="94" fillId="49" borderId="59" xfId="4" applyNumberFormat="1" applyFont="1" applyFill="1" applyBorder="1" applyAlignment="1">
      <alignment vertical="center"/>
    </xf>
    <xf numFmtId="0" fontId="128" fillId="49" borderId="0" xfId="0" applyFont="1" applyFill="1" applyAlignment="1">
      <alignment horizontal="left" vertical="center" wrapText="1"/>
    </xf>
    <xf numFmtId="193" fontId="94" fillId="49" borderId="59" xfId="4" applyNumberFormat="1" applyFont="1" applyFill="1" applyBorder="1" applyAlignment="1">
      <alignment horizontal="center" vertical="center"/>
    </xf>
    <xf numFmtId="0" fontId="129" fillId="49" borderId="0" xfId="0" applyFont="1" applyFill="1" applyAlignment="1">
      <alignment horizontal="left" vertical="center" wrapText="1"/>
    </xf>
    <xf numFmtId="193" fontId="130" fillId="49" borderId="59" xfId="4" applyNumberFormat="1" applyFont="1" applyFill="1" applyBorder="1" applyAlignment="1">
      <alignment vertical="top"/>
    </xf>
    <xf numFmtId="0" fontId="129" fillId="2" borderId="0" xfId="0" applyFont="1" applyFill="1" applyAlignment="1">
      <alignment vertical="center" wrapText="1"/>
    </xf>
    <xf numFmtId="193" fontId="94" fillId="2" borderId="59" xfId="4" applyNumberFormat="1" applyFont="1" applyFill="1" applyBorder="1" applyAlignment="1">
      <alignment vertical="center"/>
    </xf>
    <xf numFmtId="0" fontId="94" fillId="2" borderId="0" xfId="0" applyFont="1" applyFill="1" applyAlignment="1">
      <alignment vertical="center" wrapText="1"/>
    </xf>
    <xf numFmtId="193" fontId="94" fillId="2" borderId="59" xfId="4" applyNumberFormat="1" applyFont="1" applyFill="1" applyBorder="1" applyAlignment="1">
      <alignment horizontal="center" vertical="center"/>
    </xf>
    <xf numFmtId="0" fontId="129" fillId="2" borderId="0" xfId="0" applyFont="1" applyFill="1" applyAlignment="1">
      <alignment horizontal="left" vertical="center" wrapText="1"/>
    </xf>
    <xf numFmtId="193" fontId="130" fillId="2" borderId="59" xfId="4" applyNumberFormat="1" applyFont="1" applyFill="1" applyBorder="1" applyAlignment="1">
      <alignment vertical="center"/>
    </xf>
    <xf numFmtId="0" fontId="131" fillId="49" borderId="0" xfId="0" applyFont="1" applyFill="1" applyAlignment="1">
      <alignment vertical="center"/>
    </xf>
    <xf numFmtId="1" fontId="131" fillId="49" borderId="59" xfId="0" applyNumberFormat="1" applyFont="1" applyFill="1" applyBorder="1" applyAlignment="1">
      <alignment vertical="center"/>
    </xf>
    <xf numFmtId="1" fontId="131" fillId="49" borderId="59" xfId="66" applyNumberFormat="1" applyFont="1" applyFill="1" applyBorder="1" applyAlignment="1">
      <alignment vertical="center"/>
    </xf>
    <xf numFmtId="0" fontId="131" fillId="2" borderId="0" xfId="0" applyFont="1" applyFill="1" applyAlignment="1">
      <alignment vertical="center"/>
    </xf>
    <xf numFmtId="1" fontId="131" fillId="2" borderId="59" xfId="0" applyNumberFormat="1" applyFont="1" applyFill="1" applyBorder="1" applyAlignment="1">
      <alignment vertical="center"/>
    </xf>
    <xf numFmtId="166" fontId="39" fillId="0" borderId="52" xfId="4" applyFont="1" applyBorder="1"/>
    <xf numFmtId="192" fontId="104" fillId="0" borderId="52" xfId="0" applyNumberFormat="1" applyFont="1" applyBorder="1"/>
    <xf numFmtId="3" fontId="72" fillId="2" borderId="6" xfId="0" applyNumberFormat="1" applyFont="1" applyFill="1" applyBorder="1" applyAlignment="1">
      <alignment horizontal="right" vertical="center" indent="1"/>
    </xf>
    <xf numFmtId="0" fontId="90" fillId="53" borderId="0" xfId="0" applyFont="1" applyFill="1" applyAlignment="1">
      <alignment vertical="center"/>
    </xf>
    <xf numFmtId="0" fontId="89" fillId="53" borderId="0" xfId="0" applyFont="1" applyFill="1" applyAlignment="1">
      <alignment vertical="center"/>
    </xf>
    <xf numFmtId="0" fontId="90" fillId="53" borderId="0" xfId="0" applyFont="1" applyFill="1" applyAlignment="1">
      <alignment horizontal="center" vertical="center" wrapText="1"/>
    </xf>
    <xf numFmtId="0" fontId="89" fillId="53" borderId="0" xfId="0" applyFont="1" applyFill="1" applyAlignment="1">
      <alignment vertical="center" wrapText="1"/>
    </xf>
    <xf numFmtId="0" fontId="47" fillId="53" borderId="0" xfId="0" applyFont="1" applyFill="1" applyAlignment="1">
      <alignment horizontal="center" vertical="center" wrapText="1"/>
    </xf>
    <xf numFmtId="187" fontId="73" fillId="2" borderId="79" xfId="0" applyNumberFormat="1" applyFont="1" applyFill="1" applyBorder="1" applyAlignment="1">
      <alignment horizontal="center" vertical="center"/>
    </xf>
    <xf numFmtId="187" fontId="73" fillId="2" borderId="0" xfId="0" applyNumberFormat="1" applyFont="1" applyFill="1" applyAlignment="1">
      <alignment horizontal="right" vertical="center"/>
    </xf>
    <xf numFmtId="187" fontId="73" fillId="2" borderId="79" xfId="0" applyNumberFormat="1" applyFont="1" applyFill="1" applyBorder="1" applyAlignment="1">
      <alignment horizontal="right" vertical="center"/>
    </xf>
    <xf numFmtId="175" fontId="36" fillId="2" borderId="79" xfId="0" applyNumberFormat="1" applyFont="1" applyFill="1" applyBorder="1" applyAlignment="1">
      <alignment horizontal="center" vertical="center"/>
    </xf>
    <xf numFmtId="0" fontId="90" fillId="53" borderId="8" xfId="0" applyFont="1" applyFill="1" applyBorder="1" applyAlignment="1">
      <alignment vertical="center" wrapText="1"/>
    </xf>
    <xf numFmtId="0" fontId="90" fillId="53" borderId="53" xfId="0" applyFont="1" applyFill="1" applyBorder="1" applyAlignment="1">
      <alignment vertical="center"/>
    </xf>
    <xf numFmtId="0" fontId="132" fillId="3" borderId="0" xfId="0" applyFont="1" applyFill="1" applyAlignment="1">
      <alignment vertical="center"/>
    </xf>
    <xf numFmtId="0" fontId="120" fillId="0" borderId="0" xfId="0" applyFont="1"/>
    <xf numFmtId="0" fontId="133" fillId="50" borderId="0" xfId="0" applyFont="1" applyFill="1" applyAlignment="1">
      <alignment vertical="center"/>
    </xf>
    <xf numFmtId="0" fontId="133" fillId="50" borderId="0" xfId="0" applyFont="1" applyFill="1" applyAlignment="1">
      <alignment horizontal="center" vertical="center"/>
    </xf>
    <xf numFmtId="0" fontId="134" fillId="0" borderId="0" xfId="0" applyFont="1"/>
    <xf numFmtId="0" fontId="40" fillId="5" borderId="1" xfId="0" applyFont="1" applyFill="1" applyBorder="1" applyAlignment="1">
      <alignment horizontal="center" vertical="center"/>
    </xf>
    <xf numFmtId="9" fontId="36" fillId="2" borderId="0" xfId="3" applyFont="1" applyFill="1" applyAlignment="1">
      <alignment horizontal="right" vertical="center" indent="1"/>
    </xf>
    <xf numFmtId="10" fontId="39" fillId="2" borderId="0" xfId="3" applyNumberFormat="1" applyFont="1" applyFill="1" applyAlignment="1">
      <alignment horizontal="right" vertical="center" indent="1"/>
    </xf>
    <xf numFmtId="10" fontId="39" fillId="2" borderId="0" xfId="0" applyNumberFormat="1" applyFont="1" applyFill="1" applyAlignment="1">
      <alignment horizontal="right" vertical="center" indent="1"/>
    </xf>
    <xf numFmtId="0" fontId="39" fillId="2" borderId="0" xfId="0" applyFont="1" applyFill="1" applyAlignment="1">
      <alignment horizontal="right" vertical="center" indent="1"/>
    </xf>
    <xf numFmtId="10" fontId="36" fillId="2" borderId="0" xfId="0" applyNumberFormat="1" applyFont="1" applyFill="1" applyAlignment="1">
      <alignment horizontal="right" vertical="center" indent="1"/>
    </xf>
    <xf numFmtId="0" fontId="36" fillId="2" borderId="0" xfId="0" applyFont="1" applyFill="1" applyAlignment="1">
      <alignment horizontal="right" vertical="center" indent="1"/>
    </xf>
    <xf numFmtId="190" fontId="36" fillId="2" borderId="0" xfId="0" applyNumberFormat="1" applyFont="1" applyFill="1" applyAlignment="1">
      <alignment horizontal="right" vertical="center" indent="1"/>
    </xf>
    <xf numFmtId="0" fontId="120" fillId="2" borderId="0" xfId="0" applyFont="1" applyFill="1" applyAlignment="1">
      <alignment vertical="center"/>
    </xf>
    <xf numFmtId="0" fontId="135" fillId="2" borderId="0" xfId="0" applyFont="1" applyFill="1" applyAlignment="1">
      <alignment vertical="center"/>
    </xf>
    <xf numFmtId="190" fontId="120" fillId="2" borderId="0" xfId="0" applyNumberFormat="1" applyFont="1" applyFill="1" applyAlignment="1">
      <alignment horizontal="right" vertical="center" indent="1"/>
    </xf>
    <xf numFmtId="191" fontId="120" fillId="2" borderId="0" xfId="0" applyNumberFormat="1" applyFont="1" applyFill="1" applyAlignment="1">
      <alignment horizontal="right" vertical="center" indent="1"/>
    </xf>
    <xf numFmtId="4" fontId="120" fillId="2" borderId="0" xfId="0" applyNumberFormat="1" applyFont="1" applyFill="1" applyAlignment="1">
      <alignment horizontal="right" vertical="center" indent="1"/>
    </xf>
    <xf numFmtId="10" fontId="120" fillId="2" borderId="0" xfId="3" applyNumberFormat="1" applyFont="1" applyFill="1" applyAlignment="1">
      <alignment horizontal="right" vertical="center" indent="1"/>
    </xf>
    <xf numFmtId="9" fontId="120" fillId="2" borderId="0" xfId="3" applyFont="1" applyFill="1" applyAlignment="1">
      <alignment horizontal="right" vertical="center" indent="1"/>
    </xf>
    <xf numFmtId="4" fontId="135" fillId="2" borderId="0" xfId="0" applyNumberFormat="1" applyFont="1" applyFill="1" applyAlignment="1">
      <alignment horizontal="right" vertical="center" indent="1"/>
    </xf>
    <xf numFmtId="10" fontId="135" fillId="2" borderId="0" xfId="3" applyNumberFormat="1" applyFont="1" applyFill="1" applyAlignment="1">
      <alignment horizontal="right" vertical="center" indent="1"/>
    </xf>
    <xf numFmtId="10" fontId="135" fillId="2" borderId="0" xfId="0" applyNumberFormat="1" applyFont="1" applyFill="1" applyAlignment="1">
      <alignment horizontal="right" vertical="center" indent="1"/>
    </xf>
    <xf numFmtId="0" fontId="135" fillId="2" borderId="0" xfId="0" applyFont="1" applyFill="1" applyAlignment="1">
      <alignment horizontal="right" vertical="center" indent="1"/>
    </xf>
    <xf numFmtId="10" fontId="120" fillId="2" borderId="0" xfId="0" applyNumberFormat="1" applyFont="1" applyFill="1" applyAlignment="1">
      <alignment horizontal="right" vertical="center" indent="1"/>
    </xf>
    <xf numFmtId="0" fontId="120" fillId="2" borderId="0" xfId="0" applyFont="1" applyFill="1" applyAlignment="1">
      <alignment horizontal="right" vertical="center" indent="1"/>
    </xf>
    <xf numFmtId="0" fontId="39" fillId="2" borderId="0" xfId="3" applyNumberFormat="1" applyFont="1" applyFill="1" applyAlignment="1">
      <alignment horizontal="right" vertical="center" indent="1"/>
    </xf>
    <xf numFmtId="3" fontId="135" fillId="2" borderId="0" xfId="0" applyNumberFormat="1" applyFont="1" applyFill="1" applyAlignment="1">
      <alignment horizontal="right" vertical="center" indent="1"/>
    </xf>
    <xf numFmtId="0" fontId="136" fillId="2" borderId="0" xfId="0" applyFont="1" applyFill="1" applyAlignment="1">
      <alignment vertical="center"/>
    </xf>
    <xf numFmtId="4" fontId="58" fillId="2" borderId="0" xfId="0" applyNumberFormat="1" applyFont="1" applyFill="1" applyAlignment="1">
      <alignment horizontal="right" vertical="center" indent="1"/>
    </xf>
    <xf numFmtId="189" fontId="39" fillId="2" borderId="0" xfId="3" applyNumberFormat="1" applyFont="1" applyFill="1" applyAlignment="1">
      <alignment horizontal="right" vertical="center" indent="1"/>
    </xf>
    <xf numFmtId="3" fontId="37" fillId="2" borderId="0" xfId="0" applyNumberFormat="1" applyFont="1" applyFill="1" applyAlignment="1">
      <alignment horizontal="right" vertical="center" indent="1"/>
    </xf>
    <xf numFmtId="4" fontId="37" fillId="2" borderId="0" xfId="0" applyNumberFormat="1" applyFont="1" applyFill="1" applyAlignment="1">
      <alignment horizontal="right" vertical="center" indent="1"/>
    </xf>
    <xf numFmtId="10" fontId="37" fillId="2" borderId="0" xfId="3" applyNumberFormat="1" applyFont="1" applyFill="1" applyAlignment="1">
      <alignment horizontal="right" vertical="center" indent="1"/>
    </xf>
    <xf numFmtId="10" fontId="37" fillId="2" borderId="0" xfId="0" applyNumberFormat="1" applyFont="1" applyFill="1" applyAlignment="1">
      <alignment horizontal="right" vertical="center" indent="1"/>
    </xf>
    <xf numFmtId="0" fontId="37" fillId="2" borderId="0" xfId="0" applyFont="1" applyFill="1" applyAlignment="1">
      <alignment horizontal="right" vertical="center" indent="1"/>
    </xf>
    <xf numFmtId="10" fontId="104" fillId="2" borderId="0" xfId="3" applyNumberFormat="1" applyFont="1" applyFill="1" applyAlignment="1">
      <alignment horizontal="right" vertical="center" indent="1"/>
    </xf>
    <xf numFmtId="10" fontId="104" fillId="2" borderId="0" xfId="0" applyNumberFormat="1" applyFont="1" applyFill="1" applyAlignment="1">
      <alignment horizontal="right" vertical="center" indent="1"/>
    </xf>
    <xf numFmtId="0" fontId="104" fillId="2" borderId="0" xfId="0" applyFont="1" applyFill="1" applyAlignment="1">
      <alignment horizontal="right" vertical="center" indent="1"/>
    </xf>
    <xf numFmtId="2" fontId="39" fillId="2" borderId="0" xfId="3" applyNumberFormat="1" applyFont="1" applyFill="1" applyAlignment="1">
      <alignment horizontal="right" vertical="center" indent="1"/>
    </xf>
    <xf numFmtId="0" fontId="137" fillId="2" borderId="0" xfId="0" applyFont="1" applyFill="1" applyAlignment="1">
      <alignment vertical="center"/>
    </xf>
    <xf numFmtId="3" fontId="137" fillId="2" borderId="0" xfId="0" applyNumberFormat="1" applyFont="1" applyFill="1" applyAlignment="1">
      <alignment horizontal="right" vertical="center" indent="1"/>
    </xf>
    <xf numFmtId="4" fontId="137" fillId="2" borderId="0" xfId="0" applyNumberFormat="1" applyFont="1" applyFill="1" applyAlignment="1">
      <alignment horizontal="right" vertical="center" indent="1"/>
    </xf>
    <xf numFmtId="10" fontId="137" fillId="2" borderId="0" xfId="3" applyNumberFormat="1" applyFont="1" applyFill="1" applyAlignment="1">
      <alignment horizontal="right" vertical="center" indent="1"/>
    </xf>
    <xf numFmtId="10" fontId="137" fillId="2" borderId="0" xfId="0" applyNumberFormat="1" applyFont="1" applyFill="1" applyAlignment="1">
      <alignment horizontal="right" vertical="center" indent="1"/>
    </xf>
    <xf numFmtId="0" fontId="137" fillId="2" borderId="0" xfId="0" applyFont="1" applyFill="1" applyAlignment="1">
      <alignment horizontal="right" vertical="center" indent="1"/>
    </xf>
    <xf numFmtId="2" fontId="120" fillId="2" borderId="0" xfId="3" applyNumberFormat="1" applyFont="1" applyFill="1" applyAlignment="1">
      <alignment horizontal="right" vertical="center" indent="1"/>
    </xf>
    <xf numFmtId="9" fontId="39" fillId="2" borderId="0" xfId="3" applyFont="1" applyFill="1" applyAlignment="1">
      <alignment horizontal="right" vertical="center" indent="1"/>
    </xf>
    <xf numFmtId="4" fontId="36" fillId="0" borderId="0" xfId="0" applyNumberFormat="1" applyFont="1" applyAlignment="1">
      <alignment horizontal="right" vertical="center" indent="1"/>
    </xf>
    <xf numFmtId="9" fontId="37" fillId="2" borderId="0" xfId="3" applyFont="1" applyFill="1" applyAlignment="1">
      <alignment horizontal="right" vertical="center" indent="1"/>
    </xf>
    <xf numFmtId="10" fontId="36" fillId="2" borderId="0" xfId="3" applyNumberFormat="1" applyFont="1" applyFill="1" applyAlignment="1">
      <alignment horizontal="center" vertical="center"/>
    </xf>
    <xf numFmtId="1" fontId="138" fillId="2" borderId="0" xfId="3" applyNumberFormat="1" applyFont="1" applyFill="1" applyAlignment="1">
      <alignment horizontal="center" vertical="center"/>
    </xf>
    <xf numFmtId="175" fontId="120" fillId="2" borderId="0" xfId="0" applyNumberFormat="1" applyFont="1" applyFill="1" applyAlignment="1">
      <alignment horizontal="right" vertical="center" indent="1"/>
    </xf>
    <xf numFmtId="169" fontId="36" fillId="2" borderId="0" xfId="3" applyNumberFormat="1" applyFont="1" applyFill="1" applyAlignment="1">
      <alignment horizontal="right" vertical="center" indent="1"/>
    </xf>
    <xf numFmtId="10" fontId="39" fillId="2" borderId="0" xfId="3" applyNumberFormat="1" applyFont="1" applyFill="1" applyAlignment="1">
      <alignment horizontal="center" vertical="center"/>
    </xf>
    <xf numFmtId="10" fontId="120" fillId="2" borderId="0" xfId="3" applyNumberFormat="1" applyFont="1" applyFill="1" applyAlignment="1">
      <alignment horizontal="center" vertical="center"/>
    </xf>
    <xf numFmtId="1" fontId="120" fillId="2" borderId="0" xfId="3" applyNumberFormat="1" applyFont="1" applyFill="1" applyAlignment="1">
      <alignment horizontal="center" vertical="center"/>
    </xf>
    <xf numFmtId="184" fontId="120" fillId="2" borderId="0" xfId="3" applyNumberFormat="1" applyFont="1" applyFill="1" applyAlignment="1">
      <alignment horizontal="center" vertical="center"/>
    </xf>
    <xf numFmtId="0" fontId="120" fillId="2" borderId="0" xfId="0" applyFont="1" applyFill="1" applyAlignment="1">
      <alignment horizontal="left" vertical="center"/>
    </xf>
    <xf numFmtId="2" fontId="120" fillId="2" borderId="0" xfId="3" applyNumberFormat="1" applyFont="1" applyFill="1" applyAlignment="1">
      <alignment horizontal="center" vertical="center"/>
    </xf>
    <xf numFmtId="192" fontId="120" fillId="2" borderId="0" xfId="3" applyNumberFormat="1" applyFont="1" applyFill="1" applyAlignment="1">
      <alignment horizontal="right" vertical="center" indent="1"/>
    </xf>
    <xf numFmtId="4" fontId="57" fillId="2" borderId="0" xfId="0" applyNumberFormat="1" applyFont="1" applyFill="1" applyAlignment="1">
      <alignment horizontal="right" vertical="center" indent="1"/>
    </xf>
    <xf numFmtId="10" fontId="57" fillId="2" borderId="0" xfId="3" applyNumberFormat="1" applyFont="1" applyFill="1" applyAlignment="1">
      <alignment horizontal="right" vertical="center" indent="1"/>
    </xf>
    <xf numFmtId="169" fontId="120" fillId="2" borderId="0" xfId="3" applyNumberFormat="1" applyFont="1" applyFill="1" applyAlignment="1">
      <alignment horizontal="right" vertical="center" indent="1"/>
    </xf>
    <xf numFmtId="10" fontId="135" fillId="2" borderId="0" xfId="3" applyNumberFormat="1" applyFont="1" applyFill="1" applyAlignment="1">
      <alignment horizontal="center" vertical="center"/>
    </xf>
    <xf numFmtId="188" fontId="39" fillId="2" borderId="0" xfId="3" applyNumberFormat="1" applyFont="1" applyFill="1" applyAlignment="1">
      <alignment horizontal="right" vertical="center" indent="1"/>
    </xf>
    <xf numFmtId="10" fontId="137" fillId="2" borderId="0" xfId="3" applyNumberFormat="1" applyFont="1" applyFill="1" applyAlignment="1">
      <alignment horizontal="center" vertical="center"/>
    </xf>
    <xf numFmtId="9" fontId="135" fillId="2" borderId="0" xfId="3" applyFont="1" applyFill="1" applyAlignment="1">
      <alignment horizontal="right" vertical="center" indent="1"/>
    </xf>
    <xf numFmtId="2" fontId="135" fillId="2" borderId="0" xfId="3" applyNumberFormat="1" applyFont="1" applyFill="1" applyAlignment="1">
      <alignment horizontal="right" vertical="center" indent="1"/>
    </xf>
    <xf numFmtId="2" fontId="57" fillId="2" borderId="0" xfId="3" applyNumberFormat="1" applyFont="1" applyFill="1" applyAlignment="1">
      <alignment horizontal="right" vertical="center" indent="1"/>
    </xf>
    <xf numFmtId="0" fontId="120" fillId="2" borderId="0" xfId="0" applyFont="1" applyFill="1" applyAlignment="1">
      <alignment horizontal="center" vertical="center"/>
    </xf>
    <xf numFmtId="2" fontId="120" fillId="2" borderId="0" xfId="3" applyNumberFormat="1" applyFont="1" applyFill="1" applyAlignment="1">
      <alignment horizontal="left" vertical="center" indent="1"/>
    </xf>
    <xf numFmtId="184" fontId="120" fillId="2" borderId="0" xfId="3" applyNumberFormat="1" applyFont="1" applyFill="1" applyAlignment="1">
      <alignment horizontal="right" vertical="center" indent="1"/>
    </xf>
    <xf numFmtId="184" fontId="135" fillId="2" borderId="0" xfId="3" applyNumberFormat="1" applyFont="1" applyFill="1" applyAlignment="1">
      <alignment horizontal="right" vertical="center" indent="1"/>
    </xf>
    <xf numFmtId="186" fontId="36" fillId="2" borderId="0" xfId="3" applyNumberFormat="1" applyFont="1" applyFill="1" applyAlignment="1">
      <alignment horizontal="right" vertical="center" indent="1"/>
    </xf>
    <xf numFmtId="4" fontId="139" fillId="2" borderId="0" xfId="0" applyNumberFormat="1" applyFont="1" applyFill="1" applyAlignment="1">
      <alignment horizontal="right" vertical="center" indent="1"/>
    </xf>
    <xf numFmtId="10" fontId="37" fillId="2" borderId="0" xfId="3" applyNumberFormat="1" applyFont="1" applyFill="1" applyAlignment="1">
      <alignment horizontal="center" vertical="center"/>
    </xf>
    <xf numFmtId="1" fontId="120" fillId="2" borderId="0" xfId="3" applyNumberFormat="1" applyFont="1" applyFill="1" applyAlignment="1">
      <alignment horizontal="left" vertical="center" indent="1"/>
    </xf>
    <xf numFmtId="167" fontId="36" fillId="2" borderId="0" xfId="66" applyFont="1" applyFill="1" applyAlignment="1">
      <alignment horizontal="right" vertical="center" indent="1"/>
    </xf>
    <xf numFmtId="0" fontId="140" fillId="2" borderId="0" xfId="0" applyFont="1" applyFill="1" applyAlignment="1">
      <alignment vertical="center"/>
    </xf>
    <xf numFmtId="2" fontId="108" fillId="2" borderId="0" xfId="0" applyNumberFormat="1" applyFont="1" applyFill="1" applyAlignment="1">
      <alignment horizontal="right" vertical="center" indent="1"/>
    </xf>
    <xf numFmtId="185" fontId="120" fillId="2" borderId="0" xfId="3" applyNumberFormat="1" applyFont="1" applyFill="1" applyAlignment="1">
      <alignment horizontal="center" vertical="center"/>
    </xf>
    <xf numFmtId="0" fontId="138" fillId="2" borderId="0" xfId="0" applyFont="1" applyFill="1" applyAlignment="1">
      <alignment horizontal="left" vertical="center"/>
    </xf>
    <xf numFmtId="0" fontId="138" fillId="3" borderId="0" xfId="0" applyFont="1" applyFill="1" applyAlignment="1">
      <alignment horizontal="left" vertical="center"/>
    </xf>
    <xf numFmtId="0" fontId="141" fillId="5" borderId="0" xfId="0" applyFont="1" applyFill="1" applyAlignment="1">
      <alignment horizontal="left"/>
    </xf>
    <xf numFmtId="0" fontId="141" fillId="5" borderId="0" xfId="0" applyFont="1" applyFill="1" applyAlignment="1">
      <alignment horizontal="left" vertical="center" indent="1"/>
    </xf>
    <xf numFmtId="0" fontId="141" fillId="5" borderId="0" xfId="0" applyFont="1" applyFill="1" applyAlignment="1">
      <alignment horizontal="left" vertical="top" indent="1"/>
    </xf>
    <xf numFmtId="10" fontId="138" fillId="2" borderId="0" xfId="3" applyNumberFormat="1" applyFont="1" applyFill="1" applyAlignment="1">
      <alignment horizontal="left" vertical="center" indent="1"/>
    </xf>
    <xf numFmtId="1" fontId="138" fillId="2" borderId="0" xfId="3" applyNumberFormat="1" applyFont="1" applyFill="1" applyAlignment="1">
      <alignment horizontal="left" vertical="center" indent="1"/>
    </xf>
    <xf numFmtId="10" fontId="141" fillId="2" borderId="0" xfId="3" applyNumberFormat="1" applyFont="1" applyFill="1" applyAlignment="1">
      <alignment horizontal="left" vertical="center" indent="1"/>
    </xf>
    <xf numFmtId="4" fontId="39" fillId="41" borderId="0" xfId="0" applyNumberFormat="1" applyFont="1" applyFill="1" applyAlignment="1">
      <alignment horizontal="right" vertical="center" indent="1"/>
    </xf>
    <xf numFmtId="3" fontId="120" fillId="2" borderId="0" xfId="0" applyNumberFormat="1" applyFont="1" applyFill="1" applyAlignment="1">
      <alignment horizontal="center" vertical="center"/>
    </xf>
    <xf numFmtId="10" fontId="120" fillId="2" borderId="0" xfId="3" applyNumberFormat="1" applyFont="1" applyFill="1" applyAlignment="1">
      <alignment horizontal="left" vertical="center" indent="1"/>
    </xf>
    <xf numFmtId="10" fontId="135" fillId="2" borderId="0" xfId="3" applyNumberFormat="1" applyFont="1" applyFill="1" applyAlignment="1">
      <alignment horizontal="left" vertical="center" indent="1"/>
    </xf>
    <xf numFmtId="4" fontId="36" fillId="2" borderId="0" xfId="3" applyNumberFormat="1" applyFont="1" applyFill="1" applyAlignment="1">
      <alignment horizontal="right" vertical="center" indent="1"/>
    </xf>
    <xf numFmtId="4" fontId="120" fillId="2" borderId="0" xfId="0" applyNumberFormat="1" applyFont="1" applyFill="1" applyAlignment="1">
      <alignment horizontal="center" vertical="center"/>
    </xf>
    <xf numFmtId="9" fontId="120" fillId="2" borderId="0" xfId="3" applyFont="1" applyFill="1" applyAlignment="1">
      <alignment horizontal="center" vertical="center"/>
    </xf>
    <xf numFmtId="4" fontId="120" fillId="2" borderId="0" xfId="3" applyNumberFormat="1" applyFont="1" applyFill="1" applyAlignment="1">
      <alignment horizontal="right" vertical="center" indent="1"/>
    </xf>
    <xf numFmtId="0" fontId="57" fillId="0" borderId="0" xfId="0" applyFont="1"/>
    <xf numFmtId="4" fontId="37" fillId="2" borderId="0" xfId="3" applyNumberFormat="1" applyFont="1" applyFill="1" applyAlignment="1">
      <alignment horizontal="right" vertical="center" indent="1"/>
    </xf>
    <xf numFmtId="0" fontId="37" fillId="2" borderId="0" xfId="0" applyFont="1" applyFill="1" applyAlignment="1">
      <alignment horizontal="left" vertical="center"/>
    </xf>
    <xf numFmtId="0" fontId="104" fillId="2" borderId="0" xfId="0" applyFont="1" applyFill="1" applyAlignment="1">
      <alignment vertical="center"/>
    </xf>
    <xf numFmtId="2" fontId="51" fillId="49" borderId="59" xfId="0" applyNumberFormat="1" applyFont="1" applyFill="1" applyBorder="1" applyAlignment="1">
      <alignment horizontal="center" vertical="center"/>
    </xf>
    <xf numFmtId="3" fontId="45" fillId="49" borderId="63" xfId="0" applyNumberFormat="1" applyFont="1" applyFill="1" applyBorder="1" applyAlignment="1">
      <alignment horizontal="center" vertical="center"/>
    </xf>
    <xf numFmtId="10" fontId="36" fillId="2" borderId="0" xfId="3" applyNumberFormat="1" applyFont="1" applyFill="1" applyAlignment="1">
      <alignment vertical="center" wrapText="1"/>
    </xf>
    <xf numFmtId="0" fontId="142" fillId="2" borderId="0" xfId="0" applyFont="1" applyFill="1" applyAlignment="1">
      <alignment horizontal="center" vertical="center"/>
    </xf>
    <xf numFmtId="4" fontId="91" fillId="2" borderId="0" xfId="0" applyNumberFormat="1" applyFont="1" applyFill="1" applyAlignment="1">
      <alignment horizontal="right" vertical="center" indent="1"/>
    </xf>
    <xf numFmtId="169" fontId="91" fillId="2" borderId="0" xfId="0" applyNumberFormat="1" applyFont="1" applyFill="1" applyAlignment="1">
      <alignment horizontal="right" vertical="center" indent="1"/>
    </xf>
    <xf numFmtId="0" fontId="91" fillId="2" borderId="0" xfId="0" applyFont="1" applyFill="1" applyAlignment="1">
      <alignment horizontal="right" vertical="center" indent="1"/>
    </xf>
    <xf numFmtId="187" fontId="91" fillId="2" borderId="0" xfId="0" applyNumberFormat="1" applyFont="1" applyFill="1" applyAlignment="1">
      <alignment horizontal="center" vertical="center"/>
    </xf>
    <xf numFmtId="175" fontId="143" fillId="2" borderId="52" xfId="0" applyNumberFormat="1" applyFont="1" applyFill="1" applyBorder="1" applyAlignment="1">
      <alignment horizontal="center" vertical="center"/>
    </xf>
    <xf numFmtId="3" fontId="91" fillId="2" borderId="0" xfId="0" applyNumberFormat="1" applyFont="1" applyFill="1" applyAlignment="1">
      <alignment horizontal="right" vertical="center" indent="1"/>
    </xf>
    <xf numFmtId="175" fontId="91" fillId="2" borderId="0" xfId="0" applyNumberFormat="1" applyFont="1" applyFill="1" applyAlignment="1">
      <alignment horizontal="center" vertical="center"/>
    </xf>
    <xf numFmtId="0" fontId="41" fillId="2" borderId="0" xfId="0" applyFont="1" applyFill="1" applyAlignment="1">
      <alignment vertical="center"/>
    </xf>
    <xf numFmtId="0" fontId="144" fillId="2" borderId="0" xfId="0" applyFont="1" applyFill="1" applyAlignment="1">
      <alignment vertical="center"/>
    </xf>
    <xf numFmtId="3" fontId="72" fillId="2" borderId="0" xfId="0" applyNumberFormat="1" applyFont="1" applyFill="1" applyAlignment="1">
      <alignment horizontal="right" vertical="center" indent="1"/>
    </xf>
    <xf numFmtId="0" fontId="145" fillId="0" borderId="0" xfId="0" applyFont="1"/>
    <xf numFmtId="0" fontId="145" fillId="0" borderId="0" xfId="0" applyFont="1" applyAlignment="1">
      <alignment horizontal="center"/>
    </xf>
    <xf numFmtId="4" fontId="120" fillId="2" borderId="0" xfId="0" applyNumberFormat="1" applyFont="1" applyFill="1" applyAlignment="1">
      <alignment horizontal="right" vertical="center" wrapText="1" indent="1"/>
    </xf>
    <xf numFmtId="4" fontId="146" fillId="2" borderId="0" xfId="0" applyNumberFormat="1" applyFont="1" applyFill="1" applyAlignment="1">
      <alignment horizontal="right" vertical="center" indent="1"/>
    </xf>
    <xf numFmtId="3" fontId="58" fillId="2" borderId="0" xfId="0" applyNumberFormat="1" applyFont="1" applyFill="1" applyAlignment="1">
      <alignment horizontal="right" vertical="center" indent="1"/>
    </xf>
    <xf numFmtId="10" fontId="58" fillId="2" borderId="0" xfId="3" applyNumberFormat="1" applyFont="1" applyFill="1" applyAlignment="1">
      <alignment horizontal="right" vertical="center" indent="1"/>
    </xf>
    <xf numFmtId="4" fontId="58" fillId="2" borderId="0" xfId="3" applyNumberFormat="1" applyFont="1" applyFill="1" applyAlignment="1">
      <alignment horizontal="right" vertical="center" indent="1"/>
    </xf>
    <xf numFmtId="10" fontId="37" fillId="0" borderId="0" xfId="3" applyNumberFormat="1" applyFont="1"/>
    <xf numFmtId="0" fontId="37" fillId="0" borderId="0" xfId="0" applyFont="1"/>
    <xf numFmtId="0" fontId="37" fillId="0" borderId="0" xfId="0" applyFont="1" applyAlignment="1">
      <alignment horizontal="center"/>
    </xf>
    <xf numFmtId="0" fontId="147" fillId="2" borderId="0" xfId="0" applyFont="1" applyFill="1" applyAlignment="1">
      <alignment vertical="center"/>
    </xf>
    <xf numFmtId="169" fontId="76" fillId="2" borderId="0" xfId="0" applyNumberFormat="1" applyFont="1" applyFill="1" applyAlignment="1">
      <alignment horizontal="center" vertical="center"/>
    </xf>
    <xf numFmtId="175" fontId="76" fillId="2" borderId="0" xfId="0" applyNumberFormat="1" applyFont="1" applyFill="1" applyAlignment="1">
      <alignment horizontal="center" vertical="center"/>
    </xf>
    <xf numFmtId="187" fontId="76" fillId="2" borderId="0" xfId="0" applyNumberFormat="1" applyFont="1" applyFill="1" applyAlignment="1">
      <alignment horizontal="center" vertical="center"/>
    </xf>
    <xf numFmtId="175" fontId="148" fillId="2" borderId="52" xfId="0" applyNumberFormat="1" applyFont="1" applyFill="1" applyBorder="1" applyAlignment="1">
      <alignment horizontal="center" vertical="center"/>
    </xf>
    <xf numFmtId="0" fontId="138" fillId="2" borderId="0" xfId="0" applyFont="1" applyFill="1" applyAlignment="1">
      <alignment vertical="center"/>
    </xf>
    <xf numFmtId="0" fontId="138" fillId="0" borderId="0" xfId="0" applyFont="1" applyAlignment="1">
      <alignment vertical="center"/>
    </xf>
    <xf numFmtId="169" fontId="149" fillId="2" borderId="0" xfId="0" applyNumberFormat="1" applyFont="1" applyFill="1" applyAlignment="1">
      <alignment horizontal="center" vertical="center"/>
    </xf>
    <xf numFmtId="175" fontId="149" fillId="2" borderId="0" xfId="0" applyNumberFormat="1" applyFont="1" applyFill="1" applyAlignment="1">
      <alignment horizontal="center" vertical="center"/>
    </xf>
    <xf numFmtId="187" fontId="149" fillId="2" borderId="0" xfId="0" applyNumberFormat="1" applyFont="1" applyFill="1" applyAlignment="1">
      <alignment horizontal="center" vertical="center"/>
    </xf>
    <xf numFmtId="175" fontId="150" fillId="2" borderId="52" xfId="0" applyNumberFormat="1" applyFont="1" applyFill="1" applyBorder="1" applyAlignment="1">
      <alignment horizontal="center" vertical="center"/>
    </xf>
    <xf numFmtId="0" fontId="56" fillId="0" borderId="0" xfId="0" applyFont="1" applyAlignment="1">
      <alignment horizontal="center"/>
    </xf>
    <xf numFmtId="0" fontId="136" fillId="0" borderId="0" xfId="0" applyFont="1"/>
    <xf numFmtId="0" fontId="151" fillId="2" borderId="0" xfId="0" applyFont="1" applyFill="1" applyAlignment="1">
      <alignment horizontal="center" vertical="center"/>
    </xf>
    <xf numFmtId="0" fontId="151" fillId="2" borderId="0" xfId="0" applyFont="1" applyFill="1" applyAlignment="1">
      <alignment vertical="center"/>
    </xf>
    <xf numFmtId="0" fontId="56" fillId="2" borderId="9" xfId="0" applyFont="1" applyFill="1" applyBorder="1" applyAlignment="1">
      <alignment vertical="center"/>
    </xf>
    <xf numFmtId="0" fontId="36" fillId="2" borderId="80" xfId="0" applyFont="1" applyFill="1" applyBorder="1" applyAlignment="1">
      <alignment vertical="center"/>
    </xf>
    <xf numFmtId="0" fontId="58" fillId="2" borderId="80" xfId="0" applyFont="1" applyFill="1" applyBorder="1" applyAlignment="1">
      <alignment vertical="center"/>
    </xf>
    <xf numFmtId="0" fontId="125" fillId="2" borderId="0" xfId="0" applyFont="1" applyFill="1" applyAlignment="1">
      <alignment vertical="center"/>
    </xf>
    <xf numFmtId="0" fontId="46" fillId="4" borderId="0" xfId="0" applyFont="1" applyFill="1" applyAlignment="1">
      <alignment horizontal="center" vertical="center" wrapText="1"/>
    </xf>
    <xf numFmtId="0" fontId="39" fillId="2" borderId="0" xfId="0" applyFont="1" applyFill="1" applyAlignment="1">
      <alignment horizontal="left" vertical="center"/>
    </xf>
    <xf numFmtId="0" fontId="40" fillId="4" borderId="0" xfId="0" applyFont="1" applyFill="1" applyAlignment="1">
      <alignment horizontal="left" vertical="center"/>
    </xf>
    <xf numFmtId="0" fontId="46" fillId="4" borderId="0" xfId="0" applyFont="1" applyFill="1" applyAlignment="1">
      <alignment horizontal="center"/>
    </xf>
    <xf numFmtId="0" fontId="46" fillId="4" borderId="0" xfId="0" applyFont="1" applyFill="1" applyAlignment="1">
      <alignment vertical="center"/>
    </xf>
    <xf numFmtId="0" fontId="46" fillId="4" borderId="0" xfId="0" applyFont="1" applyFill="1" applyAlignment="1">
      <alignment horizontal="center" vertical="center"/>
    </xf>
    <xf numFmtId="0" fontId="46" fillId="4" borderId="1" xfId="0" applyFont="1" applyFill="1" applyBorder="1" applyAlignment="1">
      <alignment horizontal="center" vertical="top" wrapText="1"/>
    </xf>
    <xf numFmtId="0" fontId="46" fillId="4" borderId="4" xfId="0" applyFont="1" applyFill="1" applyBorder="1" applyAlignment="1">
      <alignment horizontal="right" vertical="center" wrapText="1" indent="1"/>
    </xf>
    <xf numFmtId="0" fontId="46" fillId="4" borderId="0" xfId="0" applyFont="1" applyFill="1" applyAlignment="1">
      <alignment horizontal="right" vertical="center" wrapText="1" indent="1"/>
    </xf>
    <xf numFmtId="0" fontId="152" fillId="2" borderId="0" xfId="0" applyFont="1" applyFill="1" applyAlignment="1">
      <alignment vertical="center"/>
    </xf>
    <xf numFmtId="0" fontId="153" fillId="4" borderId="0" xfId="0" applyFont="1" applyFill="1" applyAlignment="1">
      <alignment horizontal="right" vertical="center" wrapText="1" indent="1"/>
    </xf>
    <xf numFmtId="0" fontId="58" fillId="2" borderId="0" xfId="0" applyFont="1" applyFill="1" applyAlignment="1">
      <alignment horizontal="right" vertical="center" indent="1"/>
    </xf>
    <xf numFmtId="9" fontId="58" fillId="2" borderId="0" xfId="3" applyFont="1" applyFill="1" applyAlignment="1">
      <alignment horizontal="right" vertical="center" indent="1"/>
    </xf>
    <xf numFmtId="3" fontId="111" fillId="2" borderId="0" xfId="0" applyNumberFormat="1" applyFont="1" applyFill="1" applyAlignment="1">
      <alignment horizontal="right" vertical="center" indent="1"/>
    </xf>
    <xf numFmtId="0" fontId="111" fillId="2" borderId="0" xfId="0" applyFont="1" applyFill="1" applyAlignment="1">
      <alignment horizontal="right" vertical="center" indent="1"/>
    </xf>
    <xf numFmtId="9" fontId="111" fillId="2" borderId="0" xfId="3" applyFont="1" applyFill="1" applyAlignment="1">
      <alignment horizontal="right" vertical="center" indent="1"/>
    </xf>
    <xf numFmtId="169" fontId="36" fillId="2" borderId="0" xfId="3" applyNumberFormat="1" applyFont="1" applyFill="1" applyAlignment="1">
      <alignment horizontal="left" vertical="center"/>
    </xf>
    <xf numFmtId="3" fontId="108" fillId="2" borderId="0" xfId="0" applyNumberFormat="1" applyFont="1" applyFill="1" applyAlignment="1">
      <alignment horizontal="right" vertical="center" indent="1"/>
    </xf>
    <xf numFmtId="0" fontId="108" fillId="2" borderId="0" xfId="0" applyFont="1" applyFill="1" applyAlignment="1">
      <alignment horizontal="right" vertical="center" indent="1"/>
    </xf>
    <xf numFmtId="9" fontId="108" fillId="2" borderId="0" xfId="3" applyFont="1" applyFill="1" applyAlignment="1">
      <alignment horizontal="right" vertical="center" indent="1"/>
    </xf>
    <xf numFmtId="0" fontId="154" fillId="2" borderId="0" xfId="0" applyFont="1" applyFill="1" applyAlignment="1">
      <alignment vertical="center"/>
    </xf>
    <xf numFmtId="193" fontId="155" fillId="49" borderId="64" xfId="4" applyNumberFormat="1" applyFont="1" applyFill="1" applyBorder="1" applyAlignment="1">
      <alignment horizontal="center" vertical="center"/>
    </xf>
    <xf numFmtId="193" fontId="155" fillId="49" borderId="65" xfId="4" applyNumberFormat="1" applyFont="1" applyFill="1" applyBorder="1" applyAlignment="1">
      <alignment horizontal="center" vertical="center" wrapText="1"/>
    </xf>
    <xf numFmtId="195" fontId="155" fillId="49" borderId="64" xfId="66" applyNumberFormat="1" applyFont="1" applyFill="1" applyBorder="1" applyAlignment="1">
      <alignment horizontal="center" vertical="center"/>
    </xf>
    <xf numFmtId="195" fontId="155" fillId="49" borderId="65" xfId="66" applyNumberFormat="1" applyFont="1" applyFill="1" applyBorder="1" applyAlignment="1">
      <alignment horizontal="center" vertical="center" wrapText="1"/>
    </xf>
    <xf numFmtId="193" fontId="56" fillId="2" borderId="64" xfId="4" applyNumberFormat="1" applyFont="1" applyFill="1" applyBorder="1" applyAlignment="1">
      <alignment horizontal="center" vertical="center" wrapText="1"/>
    </xf>
    <xf numFmtId="193" fontId="56" fillId="2" borderId="65" xfId="4" applyNumberFormat="1" applyFont="1" applyFill="1" applyBorder="1" applyAlignment="1">
      <alignment horizontal="center" vertical="center" wrapText="1"/>
    </xf>
    <xf numFmtId="0" fontId="105" fillId="2" borderId="64" xfId="66" applyNumberFormat="1" applyFont="1" applyFill="1" applyBorder="1" applyAlignment="1">
      <alignment horizontal="center" vertical="center"/>
    </xf>
    <xf numFmtId="0" fontId="105" fillId="2" borderId="65" xfId="66" applyNumberFormat="1" applyFont="1" applyFill="1" applyBorder="1" applyAlignment="1">
      <alignment horizontal="center" vertical="center" wrapText="1"/>
    </xf>
    <xf numFmtId="195" fontId="105" fillId="2" borderId="64" xfId="66" applyNumberFormat="1" applyFont="1" applyFill="1" applyBorder="1" applyAlignment="1" applyProtection="1">
      <alignment horizontal="center" vertical="center"/>
    </xf>
    <xf numFmtId="195" fontId="105" fillId="2" borderId="65" xfId="66" applyNumberFormat="1" applyFont="1" applyFill="1" applyBorder="1" applyAlignment="1" applyProtection="1">
      <alignment horizontal="center" vertical="center" wrapText="1"/>
    </xf>
    <xf numFmtId="172" fontId="156" fillId="2" borderId="64" xfId="3" applyNumberFormat="1" applyFont="1" applyFill="1" applyBorder="1" applyAlignment="1">
      <alignment horizontal="center" vertical="center"/>
    </xf>
    <xf numFmtId="169" fontId="156" fillId="2" borderId="65" xfId="3" applyNumberFormat="1" applyFont="1" applyFill="1" applyBorder="1" applyAlignment="1">
      <alignment horizontal="center" vertical="center"/>
    </xf>
    <xf numFmtId="0" fontId="157" fillId="4" borderId="1" xfId="0" applyFont="1" applyFill="1" applyBorder="1" applyAlignment="1">
      <alignment horizontal="center" vertical="top" wrapText="1"/>
    </xf>
    <xf numFmtId="0" fontId="136" fillId="0" borderId="0" xfId="0" applyFont="1" applyAlignment="1">
      <alignment horizontal="center"/>
    </xf>
    <xf numFmtId="0" fontId="151" fillId="0" borderId="0" xfId="0" applyFont="1"/>
    <xf numFmtId="0" fontId="158" fillId="0" borderId="0" xfId="0" applyFont="1" applyAlignment="1">
      <alignment horizontal="center"/>
    </xf>
    <xf numFmtId="0" fontId="159" fillId="50" borderId="0" xfId="0" applyFont="1" applyFill="1" applyAlignment="1">
      <alignment horizontal="center" vertical="center"/>
    </xf>
    <xf numFmtId="0" fontId="159" fillId="0" borderId="0" xfId="0" applyFont="1" applyAlignment="1">
      <alignment vertical="center"/>
    </xf>
    <xf numFmtId="169" fontId="74" fillId="44" borderId="0" xfId="3" applyNumberFormat="1" applyFont="1" applyFill="1" applyBorder="1" applyAlignment="1">
      <alignment vertical="center"/>
    </xf>
    <xf numFmtId="3" fontId="75" fillId="44" borderId="81" xfId="3" applyNumberFormat="1" applyFont="1" applyFill="1" applyBorder="1" applyAlignment="1">
      <alignment vertical="center"/>
    </xf>
    <xf numFmtId="0" fontId="71" fillId="42" borderId="0" xfId="0" applyFont="1" applyFill="1" applyAlignment="1">
      <alignment horizontal="center" vertical="center" wrapText="1"/>
    </xf>
    <xf numFmtId="3" fontId="72" fillId="44" borderId="81" xfId="0" applyNumberFormat="1" applyFont="1" applyFill="1" applyBorder="1" applyAlignment="1">
      <alignment horizontal="right" vertical="center"/>
    </xf>
    <xf numFmtId="0" fontId="160" fillId="49" borderId="0" xfId="0" applyFont="1" applyFill="1" applyAlignment="1">
      <alignment vertical="center"/>
    </xf>
    <xf numFmtId="3" fontId="72" fillId="44" borderId="81" xfId="3" applyNumberFormat="1" applyFont="1" applyFill="1" applyBorder="1" applyAlignment="1">
      <alignment vertical="center"/>
    </xf>
    <xf numFmtId="10" fontId="62" fillId="2" borderId="0" xfId="3" applyNumberFormat="1" applyFont="1" applyFill="1" applyAlignment="1">
      <alignment horizontal="right" vertical="center" indent="1"/>
    </xf>
    <xf numFmtId="0" fontId="62" fillId="2" borderId="0" xfId="0" applyFont="1" applyFill="1" applyAlignment="1">
      <alignment vertical="center"/>
    </xf>
    <xf numFmtId="0" fontId="64" fillId="2" borderId="0" xfId="0" applyFont="1" applyFill="1" applyAlignment="1">
      <alignment vertical="center"/>
    </xf>
    <xf numFmtId="3" fontId="64" fillId="2" borderId="0" xfId="0" applyNumberFormat="1" applyFont="1" applyFill="1" applyAlignment="1">
      <alignment horizontal="right" vertical="center" indent="1"/>
    </xf>
    <xf numFmtId="4" fontId="64" fillId="2" borderId="0" xfId="0" applyNumberFormat="1" applyFont="1" applyFill="1" applyAlignment="1">
      <alignment horizontal="right" vertical="center" indent="1"/>
    </xf>
    <xf numFmtId="10" fontId="64" fillId="2" borderId="0" xfId="3" applyNumberFormat="1" applyFont="1" applyFill="1" applyAlignment="1">
      <alignment horizontal="right" vertical="center" indent="1"/>
    </xf>
    <xf numFmtId="9" fontId="64" fillId="2" borderId="0" xfId="3" applyFont="1" applyFill="1" applyAlignment="1">
      <alignment horizontal="right" vertical="center" indent="1"/>
    </xf>
    <xf numFmtId="4" fontId="62" fillId="2" borderId="0" xfId="0" applyNumberFormat="1" applyFont="1" applyFill="1" applyAlignment="1">
      <alignment horizontal="right" vertical="center" indent="1"/>
    </xf>
    <xf numFmtId="10" fontId="62" fillId="2" borderId="0" xfId="0" applyNumberFormat="1" applyFont="1" applyFill="1" applyAlignment="1">
      <alignment horizontal="right" vertical="center" indent="1"/>
    </xf>
    <xf numFmtId="0" fontId="62" fillId="2" borderId="0" xfId="0" applyFont="1" applyFill="1" applyAlignment="1">
      <alignment horizontal="right" vertical="center" indent="1"/>
    </xf>
    <xf numFmtId="10" fontId="64" fillId="2" borderId="0" xfId="0" applyNumberFormat="1" applyFont="1" applyFill="1" applyAlignment="1">
      <alignment horizontal="right" vertical="center" indent="1"/>
    </xf>
    <xf numFmtId="0" fontId="64" fillId="2" borderId="0" xfId="0" applyFont="1" applyFill="1" applyAlignment="1">
      <alignment horizontal="right" vertical="center" indent="1"/>
    </xf>
    <xf numFmtId="4" fontId="62" fillId="55" borderId="0" xfId="0" applyNumberFormat="1" applyFont="1" applyFill="1" applyAlignment="1">
      <alignment horizontal="right" vertical="center" indent="1"/>
    </xf>
    <xf numFmtId="3" fontId="62" fillId="2" borderId="0" xfId="0" applyNumberFormat="1" applyFont="1" applyFill="1" applyAlignment="1">
      <alignment horizontal="right" vertical="center" indent="1"/>
    </xf>
    <xf numFmtId="2" fontId="64" fillId="2" borderId="0" xfId="3" applyNumberFormat="1" applyFont="1" applyFill="1" applyAlignment="1">
      <alignment horizontal="right" vertical="center" indent="1"/>
    </xf>
    <xf numFmtId="2" fontId="62" fillId="2" borderId="0" xfId="3" applyNumberFormat="1" applyFont="1" applyFill="1" applyAlignment="1">
      <alignment horizontal="right" vertical="center" indent="1"/>
    </xf>
    <xf numFmtId="192" fontId="36" fillId="2" borderId="0" xfId="3" applyNumberFormat="1" applyFont="1" applyFill="1" applyAlignment="1">
      <alignment horizontal="right" vertical="center" indent="1"/>
    </xf>
    <xf numFmtId="0" fontId="141" fillId="0" borderId="0" xfId="0" applyFont="1" applyAlignment="1">
      <alignment vertical="center"/>
    </xf>
    <xf numFmtId="0" fontId="162" fillId="2" borderId="0" xfId="0" applyFont="1" applyFill="1" applyAlignment="1">
      <alignment vertical="center"/>
    </xf>
    <xf numFmtId="0" fontId="163" fillId="2" borderId="0" xfId="0" applyFont="1" applyFill="1" applyAlignment="1">
      <alignment vertical="center"/>
    </xf>
    <xf numFmtId="0" fontId="8" fillId="3" borderId="0" xfId="0" applyFont="1" applyFill="1" applyAlignment="1">
      <alignment horizontal="center" vertical="center"/>
    </xf>
    <xf numFmtId="0" fontId="77" fillId="50" borderId="0" xfId="0" applyFont="1" applyFill="1" applyAlignment="1">
      <alignment vertical="center"/>
    </xf>
    <xf numFmtId="0" fontId="105" fillId="0" borderId="0" xfId="0" applyFont="1" applyAlignment="1">
      <alignment vertical="center"/>
    </xf>
    <xf numFmtId="0" fontId="71" fillId="0" borderId="0" xfId="0" applyFont="1"/>
    <xf numFmtId="0" fontId="164" fillId="0" borderId="0" xfId="0" applyFont="1" applyAlignment="1">
      <alignment vertical="center"/>
    </xf>
    <xf numFmtId="0" fontId="40" fillId="2" borderId="0" xfId="0" applyFont="1" applyFill="1" applyAlignment="1">
      <alignment vertical="center"/>
    </xf>
    <xf numFmtId="0" fontId="40" fillId="2" borderId="0" xfId="0" applyFont="1" applyFill="1" applyAlignment="1">
      <alignment vertical="center" wrapText="1"/>
    </xf>
    <xf numFmtId="4" fontId="3" fillId="2" borderId="0" xfId="0" applyNumberFormat="1" applyFont="1" applyFill="1"/>
    <xf numFmtId="0" fontId="58" fillId="2" borderId="0" xfId="0" applyFont="1" applyFill="1" applyAlignment="1">
      <alignment vertical="center" wrapText="1"/>
    </xf>
    <xf numFmtId="0" fontId="70" fillId="0" borderId="0" xfId="0" applyFont="1"/>
    <xf numFmtId="2" fontId="36" fillId="2" borderId="0" xfId="3" applyNumberFormat="1" applyFont="1" applyFill="1" applyAlignment="1">
      <alignment horizontal="center" vertical="center"/>
    </xf>
    <xf numFmtId="2" fontId="37" fillId="2" borderId="0" xfId="3" applyNumberFormat="1" applyFont="1" applyFill="1" applyAlignment="1">
      <alignment horizontal="right" vertical="center" indent="1"/>
    </xf>
    <xf numFmtId="10" fontId="36" fillId="2" borderId="0" xfId="3" applyNumberFormat="1" applyFont="1" applyFill="1" applyAlignment="1">
      <alignment horizontal="left" vertical="center" wrapText="1" indent="1"/>
    </xf>
    <xf numFmtId="0" fontId="40" fillId="0" borderId="0" xfId="0" applyFont="1"/>
    <xf numFmtId="0" fontId="36" fillId="0" borderId="0" xfId="0" applyFont="1" applyAlignment="1">
      <alignment horizontal="left" vertical="center"/>
    </xf>
    <xf numFmtId="9" fontId="104" fillId="2" borderId="0" xfId="3" applyFont="1" applyFill="1" applyBorder="1" applyAlignment="1">
      <alignment horizontal="right" vertical="center" indent="1"/>
    </xf>
    <xf numFmtId="169" fontId="104" fillId="2" borderId="0" xfId="3" applyNumberFormat="1" applyFont="1" applyFill="1" applyBorder="1" applyAlignment="1">
      <alignment horizontal="right" vertical="center" indent="1"/>
    </xf>
    <xf numFmtId="10" fontId="67" fillId="2" borderId="30" xfId="3" applyNumberFormat="1" applyFont="1" applyFill="1" applyBorder="1" applyAlignment="1">
      <alignment horizontal="left" vertical="center"/>
    </xf>
    <xf numFmtId="7" fontId="58" fillId="2" borderId="0" xfId="0" applyNumberFormat="1" applyFont="1" applyFill="1" applyAlignment="1">
      <alignment vertical="center"/>
    </xf>
    <xf numFmtId="7" fontId="104" fillId="2" borderId="0" xfId="0" applyNumberFormat="1" applyFont="1" applyFill="1"/>
    <xf numFmtId="169" fontId="104" fillId="2" borderId="0" xfId="3" applyNumberFormat="1" applyFont="1" applyFill="1" applyAlignment="1">
      <alignment vertical="top" wrapText="1"/>
    </xf>
    <xf numFmtId="10" fontId="104" fillId="2" borderId="0" xfId="3" applyNumberFormat="1" applyFont="1" applyFill="1" applyAlignment="1">
      <alignment vertical="top" wrapText="1"/>
    </xf>
    <xf numFmtId="170" fontId="104" fillId="2" borderId="0" xfId="0" applyNumberFormat="1" applyFont="1" applyFill="1"/>
    <xf numFmtId="0" fontId="124" fillId="3" borderId="0" xfId="0" applyFont="1" applyFill="1" applyAlignment="1">
      <alignment horizontal="left" vertical="center"/>
    </xf>
    <xf numFmtId="0" fontId="104" fillId="3" borderId="0" xfId="0" applyFont="1" applyFill="1" applyAlignment="1">
      <alignment horizontal="center" vertical="center"/>
    </xf>
    <xf numFmtId="2" fontId="104" fillId="2" borderId="0" xfId="0" applyNumberFormat="1" applyFont="1" applyFill="1" applyAlignment="1">
      <alignment horizontal="right" vertical="center" indent="1"/>
    </xf>
    <xf numFmtId="3" fontId="58" fillId="2" borderId="0" xfId="0" applyNumberFormat="1" applyFont="1" applyFill="1" applyAlignment="1">
      <alignment horizontal="center" vertical="center"/>
    </xf>
    <xf numFmtId="3" fontId="58" fillId="2" borderId="0" xfId="0" applyNumberFormat="1" applyFont="1" applyFill="1" applyAlignment="1">
      <alignment horizontal="left" vertical="center"/>
    </xf>
    <xf numFmtId="2" fontId="104" fillId="0" borderId="0" xfId="0" applyNumberFormat="1" applyFont="1" applyAlignment="1">
      <alignment horizontal="right" vertical="center" indent="1"/>
    </xf>
    <xf numFmtId="10" fontId="104" fillId="2" borderId="0" xfId="3" applyNumberFormat="1" applyFont="1" applyFill="1" applyBorder="1" applyAlignment="1">
      <alignment horizontal="right" vertical="center" indent="1"/>
    </xf>
    <xf numFmtId="1" fontId="104" fillId="2" borderId="0" xfId="0" applyNumberFormat="1" applyFont="1" applyFill="1" applyAlignment="1">
      <alignment horizontal="right" vertical="center" indent="1"/>
    </xf>
    <xf numFmtId="3" fontId="58" fillId="2" borderId="0" xfId="0" applyNumberFormat="1" applyFont="1" applyFill="1" applyAlignment="1">
      <alignment horizontal="left" vertical="center" wrapText="1"/>
    </xf>
    <xf numFmtId="3" fontId="36" fillId="2" borderId="0" xfId="0" applyNumberFormat="1" applyFont="1" applyFill="1" applyAlignment="1">
      <alignment horizontal="left" vertical="center"/>
    </xf>
    <xf numFmtId="3" fontId="58" fillId="0" borderId="0" xfId="0" applyNumberFormat="1" applyFont="1" applyAlignment="1">
      <alignment horizontal="left" vertical="center"/>
    </xf>
    <xf numFmtId="9" fontId="58" fillId="2" borderId="0" xfId="3" applyFont="1" applyFill="1" applyBorder="1" applyAlignment="1">
      <alignment vertical="center"/>
    </xf>
    <xf numFmtId="3" fontId="104" fillId="2" borderId="0" xfId="0" applyNumberFormat="1" applyFont="1" applyFill="1" applyAlignment="1">
      <alignment horizontal="right" vertical="center" indent="1"/>
    </xf>
    <xf numFmtId="0" fontId="126" fillId="2" borderId="0" xfId="0" applyFont="1" applyFill="1" applyAlignment="1">
      <alignment vertical="center"/>
    </xf>
    <xf numFmtId="195" fontId="104" fillId="2" borderId="0" xfId="66" applyNumberFormat="1" applyFont="1" applyFill="1" applyBorder="1" applyAlignment="1">
      <alignment horizontal="right" vertical="center" indent="1"/>
    </xf>
    <xf numFmtId="2" fontId="104" fillId="40" borderId="0" xfId="0" applyNumberFormat="1" applyFont="1" applyFill="1" applyAlignment="1">
      <alignment horizontal="right" vertical="center" indent="1"/>
    </xf>
    <xf numFmtId="2" fontId="58" fillId="2" borderId="0" xfId="0" applyNumberFormat="1" applyFont="1" applyFill="1" applyAlignment="1">
      <alignment horizontal="right" vertical="center" indent="1"/>
    </xf>
    <xf numFmtId="2" fontId="104" fillId="45" borderId="0" xfId="0" applyNumberFormat="1" applyFont="1" applyFill="1" applyAlignment="1">
      <alignment horizontal="right" vertical="center" indent="1"/>
    </xf>
    <xf numFmtId="177" fontId="104" fillId="2" borderId="0" xfId="3" applyNumberFormat="1" applyFont="1" applyFill="1" applyBorder="1" applyAlignment="1">
      <alignment horizontal="right" vertical="center" indent="1"/>
    </xf>
    <xf numFmtId="3" fontId="104" fillId="2" borderId="0" xfId="0" applyNumberFormat="1" applyFont="1" applyFill="1" applyAlignment="1">
      <alignment horizontal="right" vertical="center"/>
    </xf>
    <xf numFmtId="0" fontId="142" fillId="0" borderId="0" xfId="0" applyFont="1" applyAlignment="1">
      <alignment horizontal="right" vertical="center"/>
    </xf>
    <xf numFmtId="0" fontId="36" fillId="0" borderId="0" xfId="0" applyFont="1" applyAlignment="1">
      <alignment horizontal="right"/>
    </xf>
    <xf numFmtId="175" fontId="72" fillId="2" borderId="6" xfId="0" applyNumberFormat="1" applyFont="1" applyFill="1" applyBorder="1" applyAlignment="1">
      <alignment horizontal="center" vertical="center"/>
    </xf>
    <xf numFmtId="0" fontId="46" fillId="42" borderId="46" xfId="0" applyFont="1" applyFill="1" applyBorder="1" applyAlignment="1">
      <alignment horizontal="left" vertical="top" wrapText="1"/>
    </xf>
    <xf numFmtId="0" fontId="46" fillId="42" borderId="45" xfId="0" applyFont="1" applyFill="1" applyBorder="1" applyAlignment="1">
      <alignment horizontal="left" vertical="top" wrapText="1"/>
    </xf>
    <xf numFmtId="0" fontId="55" fillId="2" borderId="0" xfId="2" applyFont="1" applyFill="1" applyAlignment="1">
      <alignment horizontal="left" vertical="center"/>
    </xf>
    <xf numFmtId="0" fontId="36" fillId="0" borderId="0" xfId="0" applyFont="1" applyAlignment="1">
      <alignment horizontal="left" vertical="center"/>
    </xf>
    <xf numFmtId="0" fontId="46" fillId="42" borderId="19" xfId="0" applyFont="1" applyFill="1" applyBorder="1" applyAlignment="1">
      <alignment horizontal="center" vertical="top" wrapText="1"/>
    </xf>
    <xf numFmtId="0" fontId="46" fillId="42" borderId="0" xfId="0" applyFont="1" applyFill="1" applyAlignment="1">
      <alignment horizontal="center" vertical="top" wrapText="1"/>
    </xf>
    <xf numFmtId="0" fontId="46" fillId="42" borderId="46" xfId="0" applyFont="1" applyFill="1" applyBorder="1" applyAlignment="1">
      <alignment horizontal="center" vertical="top" wrapText="1"/>
    </xf>
    <xf numFmtId="0" fontId="46" fillId="42" borderId="45" xfId="0" applyFont="1" applyFill="1" applyBorder="1" applyAlignment="1">
      <alignment horizontal="center" vertical="top" wrapText="1"/>
    </xf>
    <xf numFmtId="170" fontId="50" fillId="2" borderId="64" xfId="0" applyNumberFormat="1" applyFont="1" applyFill="1" applyBorder="1" applyAlignment="1">
      <alignment horizontal="center" vertical="center"/>
    </xf>
    <xf numFmtId="170" fontId="50" fillId="2" borderId="65" xfId="0" applyNumberFormat="1" applyFont="1" applyFill="1" applyBorder="1" applyAlignment="1">
      <alignment horizontal="center" vertical="center"/>
    </xf>
    <xf numFmtId="3" fontId="45" fillId="49" borderId="64" xfId="0" applyNumberFormat="1" applyFont="1" applyFill="1" applyBorder="1" applyAlignment="1">
      <alignment horizontal="center" vertical="center"/>
    </xf>
    <xf numFmtId="3" fontId="45" fillId="49" borderId="65" xfId="0" applyNumberFormat="1" applyFont="1" applyFill="1" applyBorder="1" applyAlignment="1">
      <alignment horizontal="center" vertical="center"/>
    </xf>
    <xf numFmtId="0" fontId="40" fillId="54" borderId="71" xfId="0" applyFont="1" applyFill="1" applyBorder="1" applyAlignment="1">
      <alignment horizontal="center" vertical="center"/>
    </xf>
    <xf numFmtId="0" fontId="40" fillId="54" borderId="72" xfId="0" applyFont="1" applyFill="1" applyBorder="1" applyAlignment="1">
      <alignment horizontal="center" vertical="center"/>
    </xf>
    <xf numFmtId="0" fontId="40" fillId="54" borderId="73" xfId="0" applyFont="1" applyFill="1" applyBorder="1" applyAlignment="1">
      <alignment horizontal="center" vertical="center" wrapText="1"/>
    </xf>
    <xf numFmtId="0" fontId="40" fillId="54" borderId="74" xfId="0" applyFont="1" applyFill="1" applyBorder="1" applyAlignment="1">
      <alignment horizontal="center" vertical="center" wrapText="1"/>
    </xf>
    <xf numFmtId="170" fontId="123" fillId="49" borderId="75" xfId="0" applyNumberFormat="1" applyFont="1" applyFill="1" applyBorder="1" applyAlignment="1">
      <alignment horizontal="center" vertical="center"/>
    </xf>
    <xf numFmtId="170" fontId="123" fillId="49" borderId="76" xfId="0" applyNumberFormat="1" applyFont="1" applyFill="1" applyBorder="1" applyAlignment="1">
      <alignment horizontal="center" vertical="center"/>
    </xf>
    <xf numFmtId="0" fontId="40" fillId="48" borderId="28" xfId="0" applyFont="1" applyFill="1" applyBorder="1" applyAlignment="1">
      <alignment horizontal="center" vertical="center" wrapText="1"/>
    </xf>
    <xf numFmtId="0" fontId="40" fillId="48" borderId="26" xfId="0" applyFont="1" applyFill="1" applyBorder="1" applyAlignment="1">
      <alignment horizontal="center" vertical="center" wrapText="1"/>
    </xf>
    <xf numFmtId="3" fontId="45" fillId="2" borderId="31" xfId="0" applyNumberFormat="1" applyFont="1" applyFill="1" applyBorder="1" applyAlignment="1">
      <alignment horizontal="center" vertical="center" wrapText="1"/>
    </xf>
    <xf numFmtId="3" fontId="45" fillId="2" borderId="30" xfId="0" applyNumberFormat="1" applyFont="1" applyFill="1" applyBorder="1" applyAlignment="1">
      <alignment horizontal="center" vertical="center" wrapText="1"/>
    </xf>
    <xf numFmtId="3" fontId="45" fillId="2" borderId="64" xfId="0" applyNumberFormat="1" applyFont="1" applyFill="1" applyBorder="1" applyAlignment="1">
      <alignment horizontal="center" vertical="center"/>
    </xf>
    <xf numFmtId="3" fontId="45" fillId="2" borderId="0" xfId="0" applyNumberFormat="1" applyFont="1" applyFill="1" applyAlignment="1">
      <alignment horizontal="center" vertical="center"/>
    </xf>
    <xf numFmtId="170" fontId="50" fillId="2" borderId="29" xfId="0" applyNumberFormat="1" applyFont="1" applyFill="1" applyBorder="1" applyAlignment="1">
      <alignment horizontal="center" vertical="center"/>
    </xf>
    <xf numFmtId="170" fontId="50" fillId="2" borderId="0" xfId="0" applyNumberFormat="1" applyFont="1" applyFill="1" applyAlignment="1">
      <alignment horizontal="center" vertical="center"/>
    </xf>
    <xf numFmtId="0" fontId="40" fillId="48" borderId="68" xfId="0" applyFont="1" applyFill="1" applyBorder="1" applyAlignment="1">
      <alignment horizontal="center" vertical="center"/>
    </xf>
    <xf numFmtId="0" fontId="40" fillId="48" borderId="69" xfId="0" applyFont="1" applyFill="1" applyBorder="1" applyAlignment="1">
      <alignment horizontal="center" vertical="center"/>
    </xf>
    <xf numFmtId="0" fontId="40" fillId="48" borderId="64" xfId="0" applyFont="1" applyFill="1" applyBorder="1" applyAlignment="1">
      <alignment horizontal="center" vertical="center" wrapText="1"/>
    </xf>
    <xf numFmtId="0" fontId="40" fillId="48" borderId="0" xfId="0" applyFont="1" applyFill="1" applyAlignment="1">
      <alignment horizontal="center" vertical="center" wrapText="1"/>
    </xf>
    <xf numFmtId="3" fontId="45" fillId="49" borderId="29" xfId="0" applyNumberFormat="1" applyFont="1" applyFill="1" applyBorder="1" applyAlignment="1">
      <alignment horizontal="center" vertical="center"/>
    </xf>
    <xf numFmtId="170" fontId="50" fillId="49" borderId="29" xfId="0" applyNumberFormat="1" applyFont="1" applyFill="1" applyBorder="1" applyAlignment="1">
      <alignment horizontal="center" vertical="center"/>
    </xf>
    <xf numFmtId="3" fontId="45" fillId="2" borderId="31" xfId="0" applyNumberFormat="1" applyFont="1" applyFill="1" applyBorder="1" applyAlignment="1">
      <alignment horizontal="center" vertical="center"/>
    </xf>
    <xf numFmtId="3" fontId="45" fillId="2" borderId="30" xfId="0" applyNumberFormat="1" applyFont="1" applyFill="1" applyBorder="1" applyAlignment="1">
      <alignment horizontal="center" vertical="center"/>
    </xf>
    <xf numFmtId="0" fontId="40" fillId="48" borderId="27" xfId="0" applyFont="1" applyFill="1" applyBorder="1" applyAlignment="1">
      <alignment horizontal="center" vertical="center"/>
    </xf>
    <xf numFmtId="0" fontId="40" fillId="48" borderId="27" xfId="0" applyFont="1" applyFill="1" applyBorder="1" applyAlignment="1">
      <alignment horizontal="center" vertical="center" wrapText="1"/>
    </xf>
    <xf numFmtId="170" fontId="123" fillId="2" borderId="64" xfId="0" applyNumberFormat="1" applyFont="1" applyFill="1" applyBorder="1" applyAlignment="1">
      <alignment horizontal="center" vertical="center"/>
    </xf>
    <xf numFmtId="170" fontId="123" fillId="2" borderId="65" xfId="0" applyNumberFormat="1" applyFont="1" applyFill="1" applyBorder="1" applyAlignment="1">
      <alignment horizontal="center" vertical="center"/>
    </xf>
    <xf numFmtId="3" fontId="45" fillId="2" borderId="65" xfId="0" applyNumberFormat="1" applyFont="1" applyFill="1" applyBorder="1" applyAlignment="1">
      <alignment horizontal="center" vertical="center"/>
    </xf>
    <xf numFmtId="3" fontId="45" fillId="49" borderId="31" xfId="0" applyNumberFormat="1" applyFont="1" applyFill="1" applyBorder="1" applyAlignment="1">
      <alignment horizontal="center" vertical="center" wrapText="1"/>
    </xf>
    <xf numFmtId="3" fontId="45" fillId="49" borderId="30" xfId="0" applyNumberFormat="1" applyFont="1" applyFill="1" applyBorder="1" applyAlignment="1">
      <alignment horizontal="center" vertical="center" wrapText="1"/>
    </xf>
    <xf numFmtId="170" fontId="50" fillId="49" borderId="64" xfId="0" applyNumberFormat="1" applyFont="1" applyFill="1" applyBorder="1" applyAlignment="1">
      <alignment horizontal="center" vertical="center"/>
    </xf>
    <xf numFmtId="170" fontId="50" fillId="49" borderId="0" xfId="0" applyNumberFormat="1" applyFont="1" applyFill="1" applyAlignment="1">
      <alignment horizontal="center" vertical="center"/>
    </xf>
    <xf numFmtId="3" fontId="45" fillId="49" borderId="0" xfId="0" applyNumberFormat="1" applyFont="1" applyFill="1" applyAlignment="1">
      <alignment horizontal="center" vertical="center"/>
    </xf>
    <xf numFmtId="170" fontId="50" fillId="2" borderId="31" xfId="0" applyNumberFormat="1" applyFont="1" applyFill="1" applyBorder="1" applyAlignment="1">
      <alignment horizontal="center" vertical="center"/>
    </xf>
    <xf numFmtId="170" fontId="50" fillId="2" borderId="30" xfId="0" applyNumberFormat="1" applyFont="1" applyFill="1" applyBorder="1" applyAlignment="1">
      <alignment horizontal="center" vertical="center"/>
    </xf>
    <xf numFmtId="170" fontId="50" fillId="49" borderId="31" xfId="0" applyNumberFormat="1" applyFont="1" applyFill="1" applyBorder="1" applyAlignment="1">
      <alignment horizontal="center" vertical="center"/>
    </xf>
    <xf numFmtId="170" fontId="50" fillId="49" borderId="30" xfId="0" applyNumberFormat="1" applyFont="1" applyFill="1" applyBorder="1" applyAlignment="1">
      <alignment horizontal="center" vertical="center"/>
    </xf>
    <xf numFmtId="3" fontId="45" fillId="49" borderId="31" xfId="0" applyNumberFormat="1" applyFont="1" applyFill="1" applyBorder="1" applyAlignment="1">
      <alignment horizontal="center" vertical="center"/>
    </xf>
    <xf numFmtId="3" fontId="45" fillId="49" borderId="30" xfId="0" applyNumberFormat="1" applyFont="1" applyFill="1" applyBorder="1" applyAlignment="1">
      <alignment horizontal="center" vertical="center"/>
    </xf>
    <xf numFmtId="170" fontId="50" fillId="49" borderId="65" xfId="0" applyNumberFormat="1" applyFont="1" applyFill="1" applyBorder="1" applyAlignment="1">
      <alignment horizontal="center" vertical="center"/>
    </xf>
    <xf numFmtId="0" fontId="40" fillId="48" borderId="35" xfId="0" applyFont="1" applyFill="1" applyBorder="1" applyAlignment="1">
      <alignment horizontal="center" vertical="center"/>
    </xf>
    <xf numFmtId="0" fontId="40" fillId="48" borderId="35" xfId="0" applyFont="1" applyFill="1" applyBorder="1" applyAlignment="1">
      <alignment horizontal="center" vertical="center" wrapText="1"/>
    </xf>
    <xf numFmtId="0" fontId="40" fillId="48" borderId="70" xfId="0" applyFont="1" applyFill="1" applyBorder="1" applyAlignment="1">
      <alignment horizontal="center" vertical="center"/>
    </xf>
    <xf numFmtId="0" fontId="40" fillId="48" borderId="65" xfId="0" applyFont="1" applyFill="1" applyBorder="1" applyAlignment="1">
      <alignment horizontal="center" vertical="center" wrapText="1"/>
    </xf>
    <xf numFmtId="0" fontId="46" fillId="4" borderId="0" xfId="0" applyFont="1" applyFill="1" applyAlignment="1">
      <alignment horizontal="center" vertical="center" wrapText="1"/>
    </xf>
    <xf numFmtId="170" fontId="123" fillId="49" borderId="64" xfId="0" applyNumberFormat="1" applyFont="1" applyFill="1" applyBorder="1" applyAlignment="1">
      <alignment horizontal="center" vertical="center"/>
    </xf>
    <xf numFmtId="170" fontId="123" fillId="49" borderId="65" xfId="0" applyNumberFormat="1" applyFont="1" applyFill="1" applyBorder="1" applyAlignment="1">
      <alignment horizontal="center" vertical="center"/>
    </xf>
    <xf numFmtId="3" fontId="45" fillId="2" borderId="64" xfId="0" applyNumberFormat="1" applyFont="1" applyFill="1" applyBorder="1" applyAlignment="1">
      <alignment horizontal="center" vertical="center" wrapText="1"/>
    </xf>
    <xf numFmtId="3" fontId="45" fillId="2" borderId="65" xfId="0" applyNumberFormat="1" applyFont="1" applyFill="1" applyBorder="1" applyAlignment="1">
      <alignment horizontal="center" vertical="center" wrapText="1"/>
    </xf>
    <xf numFmtId="3" fontId="45" fillId="49" borderId="64" xfId="0" applyNumberFormat="1" applyFont="1" applyFill="1" applyBorder="1" applyAlignment="1">
      <alignment horizontal="center" vertical="center" wrapText="1"/>
    </xf>
    <xf numFmtId="3" fontId="45" fillId="49" borderId="65" xfId="0" applyNumberFormat="1" applyFont="1" applyFill="1" applyBorder="1" applyAlignment="1">
      <alignment horizontal="center" vertical="center" wrapText="1"/>
    </xf>
    <xf numFmtId="0" fontId="51" fillId="49" borderId="64" xfId="0" applyFont="1" applyFill="1" applyBorder="1" applyAlignment="1">
      <alignment horizontal="center" vertical="center"/>
    </xf>
    <xf numFmtId="0" fontId="51" fillId="49" borderId="0" xfId="0" applyFont="1" applyFill="1" applyAlignment="1">
      <alignment horizontal="center" vertical="center"/>
    </xf>
    <xf numFmtId="0" fontId="51" fillId="49" borderId="65" xfId="0" applyFont="1" applyFill="1" applyBorder="1" applyAlignment="1">
      <alignment horizontal="center" vertical="center"/>
    </xf>
    <xf numFmtId="0" fontId="51" fillId="2" borderId="64" xfId="0" applyFont="1" applyFill="1" applyBorder="1" applyAlignment="1">
      <alignment horizontal="center" vertical="center"/>
    </xf>
    <xf numFmtId="0" fontId="51" fillId="2" borderId="0" xfId="0" applyFont="1" applyFill="1" applyAlignment="1">
      <alignment horizontal="center" vertical="center"/>
    </xf>
    <xf numFmtId="0" fontId="51" fillId="2" borderId="65" xfId="0" applyFont="1" applyFill="1" applyBorder="1" applyAlignment="1">
      <alignment horizontal="center" vertical="center"/>
    </xf>
    <xf numFmtId="0" fontId="54" fillId="49" borderId="64" xfId="0" applyFont="1" applyFill="1" applyBorder="1" applyAlignment="1">
      <alignment horizontal="center" vertical="center"/>
    </xf>
    <xf numFmtId="0" fontId="54" fillId="49" borderId="0" xfId="0" applyFont="1" applyFill="1" applyAlignment="1">
      <alignment horizontal="center" vertical="center"/>
    </xf>
    <xf numFmtId="0" fontId="54" fillId="49" borderId="65" xfId="0" applyFont="1" applyFill="1" applyBorder="1" applyAlignment="1">
      <alignment horizontal="center" vertical="center"/>
    </xf>
    <xf numFmtId="1" fontId="45" fillId="49" borderId="64" xfId="66" applyNumberFormat="1" applyFont="1" applyFill="1" applyBorder="1" applyAlignment="1">
      <alignment horizontal="center" vertical="center"/>
    </xf>
    <xf numFmtId="1" fontId="45" fillId="49" borderId="0" xfId="66" applyNumberFormat="1" applyFont="1" applyFill="1" applyBorder="1" applyAlignment="1">
      <alignment horizontal="center" vertical="center"/>
    </xf>
    <xf numFmtId="1" fontId="45" fillId="49" borderId="65" xfId="66" applyNumberFormat="1" applyFont="1" applyFill="1" applyBorder="1" applyAlignment="1">
      <alignment horizontal="center" vertical="center"/>
    </xf>
    <xf numFmtId="0" fontId="4" fillId="2" borderId="0" xfId="0" applyFont="1" applyFill="1" applyAlignment="1">
      <alignment horizontal="center"/>
    </xf>
    <xf numFmtId="0" fontId="9" fillId="2" borderId="0" xfId="2" applyFont="1" applyFill="1" applyAlignment="1">
      <alignment horizontal="left" vertical="center"/>
    </xf>
    <xf numFmtId="0" fontId="0" fillId="0" borderId="0" xfId="0" applyAlignment="1">
      <alignment horizontal="left" vertical="center"/>
    </xf>
    <xf numFmtId="0" fontId="39" fillId="49" borderId="0" xfId="0" applyFont="1" applyFill="1" applyAlignment="1">
      <alignment horizontal="center" vertical="center" wrapText="1"/>
    </xf>
    <xf numFmtId="0" fontId="39" fillId="49" borderId="54" xfId="0" applyFont="1" applyFill="1" applyBorder="1" applyAlignment="1">
      <alignment horizontal="center" vertical="center"/>
    </xf>
    <xf numFmtId="0" fontId="4" fillId="51" borderId="0" xfId="0" applyFont="1" applyFill="1" applyAlignment="1">
      <alignment horizontal="center" vertical="center"/>
    </xf>
    <xf numFmtId="0" fontId="46" fillId="52" borderId="0" xfId="0" applyFont="1" applyFill="1" applyAlignment="1">
      <alignment horizontal="center" vertical="center"/>
    </xf>
    <xf numFmtId="0" fontId="40" fillId="5" borderId="1" xfId="0" applyFont="1" applyFill="1" applyBorder="1" applyAlignment="1">
      <alignment horizontal="center"/>
    </xf>
    <xf numFmtId="0" fontId="40" fillId="7" borderId="24" xfId="0" applyFont="1" applyFill="1" applyBorder="1" applyAlignment="1">
      <alignment horizontal="center" vertical="center"/>
    </xf>
    <xf numFmtId="0" fontId="40" fillId="7" borderId="25" xfId="0" applyFont="1" applyFill="1" applyBorder="1" applyAlignment="1">
      <alignment horizontal="center" vertical="center"/>
    </xf>
    <xf numFmtId="0" fontId="90" fillId="53" borderId="8" xfId="0" applyFont="1" applyFill="1" applyBorder="1" applyAlignment="1">
      <alignment horizontal="center" vertical="center" wrapText="1"/>
    </xf>
    <xf numFmtId="0" fontId="90" fillId="53" borderId="53" xfId="0" applyFont="1" applyFill="1" applyBorder="1" applyAlignment="1">
      <alignment horizontal="center" vertical="center"/>
    </xf>
    <xf numFmtId="0" fontId="90" fillId="53" borderId="13" xfId="0" applyFont="1" applyFill="1" applyBorder="1" applyAlignment="1">
      <alignment horizontal="center" vertical="center"/>
    </xf>
    <xf numFmtId="0" fontId="90" fillId="53" borderId="0" xfId="0" applyFont="1" applyFill="1" applyAlignment="1">
      <alignment horizontal="center" vertical="center"/>
    </xf>
    <xf numFmtId="0" fontId="90" fillId="46" borderId="0" xfId="0" applyFont="1" applyFill="1" applyAlignment="1">
      <alignment horizontal="center" vertical="center" wrapText="1"/>
    </xf>
    <xf numFmtId="0" fontId="90" fillId="46" borderId="8" xfId="0" applyFont="1" applyFill="1" applyBorder="1" applyAlignment="1">
      <alignment horizontal="center" vertical="center" wrapText="1"/>
    </xf>
    <xf numFmtId="0" fontId="83" fillId="5" borderId="3" xfId="0" applyFont="1" applyFill="1" applyBorder="1" applyAlignment="1">
      <alignment horizontal="center" vertical="center"/>
    </xf>
    <xf numFmtId="0" fontId="46" fillId="5" borderId="5" xfId="0" applyFont="1" applyFill="1" applyBorder="1" applyAlignment="1">
      <alignment horizontal="center" vertical="center"/>
    </xf>
    <xf numFmtId="0" fontId="90" fillId="46" borderId="13" xfId="0" applyFont="1" applyFill="1" applyBorder="1" applyAlignment="1">
      <alignment horizontal="center" vertical="center"/>
    </xf>
    <xf numFmtId="0" fontId="83" fillId="5" borderId="0" xfId="0" applyFont="1" applyFill="1" applyAlignment="1">
      <alignment horizontal="center" vertical="center"/>
    </xf>
    <xf numFmtId="0" fontId="90" fillId="46" borderId="0" xfId="0" applyFont="1" applyFill="1" applyAlignment="1">
      <alignment horizontal="center" vertical="center"/>
    </xf>
    <xf numFmtId="0" fontId="77" fillId="48" borderId="0" xfId="0" applyFont="1" applyFill="1" applyAlignment="1">
      <alignment vertical="center"/>
    </xf>
    <xf numFmtId="0" fontId="46" fillId="5" borderId="0" xfId="0" applyFont="1" applyFill="1" applyAlignment="1">
      <alignment horizontal="left" vertical="center"/>
    </xf>
    <xf numFmtId="0" fontId="90" fillId="46" borderId="53" xfId="0" applyFont="1" applyFill="1" applyBorder="1" applyAlignment="1">
      <alignment horizontal="center" vertical="center"/>
    </xf>
    <xf numFmtId="0" fontId="90" fillId="53" borderId="0" xfId="0" applyFont="1" applyFill="1" applyAlignment="1">
      <alignment horizontal="center" vertical="center" wrapText="1"/>
    </xf>
    <xf numFmtId="0" fontId="46" fillId="5" borderId="0" xfId="0" applyFont="1" applyFill="1" applyAlignment="1">
      <alignment horizontal="center" vertical="center"/>
    </xf>
    <xf numFmtId="0" fontId="46" fillId="5" borderId="3" xfId="0" applyFont="1" applyFill="1" applyBorder="1" applyAlignment="1">
      <alignment horizontal="center" vertical="center"/>
    </xf>
    <xf numFmtId="0" fontId="55" fillId="2" borderId="0" xfId="2" applyFont="1" applyFill="1" applyBorder="1" applyAlignment="1">
      <alignment horizontal="left" vertical="center"/>
    </xf>
    <xf numFmtId="0" fontId="40" fillId="5" borderId="28" xfId="0" applyFont="1" applyFill="1" applyBorder="1" applyAlignment="1">
      <alignment horizontal="center" vertical="center" wrapText="1"/>
    </xf>
    <xf numFmtId="0" fontId="36" fillId="0" borderId="28" xfId="0" applyFont="1" applyBorder="1" applyAlignment="1">
      <alignment horizontal="center" vertical="center" wrapText="1"/>
    </xf>
    <xf numFmtId="0" fontId="40" fillId="5" borderId="0" xfId="0" applyFont="1" applyFill="1" applyAlignment="1">
      <alignment horizontal="center" vertical="center"/>
    </xf>
  </cellXfs>
  <cellStyles count="72">
    <cellStyle name="20% - Accent1 2" xfId="30" xr:uid="{21B6A3AB-050B-429A-A9E2-AF22ACAFCC21}"/>
    <cellStyle name="20% - Accent2 2" xfId="34" xr:uid="{E74FB4EC-2174-47CD-8343-208E69D4CC44}"/>
    <cellStyle name="20% - Accent3 2" xfId="38" xr:uid="{9853197C-3900-46E8-8927-0427B51CE16D}"/>
    <cellStyle name="20% - Accent4 2" xfId="42" xr:uid="{AB9B20FB-8817-4D0D-B8F8-780B44D6F485}"/>
    <cellStyle name="20% - Accent5 2" xfId="46" xr:uid="{C35F5D2A-2414-4AD8-A0E0-78DA7EB28D22}"/>
    <cellStyle name="20% - Accent6 2" xfId="50" xr:uid="{736690DE-46B2-435F-A398-A82BF5E81AA2}"/>
    <cellStyle name="40% - Accent1 2" xfId="31" xr:uid="{56EA35B6-716D-4E32-B2A5-C007B6C5906E}"/>
    <cellStyle name="40% - Accent2 2" xfId="35" xr:uid="{316110E8-D269-4560-AE7A-1A8E078CC1DE}"/>
    <cellStyle name="40% - Accent3 2" xfId="39" xr:uid="{9AA3EF94-029A-47CF-89B2-0A0F08AC5F06}"/>
    <cellStyle name="40% - Accent4 2" xfId="43" xr:uid="{11A3A30A-B16E-4ED8-839A-93F47E36EC3C}"/>
    <cellStyle name="40% - Accent5 2" xfId="47" xr:uid="{BED8DAD8-0FC0-48CA-AE32-CFBACCD28828}"/>
    <cellStyle name="40% - Accent6 2" xfId="51" xr:uid="{6309B1F6-7C4B-4696-B540-9100C00A9F69}"/>
    <cellStyle name="60% - Accent1 2" xfId="32" xr:uid="{0A1AF8A6-F78D-419C-8E48-5A8613AA9CEA}"/>
    <cellStyle name="60% - Accent2 2" xfId="36" xr:uid="{95F4470A-CD52-4EFB-B432-CDFFD49D82FF}"/>
    <cellStyle name="60% - Accent3 2" xfId="40" xr:uid="{BC90B960-56DE-4280-A83D-FD6A645FF666}"/>
    <cellStyle name="60% - Accent4 2" xfId="44" xr:uid="{6C39D7C8-4F2A-4000-9CCD-739AA2199C5D}"/>
    <cellStyle name="60% - Accent5 2" xfId="48" xr:uid="{E8A5659A-1FD5-4CA3-B62C-012BD0805EE5}"/>
    <cellStyle name="60% - Accent6 2" xfId="52" xr:uid="{A825B52E-338D-435C-A134-BC69F090E69A}"/>
    <cellStyle name="Accent1 2" xfId="29" xr:uid="{2B047AEC-D964-4177-975D-D57BFC7CE921}"/>
    <cellStyle name="Accent2 2" xfId="33" xr:uid="{97ADB351-5779-4339-979C-6C68F0F8790E}"/>
    <cellStyle name="Accent3 2" xfId="37" xr:uid="{11766CEF-4B61-4A55-87E0-7E916BAB52D9}"/>
    <cellStyle name="Accent4 2" xfId="41" xr:uid="{C1BC497A-2BD1-4F79-AA3A-2BF83B362216}"/>
    <cellStyle name="Accent5 2" xfId="45" xr:uid="{7056A060-286C-424B-8B09-D8AE25181159}"/>
    <cellStyle name="Accent6 2" xfId="49" xr:uid="{24B71E2E-63A9-41D8-A264-815D7ACCA078}"/>
    <cellStyle name="Bad 2" xfId="19" xr:uid="{BE7A0AF5-B058-4120-82F3-FE7DDCAC9AA2}"/>
    <cellStyle name="Calculation 2" xfId="23" xr:uid="{81A19796-4F35-479C-A434-F4497B6C37D5}"/>
    <cellStyle name="Calculation 3" xfId="69" xr:uid="{432EF1F0-434F-4F8F-B5EB-85D410B3D95A}"/>
    <cellStyle name="Check Cell 2" xfId="25" xr:uid="{1838C58B-ED8B-4ACA-8768-8F40DDA98A2C}"/>
    <cellStyle name="Comma" xfId="66" builtinId="3"/>
    <cellStyle name="Comma [0]" xfId="7" builtinId="6" customBuiltin="1"/>
    <cellStyle name="Comma [0] 2" xfId="60" xr:uid="{0E7BA506-9AEF-4162-9DDC-F5A7533ED711}"/>
    <cellStyle name="Comma 2" xfId="12" xr:uid="{6420F009-738B-4445-A025-DB7FCA110149}"/>
    <cellStyle name="Comma 3" xfId="58" xr:uid="{E7DF8F41-E733-49A8-A973-FC9684A8D3ED}"/>
    <cellStyle name="Comma 4" xfId="59" xr:uid="{7382F3C5-F93A-4968-8382-A57B3F4128CD}"/>
    <cellStyle name="Comma 5" xfId="63" xr:uid="{99B1C000-5D79-49F3-A8EA-2B8273E96908}"/>
    <cellStyle name="Comma 6" xfId="67" xr:uid="{081F93C7-B1A5-4CEA-8CEE-98C99977D5F7}"/>
    <cellStyle name="Confidential Information" xfId="70" xr:uid="{2FC7AD8E-A3F7-46CF-B957-B0E3699D4FBF}"/>
    <cellStyle name="Currency" xfId="4" builtinId="4"/>
    <cellStyle name="Currency [0]" xfId="8" builtinId="7" customBuiltin="1"/>
    <cellStyle name="Currency [0] 2" xfId="62" xr:uid="{081458F4-D262-439F-8343-F478A60EBDC3}"/>
    <cellStyle name="Currency 2" xfId="13" xr:uid="{A5D81D97-6EB6-47A9-B276-83246E57DAB1}"/>
    <cellStyle name="Currency 3" xfId="61" xr:uid="{3C8A76C1-1185-4B90-A3DE-BBEB50A6BAA0}"/>
    <cellStyle name="Currency 4" xfId="64" xr:uid="{DD52EB5A-1E0B-48DB-A8B6-5E764C1BA0FE}"/>
    <cellStyle name="Currency 5" xfId="71" xr:uid="{C21A3372-93E0-4C16-A298-0E5E9496FA8E}"/>
    <cellStyle name="dms_NUM 2" xfId="5" xr:uid="{FE2F55E6-1BDA-4D0A-A06C-516968D585DB}"/>
    <cellStyle name="Explanatory Text 2" xfId="27" xr:uid="{379B564B-0F27-49D9-A755-02001C9ED720}"/>
    <cellStyle name="Good 2" xfId="18" xr:uid="{607731C0-D52F-4EAA-AE5A-D8125FBFB2EA}"/>
    <cellStyle name="Heading 1 2" xfId="14" xr:uid="{6887BE66-F828-4F67-B001-7D55574E2F33}"/>
    <cellStyle name="Heading 2 2" xfId="15" xr:uid="{6682124F-7DE1-4035-BBB2-798BD28FE362}"/>
    <cellStyle name="Heading 3 2" xfId="16" xr:uid="{9EA1C73F-B189-4CC9-B826-83EAD277B489}"/>
    <cellStyle name="Heading 4 2" xfId="17" xr:uid="{3D0A0B64-3FBC-4FE1-B483-38458E94EDFE}"/>
    <cellStyle name="Hyperlink" xfId="2" builtinId="8"/>
    <cellStyle name="Input 2" xfId="21" xr:uid="{5CA80B96-5552-48C7-B881-F26406BFD878}"/>
    <cellStyle name="Linked Cell 2" xfId="24" xr:uid="{4152F064-3F1C-4798-AD93-B5C3466DC1FB}"/>
    <cellStyle name="Neutral 2" xfId="20" xr:uid="{4A56B3A6-9892-4222-A3CB-920C98E292FC}"/>
    <cellStyle name="Normal" xfId="0" builtinId="0"/>
    <cellStyle name="Normal 2" xfId="1" xr:uid="{00000000-0005-0000-0000-000002000000}"/>
    <cellStyle name="Normal 2 2" xfId="54" xr:uid="{5493F9B1-8465-49A6-B4CE-BE5D962C4889}"/>
    <cellStyle name="Normal 2 3" xfId="65" xr:uid="{7C458109-F7A6-4A59-AC7D-990BD30A2ECB}"/>
    <cellStyle name="Normal 2 4" xfId="68" xr:uid="{53E501A4-3CA6-416D-A80B-65BB4FDF4A8D}"/>
    <cellStyle name="Normal 3" xfId="56" xr:uid="{CF870800-B086-40EA-9145-984F4093360E}"/>
    <cellStyle name="Normal 3 2" xfId="57" xr:uid="{6C1EB402-623F-4120-A110-E9A71452D6C2}"/>
    <cellStyle name="Normal 4" xfId="6" xr:uid="{175E8A08-E153-497B-85B3-4D0B33C54B80}"/>
    <cellStyle name="Normal 5" xfId="11" xr:uid="{DA771629-519E-481F-8A60-A47B7E7AC41D}"/>
    <cellStyle name="Note" xfId="10" builtinId="10" customBuiltin="1"/>
    <cellStyle name="Output 2" xfId="22" xr:uid="{CF109DD5-E47D-4B7A-BA84-78ABEF4EF6E7}"/>
    <cellStyle name="Percent" xfId="3" builtinId="5" customBuiltin="1"/>
    <cellStyle name="Percent 2" xfId="53" xr:uid="{6DA65D31-B5F4-45DB-818C-EF1C63E9767D}"/>
    <cellStyle name="Percent 3" xfId="55" xr:uid="{C5639A66-F18A-48DB-84EC-2629C3FE01BE}"/>
    <cellStyle name="Title" xfId="9" builtinId="15" customBuiltin="1"/>
    <cellStyle name="Total 2" xfId="28" xr:uid="{CBF35292-BC56-4685-8656-A41DC7DD4626}"/>
    <cellStyle name="Warning Text 2" xfId="26" xr:uid="{50038F35-98CD-48B7-81CC-CEC959100595}"/>
  </cellStyles>
  <dxfs count="1399">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ill>
        <patternFill>
          <bgColor theme="0" tint="-4.9989318521683403E-2"/>
        </patternFill>
      </fill>
    </dxf>
    <dxf>
      <fill>
        <patternFill>
          <bgColor theme="0" tint="-4.9989318521683403E-2"/>
        </patternFill>
      </fill>
    </dxf>
    <dxf>
      <font>
        <color theme="0"/>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ill>
        <patternFill>
          <bgColor theme="0" tint="-4.9989318521683403E-2"/>
        </patternFill>
      </fill>
    </dxf>
    <dxf>
      <font>
        <color theme="0" tint="-4.9989318521683403E-2"/>
      </font>
    </dxf>
    <dxf>
      <font>
        <color theme="0"/>
      </font>
    </dxf>
    <dxf>
      <fill>
        <patternFill>
          <bgColor theme="0" tint="-4.9989318521683403E-2"/>
        </patternFill>
      </fill>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tint="-4.9989318521683403E-2"/>
      </font>
    </dxf>
    <dxf>
      <fill>
        <patternFill>
          <bgColor theme="0" tint="-4.9989318521683403E-2"/>
        </patternFill>
      </fill>
    </dxf>
    <dxf>
      <font>
        <color theme="0"/>
      </font>
    </dxf>
    <dxf>
      <font>
        <color theme="0" tint="-4.9989318521683403E-2"/>
      </font>
    </dxf>
    <dxf>
      <fill>
        <patternFill>
          <bgColor theme="0" tint="-4.9989318521683403E-2"/>
        </patternFill>
      </fill>
    </dxf>
    <dxf>
      <font>
        <color theme="0"/>
      </font>
    </dxf>
    <dxf>
      <font>
        <color theme="0" tint="-4.9989318521683403E-2"/>
      </font>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font>
    </dxf>
    <dxf>
      <font>
        <color theme="0" tint="-4.9989318521683403E-2"/>
      </font>
    </dxf>
    <dxf>
      <font>
        <color theme="0"/>
      </font>
    </dxf>
    <dxf>
      <fill>
        <patternFill>
          <bgColor theme="0" tint="-4.9989318521683403E-2"/>
        </patternFill>
      </fill>
    </dxf>
    <dxf>
      <font>
        <color theme="0" tint="-4.9989318521683403E-2"/>
      </font>
    </dxf>
    <dxf>
      <fill>
        <patternFill>
          <bgColor theme="0" tint="-4.9989318521683403E-2"/>
        </patternFill>
      </fill>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ill>
        <patternFill>
          <bgColor theme="0" tint="-4.9989318521683403E-2"/>
        </patternFill>
      </fill>
    </dxf>
    <dxf>
      <font>
        <color theme="0" tint="-4.9989318521683403E-2"/>
      </font>
    </dxf>
    <dxf>
      <font>
        <color theme="0" tint="-4.9989318521683403E-2"/>
      </font>
    </dxf>
    <dxf>
      <font>
        <color theme="0"/>
      </font>
    </dxf>
    <dxf>
      <fill>
        <patternFill>
          <bgColor theme="0" tint="-4.9989318521683403E-2"/>
        </patternFill>
      </fill>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ont>
        <color theme="0"/>
      </font>
    </dxf>
    <dxf>
      <font>
        <color theme="0" tint="-4.9989318521683403E-2"/>
      </font>
    </dxf>
    <dxf>
      <fill>
        <patternFill>
          <bgColor theme="0" tint="-4.9989318521683403E-2"/>
        </patternFill>
      </fill>
    </dxf>
    <dxf>
      <font>
        <color theme="0" tint="-4.9989318521683403E-2"/>
      </font>
    </dxf>
    <dxf>
      <font>
        <color theme="0"/>
      </font>
    </dxf>
    <dxf>
      <fill>
        <patternFill>
          <bgColor theme="0" tint="-4.9989318521683403E-2"/>
        </patternFill>
      </fill>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font>
    </dxf>
    <dxf>
      <font>
        <color theme="0" tint="-4.9989318521683403E-2"/>
      </font>
    </dxf>
    <dxf>
      <fill>
        <patternFill>
          <bgColor theme="0" tint="-4.9989318521683403E-2"/>
        </patternFill>
      </fill>
    </dxf>
    <dxf>
      <font>
        <color theme="0"/>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font>
    </dxf>
    <dxf>
      <font>
        <color theme="0" tint="-4.9989318521683403E-2"/>
      </font>
    </dxf>
    <dxf>
      <fill>
        <patternFill>
          <bgColor theme="0" tint="-4.9989318521683403E-2"/>
        </patternFill>
      </fill>
    </dxf>
    <dxf>
      <fill>
        <patternFill>
          <bgColor theme="0" tint="-4.9989318521683403E-2"/>
        </patternFill>
      </fill>
    </dxf>
    <dxf>
      <font>
        <color theme="0" tint="-4.9989318521683403E-2"/>
      </font>
    </dxf>
    <dxf>
      <font>
        <color theme="0"/>
      </font>
    </dxf>
    <dxf>
      <font>
        <color theme="0"/>
      </font>
    </dxf>
    <dxf>
      <font>
        <color theme="0" tint="-4.9989318521683403E-2"/>
      </font>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font>
    </dxf>
    <dxf>
      <font>
        <color theme="0" tint="-4.9989318521683403E-2"/>
      </font>
    </dxf>
    <dxf>
      <fill>
        <patternFill>
          <bgColor theme="0" tint="-4.9989318521683403E-2"/>
        </patternFill>
      </fill>
    </dxf>
    <dxf>
      <font>
        <color theme="0" tint="-4.9989318521683403E-2"/>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ill>
        <patternFill>
          <bgColor theme="0" tint="-4.9989318521683403E-2"/>
        </patternFill>
      </fill>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font>
    </dxf>
    <dxf>
      <font>
        <color theme="0" tint="-0.14996795556505021"/>
      </font>
    </dxf>
    <dxf>
      <font>
        <color theme="0" tint="-0.14996795556505021"/>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font>
    </dxf>
    <dxf>
      <font>
        <color theme="0"/>
      </font>
    </dxf>
    <dxf>
      <font>
        <color theme="0" tint="-0.14996795556505021"/>
      </font>
    </dxf>
    <dxf>
      <fill>
        <patternFill>
          <bgColor theme="0" tint="-0.14996795556505021"/>
        </patternFill>
      </fill>
    </dxf>
    <dxf>
      <fill>
        <patternFill>
          <bgColor theme="0" tint="-0.14996795556505021"/>
        </patternFill>
      </fill>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font>
    </dxf>
    <dxf>
      <fill>
        <patternFill>
          <bgColor theme="0" tint="-0.14996795556505021"/>
        </patternFill>
      </fill>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ill>
        <patternFill>
          <bgColor theme="0" tint="-0.14996795556505021"/>
        </patternFill>
      </fill>
    </dxf>
    <dxf>
      <fill>
        <patternFill>
          <bgColor theme="0" tint="-0.14996795556505021"/>
        </patternFill>
      </fill>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theme="0" tint="-0.14996795556505021"/>
        </patternFill>
      </fill>
    </dxf>
    <dxf>
      <font>
        <color theme="0" tint="-0.14996795556505021"/>
      </font>
    </dxf>
    <dxf>
      <font>
        <color theme="0"/>
      </font>
    </dxf>
    <dxf>
      <fill>
        <patternFill>
          <bgColor theme="0" tint="-0.14996795556505021"/>
        </patternFill>
      </fill>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tint="-0.14996795556505021"/>
      </font>
    </dxf>
    <dxf>
      <font>
        <color theme="0"/>
      </font>
    </dxf>
    <dxf>
      <fill>
        <patternFill>
          <bgColor theme="0" tint="-0.14996795556505021"/>
        </patternFill>
      </fill>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theme="0" tint="-0.14996795556505021"/>
        </patternFill>
      </fill>
    </dxf>
    <dxf>
      <font>
        <color theme="0" tint="-0.14996795556505021"/>
      </font>
    </dxf>
    <dxf>
      <font>
        <color theme="0"/>
      </font>
    </dxf>
    <dxf>
      <fill>
        <patternFill>
          <bgColor theme="0" tint="-0.14996795556505021"/>
        </patternFill>
      </fill>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font>
    </dxf>
    <dxf>
      <font>
        <color theme="0" tint="-0.14996795556505021"/>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font>
    </dxf>
    <dxf>
      <fill>
        <patternFill>
          <bgColor theme="0" tint="-0.14996795556505021"/>
        </patternFill>
      </fill>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tint="-0.14996795556505021"/>
      </font>
    </dxf>
    <dxf>
      <font>
        <color theme="0"/>
      </font>
    </dxf>
    <dxf>
      <font>
        <color theme="0" tint="-0.14996795556505021"/>
      </font>
    </dxf>
    <dxf>
      <font>
        <color theme="0"/>
      </font>
    </dxf>
    <dxf>
      <fill>
        <patternFill>
          <bgColor theme="0" tint="-0.14996795556505021"/>
        </patternFill>
      </fill>
    </dxf>
    <dxf>
      <font>
        <color rgb="FF92D050"/>
      </font>
    </dxf>
    <dxf>
      <font>
        <color rgb="FFC00000"/>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rgb="FFC00000"/>
      </font>
    </dxf>
    <dxf>
      <font>
        <color rgb="FF92D050"/>
      </font>
    </dxf>
    <dxf>
      <fill>
        <patternFill>
          <bgColor theme="0" tint="-0.14996795556505021"/>
        </patternFill>
      </fill>
    </dxf>
    <dxf>
      <font>
        <color theme="0" tint="-0.14996795556505021"/>
      </font>
    </dxf>
    <dxf>
      <font>
        <color theme="0"/>
      </font>
    </dxf>
    <dxf>
      <font>
        <color theme="0" tint="-0.14996795556505021"/>
      </font>
    </dxf>
    <dxf>
      <font>
        <color theme="0"/>
      </font>
    </dxf>
    <dxf>
      <font>
        <color rgb="FF92D050"/>
      </font>
    </dxf>
    <dxf>
      <font>
        <color rgb="FFC00000"/>
      </font>
    </dxf>
    <dxf>
      <fill>
        <patternFill>
          <bgColor theme="0" tint="-4.9989318521683403E-2"/>
        </patternFill>
      </fill>
    </dxf>
    <dxf>
      <font>
        <color rgb="FF92D050"/>
      </font>
    </dxf>
    <dxf>
      <font>
        <color rgb="FFC0000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ill>
        <patternFill>
          <bgColor theme="0" tint="-4.9989318521683403E-2"/>
        </patternFill>
      </fill>
    </dxf>
    <dxf>
      <font>
        <color rgb="FFFFFFFF"/>
      </font>
    </dxf>
    <dxf>
      <font>
        <color rgb="FFD9D9D9"/>
      </font>
    </dxf>
    <dxf>
      <fill>
        <patternFill>
          <bgColor rgb="FFD9D9D9"/>
        </patternFill>
      </fill>
    </dxf>
    <dxf>
      <font>
        <color rgb="FFFFFFFF"/>
      </font>
    </dxf>
    <dxf>
      <font>
        <color rgb="FFD9D9D9"/>
      </font>
    </dxf>
    <dxf>
      <fill>
        <patternFill>
          <bgColor rgb="FFD9D9D9"/>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auto="1"/>
      </font>
      <fill>
        <patternFill>
          <bgColor theme="6" tint="0.39994506668294322"/>
        </patternFill>
      </fill>
    </dxf>
    <dxf>
      <font>
        <color rgb="FF9C0006"/>
      </font>
      <fill>
        <patternFill>
          <bgColor rgb="FFFFC7CE"/>
        </patternFill>
      </fill>
    </dxf>
  </dxfs>
  <tableStyles count="0" defaultTableStyle="TableStyleMedium2" defaultPivotStyle="PivotStyleLight16"/>
  <colors>
    <mruColors>
      <color rgb="FFFFCF37"/>
      <color rgb="FF5F9E88"/>
      <color rgb="FF0C5B88"/>
      <color rgb="FFFCE5A6"/>
      <color rgb="FFFFE697"/>
      <color rgb="FFFFDF9F"/>
      <color rgb="FFFFCC65"/>
      <color rgb="FFF3F1EB"/>
      <color rgb="FFF2F2F2"/>
      <color rgb="FF1394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22775995573632E-2"/>
          <c:y val="2.7475129927288951E-2"/>
          <c:w val="0.89482234548796413"/>
          <c:h val="0.71470336478210494"/>
        </c:manualLayout>
      </c:layout>
      <c:barChart>
        <c:barDir val="col"/>
        <c:grouping val="clustered"/>
        <c:varyColors val="0"/>
        <c:ser>
          <c:idx val="0"/>
          <c:order val="0"/>
          <c:tx>
            <c:strRef>
              <c:f>'Summary Chart'!$B$4</c:f>
              <c:strCache>
                <c:ptCount val="1"/>
                <c:pt idx="0">
                  <c:v>Default market offer (DMO)</c:v>
                </c:pt>
              </c:strCache>
            </c:strRef>
          </c:tx>
          <c:spPr>
            <a:solidFill>
              <a:schemeClr val="bg1">
                <a:lumMod val="8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C6E-43A2-82BD-8F77A3D5343B}"/>
                </c:ext>
              </c:extLst>
            </c:dLbl>
            <c:dLbl>
              <c:idx val="1"/>
              <c:layout>
                <c:manualLayout>
                  <c:x val="5.2062940178194267E-8"/>
                  <c:y val="1.7543473407975874E-7"/>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D94AA8D8-8A9E-41FD-80D8-9258E66697AA}"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2385557720331252E-2"/>
                      <c:h val="9.1837898465431805E-2"/>
                    </c:manualLayout>
                  </c15:layout>
                  <c15:dlblFieldTable/>
                  <c15:showDataLabelsRange val="1"/>
                </c:ext>
                <c:ext xmlns:c16="http://schemas.microsoft.com/office/drawing/2014/chart" uri="{C3380CC4-5D6E-409C-BE32-E72D297353CC}">
                  <c16:uniqueId val="{00000001-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6E-43A2-82BD-8F77A3D5343B}"/>
                </c:ext>
              </c:extLst>
            </c:dLbl>
            <c:dLbl>
              <c:idx val="3"/>
              <c:delete val="1"/>
              <c:extLst>
                <c:ext xmlns:c15="http://schemas.microsoft.com/office/drawing/2012/chart" uri="{CE6537A1-D6FC-4f65-9D91-7224C49458BB}"/>
                <c:ext xmlns:c16="http://schemas.microsoft.com/office/drawing/2014/chart" uri="{C3380CC4-5D6E-409C-BE32-E72D297353CC}">
                  <c16:uniqueId val="{00000003-6C6E-43A2-82BD-8F77A3D5343B}"/>
                </c:ext>
              </c:extLst>
            </c:dLbl>
            <c:dLbl>
              <c:idx val="4"/>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ABD38F76-6F2A-448E-961E-2F8AAC9B8353}"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877347674471684E-2"/>
                      <c:h val="9.4900580000241153E-2"/>
                    </c:manualLayout>
                  </c15:layout>
                  <c15:dlblFieldTable/>
                  <c15:showDataLabelsRange val="1"/>
                </c:ext>
                <c:ext xmlns:c16="http://schemas.microsoft.com/office/drawing/2014/chart" uri="{C3380CC4-5D6E-409C-BE32-E72D297353CC}">
                  <c16:uniqueId val="{00000004-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6E-43A2-82BD-8F77A3D5343B}"/>
                </c:ext>
              </c:extLst>
            </c:dLbl>
            <c:dLbl>
              <c:idx val="6"/>
              <c:delete val="1"/>
              <c:extLst>
                <c:ext xmlns:c15="http://schemas.microsoft.com/office/drawing/2012/chart" uri="{CE6537A1-D6FC-4f65-9D91-7224C49458BB}"/>
                <c:ext xmlns:c16="http://schemas.microsoft.com/office/drawing/2014/chart" uri="{C3380CC4-5D6E-409C-BE32-E72D297353CC}">
                  <c16:uniqueId val="{00000006-6C6E-43A2-82BD-8F77A3D5343B}"/>
                </c:ext>
              </c:extLst>
            </c:dLbl>
            <c:dLbl>
              <c:idx val="7"/>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A3CC57C3-8C0E-4F30-B3DD-F21E4EEFBAE7}"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7373147237260139E-2"/>
                      <c:h val="7.9586644318771022E-2"/>
                    </c:manualLayout>
                  </c15:layout>
                  <c15:dlblFieldTable/>
                  <c15:showDataLabelsRange val="1"/>
                </c:ext>
                <c:ext xmlns:c16="http://schemas.microsoft.com/office/drawing/2014/chart" uri="{C3380CC4-5D6E-409C-BE32-E72D297353CC}">
                  <c16:uniqueId val="{00000007-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6E-43A2-82BD-8F77A3D5343B}"/>
                </c:ext>
              </c:extLst>
            </c:dLbl>
            <c:dLbl>
              <c:idx val="9"/>
              <c:delete val="1"/>
              <c:extLst>
                <c:ext xmlns:c15="http://schemas.microsoft.com/office/drawing/2012/chart" uri="{CE6537A1-D6FC-4f65-9D91-7224C49458BB}"/>
                <c:ext xmlns:c16="http://schemas.microsoft.com/office/drawing/2014/chart" uri="{C3380CC4-5D6E-409C-BE32-E72D297353CC}">
                  <c16:uniqueId val="{00000009-6C6E-43A2-82BD-8F77A3D5343B}"/>
                </c:ext>
              </c:extLst>
            </c:dLbl>
            <c:dLbl>
              <c:idx val="10"/>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5B749B4C-E317-4F66-BC12-24BFAA972751}"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4846351601168769E-2"/>
                      <c:h val="8.2649424000404204E-2"/>
                    </c:manualLayout>
                  </c15:layout>
                  <c15:dlblFieldTable/>
                  <c15:showDataLabelsRange val="1"/>
                </c:ext>
                <c:ext xmlns:c16="http://schemas.microsoft.com/office/drawing/2014/chart" uri="{C3380CC4-5D6E-409C-BE32-E72D297353CC}">
                  <c16:uniqueId val="{0000000A-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6E-43A2-82BD-8F77A3D5343B}"/>
                </c:ext>
              </c:extLst>
            </c:dLbl>
            <c:dLbl>
              <c:idx val="12"/>
              <c:delete val="1"/>
              <c:extLst>
                <c:ext xmlns:c15="http://schemas.microsoft.com/office/drawing/2012/chart" uri="{CE6537A1-D6FC-4f65-9D91-7224C49458BB}"/>
                <c:ext xmlns:c16="http://schemas.microsoft.com/office/drawing/2014/chart" uri="{C3380CC4-5D6E-409C-BE32-E72D297353CC}">
                  <c16:uniqueId val="{0000000C-6C6E-43A2-82BD-8F77A3D5343B}"/>
                </c:ext>
              </c:extLst>
            </c:dLbl>
            <c:dLbl>
              <c:idx val="13"/>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6FF60C0C-0EB7-414A-83A7-A2C27756B218}"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2470770240303985E-2"/>
                      <c:h val="9.7963396819071111E-2"/>
                    </c:manualLayout>
                  </c15:layout>
                  <c15:dlblFieldTable/>
                  <c15:showDataLabelsRange val="1"/>
                </c:ext>
                <c:ext xmlns:c16="http://schemas.microsoft.com/office/drawing/2014/chart" uri="{C3380CC4-5D6E-409C-BE32-E72D297353CC}">
                  <c16:uniqueId val="{0000000D-6C6E-43A2-82BD-8F77A3D5343B}"/>
                </c:ext>
              </c:extLst>
            </c:dLbl>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Chart'!$C$4:$P$4</c:f>
              <c:numCache>
                <c:formatCode>#,##0</c:formatCode>
                <c:ptCount val="14"/>
                <c:pt idx="0">
                  <c:v>1965</c:v>
                </c:pt>
                <c:pt idx="1">
                  <c:v>1899</c:v>
                </c:pt>
                <c:pt idx="3">
                  <c:v>2411</c:v>
                </c:pt>
                <c:pt idx="4">
                  <c:v>2328</c:v>
                </c:pt>
                <c:pt idx="6">
                  <c:v>2741</c:v>
                </c:pt>
                <c:pt idx="7">
                  <c:v>2604</c:v>
                </c:pt>
                <c:pt idx="9">
                  <c:v>2143</c:v>
                </c:pt>
                <c:pt idx="10">
                  <c:v>1988</c:v>
                </c:pt>
                <c:pt idx="12">
                  <c:v>2301</c:v>
                </c:pt>
                <c:pt idx="13">
                  <c:v>2334</c:v>
                </c:pt>
              </c:numCache>
            </c:numRef>
          </c:val>
          <c:extLst>
            <c:ext xmlns:c15="http://schemas.microsoft.com/office/drawing/2012/chart" uri="{02D57815-91ED-43cb-92C2-25804820EDAC}">
              <c15:datalabelsRange>
                <c15:f>'Summary Chart'!$C$10:$P$10</c15:f>
                <c15:dlblRangeCache>
                  <c:ptCount val="14"/>
                  <c:pt idx="1">
                    <c:v>$1,899▼-3.4%</c:v>
                  </c:pt>
                  <c:pt idx="2">
                    <c:v> </c:v>
                  </c:pt>
                  <c:pt idx="4">
                    <c:v>$2,328▼-3.4%</c:v>
                  </c:pt>
                  <c:pt idx="5">
                    <c:v> </c:v>
                  </c:pt>
                  <c:pt idx="7">
                    <c:v>$2,604▼-5%</c:v>
                  </c:pt>
                  <c:pt idx="8">
                    <c:v> </c:v>
                  </c:pt>
                  <c:pt idx="10">
                    <c:v>$1,988▼-7.2%</c:v>
                  </c:pt>
                  <c:pt idx="11">
                    <c:v> </c:v>
                  </c:pt>
                  <c:pt idx="13">
                    <c:v>$2,334▲1.4%</c:v>
                  </c:pt>
                </c15:dlblRangeCache>
              </c15:datalabelsRange>
            </c:ext>
            <c:ext xmlns:c16="http://schemas.microsoft.com/office/drawing/2014/chart" uri="{C3380CC4-5D6E-409C-BE32-E72D297353CC}">
              <c16:uniqueId val="{0000000E-6C6E-43A2-82BD-8F77A3D5343B}"/>
            </c:ext>
          </c:extLst>
        </c:ser>
        <c:dLbls>
          <c:showLegendKey val="0"/>
          <c:showVal val="0"/>
          <c:showCatName val="0"/>
          <c:showSerName val="0"/>
          <c:showPercent val="0"/>
          <c:showBubbleSize val="0"/>
        </c:dLbls>
        <c:gapWidth val="20"/>
        <c:axId val="1207454248"/>
        <c:axId val="868328856"/>
      </c:barChart>
      <c:lineChart>
        <c:grouping val="standard"/>
        <c:varyColors val="0"/>
        <c:ser>
          <c:idx val="2"/>
          <c:order val="1"/>
          <c:tx>
            <c:strRef>
              <c:f>'Summary Chart'!$B$6</c:f>
              <c:strCache>
                <c:ptCount val="1"/>
                <c:pt idx="0">
                  <c:v>Network cost component</c:v>
                </c:pt>
              </c:strCache>
            </c:strRef>
          </c:tx>
          <c:spPr>
            <a:ln w="19050" cap="rnd">
              <a:solidFill>
                <a:srgbClr val="89B3CE"/>
              </a:solidFill>
              <a:round/>
            </a:ln>
            <a:effectLst/>
          </c:spPr>
          <c:marker>
            <c:symbol val="none"/>
          </c:marker>
          <c:dPt>
            <c:idx val="1"/>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0F-6C6E-43A2-82BD-8F77A3D5343B}"/>
              </c:ext>
            </c:extLst>
          </c:dPt>
          <c:dPt>
            <c:idx val="4"/>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0-6C6E-43A2-82BD-8F77A3D5343B}"/>
              </c:ext>
            </c:extLst>
          </c:dPt>
          <c:dPt>
            <c:idx val="7"/>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1-6C6E-43A2-82BD-8F77A3D5343B}"/>
              </c:ext>
            </c:extLst>
          </c:dPt>
          <c:dPt>
            <c:idx val="10"/>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2-6C6E-43A2-82BD-8F77A3D5343B}"/>
              </c:ext>
            </c:extLst>
          </c:dPt>
          <c:dPt>
            <c:idx val="13"/>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3-6C6E-43A2-82BD-8F77A3D5343B}"/>
              </c:ext>
            </c:extLst>
          </c:dPt>
          <c:dLbls>
            <c:dLbl>
              <c:idx val="0"/>
              <c:delete val="1"/>
              <c:extLst>
                <c:ext xmlns:c15="http://schemas.microsoft.com/office/drawing/2012/chart" uri="{CE6537A1-D6FC-4f65-9D91-7224C49458BB}"/>
                <c:ext xmlns:c16="http://schemas.microsoft.com/office/drawing/2014/chart" uri="{C3380CC4-5D6E-409C-BE32-E72D297353CC}">
                  <c16:uniqueId val="{00000014-6C6E-43A2-82BD-8F77A3D5343B}"/>
                </c:ext>
              </c:extLst>
            </c:dLbl>
            <c:dLbl>
              <c:idx val="1"/>
              <c:layout>
                <c:manualLayout>
                  <c:x val="-3.3312333853128002E-3"/>
                  <c:y val="-4.2783744746815851E-2"/>
                </c:manualLayout>
              </c:layout>
              <c:tx>
                <c:rich>
                  <a:bodyPr/>
                  <a:lstStyle/>
                  <a:p>
                    <a:fld id="{4E0D5F1F-566B-4E1D-A454-8F5701B8FA4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9389106440741383E-2"/>
                      <c:h val="4.1906266208085297E-2"/>
                    </c:manualLayout>
                  </c15:layout>
                  <c15:dlblFieldTable/>
                  <c15:showDataLabelsRange val="1"/>
                </c:ext>
                <c:ext xmlns:c16="http://schemas.microsoft.com/office/drawing/2014/chart" uri="{C3380CC4-5D6E-409C-BE32-E72D297353CC}">
                  <c16:uniqueId val="{0000000F-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6E-43A2-82BD-8F77A3D5343B}"/>
                </c:ext>
              </c:extLst>
            </c:dLbl>
            <c:dLbl>
              <c:idx val="3"/>
              <c:delete val="1"/>
              <c:extLst>
                <c:ext xmlns:c15="http://schemas.microsoft.com/office/drawing/2012/chart" uri="{CE6537A1-D6FC-4f65-9D91-7224C49458BB}"/>
                <c:ext xmlns:c16="http://schemas.microsoft.com/office/drawing/2014/chart" uri="{C3380CC4-5D6E-409C-BE32-E72D297353CC}">
                  <c16:uniqueId val="{00000016-6C6E-43A2-82BD-8F77A3D5343B}"/>
                </c:ext>
              </c:extLst>
            </c:dLbl>
            <c:dLbl>
              <c:idx val="4"/>
              <c:layout>
                <c:manualLayout>
                  <c:x val="-1.9711867255883572E-2"/>
                  <c:y val="-4.2857180996363681E-2"/>
                </c:manualLayout>
              </c:layout>
              <c:tx>
                <c:rich>
                  <a:bodyPr/>
                  <a:lstStyle/>
                  <a:p>
                    <a:fld id="{A2C294F9-B30F-454A-91B6-0B6F4B7E9E6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10-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C6E-43A2-82BD-8F77A3D5343B}"/>
                </c:ext>
              </c:extLst>
            </c:dLbl>
            <c:dLbl>
              <c:idx val="6"/>
              <c:delete val="1"/>
              <c:extLst>
                <c:ext xmlns:c15="http://schemas.microsoft.com/office/drawing/2012/chart" uri="{CE6537A1-D6FC-4f65-9D91-7224C49458BB}"/>
                <c:ext xmlns:c16="http://schemas.microsoft.com/office/drawing/2014/chart" uri="{C3380CC4-5D6E-409C-BE32-E72D297353CC}">
                  <c16:uniqueId val="{00000018-6C6E-43A2-82BD-8F77A3D5343B}"/>
                </c:ext>
              </c:extLst>
            </c:dLbl>
            <c:dLbl>
              <c:idx val="7"/>
              <c:layout>
                <c:manualLayout>
                  <c:x val="1.668415720578801E-3"/>
                  <c:y val="-7.3737598719478712E-3"/>
                </c:manualLayout>
              </c:layout>
              <c:tx>
                <c:rich>
                  <a:bodyPr/>
                  <a:lstStyle/>
                  <a:p>
                    <a:fld id="{42A4E079-795B-418F-BBBE-33C8CEC2C53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3042660703633627E-2"/>
                      <c:h val="4.1133981660790388E-2"/>
                    </c:manualLayout>
                  </c15:layout>
                  <c15:dlblFieldTable/>
                  <c15:showDataLabelsRange val="1"/>
                </c:ext>
                <c:ext xmlns:c16="http://schemas.microsoft.com/office/drawing/2014/chart" uri="{C3380CC4-5D6E-409C-BE32-E72D297353CC}">
                  <c16:uniqueId val="{00000011-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C6E-43A2-82BD-8F77A3D5343B}"/>
                </c:ext>
              </c:extLst>
            </c:dLbl>
            <c:dLbl>
              <c:idx val="9"/>
              <c:delete val="1"/>
              <c:extLst>
                <c:ext xmlns:c15="http://schemas.microsoft.com/office/drawing/2012/chart" uri="{CE6537A1-D6FC-4f65-9D91-7224C49458BB}"/>
                <c:ext xmlns:c16="http://schemas.microsoft.com/office/drawing/2014/chart" uri="{C3380CC4-5D6E-409C-BE32-E72D297353CC}">
                  <c16:uniqueId val="{0000001A-6C6E-43A2-82BD-8F77A3D5343B}"/>
                </c:ext>
              </c:extLst>
            </c:dLbl>
            <c:dLbl>
              <c:idx val="10"/>
              <c:layout>
                <c:manualLayout>
                  <c:x val="-2.1040114123009129E-2"/>
                  <c:y val="3.6978401516609458E-2"/>
                </c:manualLayout>
              </c:layout>
              <c:tx>
                <c:rich>
                  <a:bodyPr/>
                  <a:lstStyle/>
                  <a:p>
                    <a:fld id="{8B0A5F7F-710B-4094-8EF3-6A105B728EE3}"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2095240257887002E-2"/>
                      <c:h val="4.1133981660790388E-2"/>
                    </c:manualLayout>
                  </c15:layout>
                  <c15:dlblFieldTable/>
                  <c15:showDataLabelsRange val="1"/>
                </c:ext>
                <c:ext xmlns:c16="http://schemas.microsoft.com/office/drawing/2014/chart" uri="{C3380CC4-5D6E-409C-BE32-E72D297353CC}">
                  <c16:uniqueId val="{00000012-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C6E-43A2-82BD-8F77A3D5343B}"/>
                </c:ext>
              </c:extLst>
            </c:dLbl>
            <c:dLbl>
              <c:idx val="12"/>
              <c:delete val="1"/>
              <c:extLst>
                <c:ext xmlns:c15="http://schemas.microsoft.com/office/drawing/2012/chart" uri="{CE6537A1-D6FC-4f65-9D91-7224C49458BB}"/>
                <c:ext xmlns:c16="http://schemas.microsoft.com/office/drawing/2014/chart" uri="{C3380CC4-5D6E-409C-BE32-E72D297353CC}">
                  <c16:uniqueId val="{0000001C-6C6E-43A2-82BD-8F77A3D5343B}"/>
                </c:ext>
              </c:extLst>
            </c:dLbl>
            <c:dLbl>
              <c:idx val="13"/>
              <c:layout>
                <c:manualLayout>
                  <c:x val="-2.6183570027790318E-2"/>
                  <c:y val="-5.401843385110216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303A8254-897D-4481-807B-DF9708DAF8B6}"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89B3CE"/>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1134583905443544E-2"/>
                      <c:h val="4.2969678526792489E-2"/>
                    </c:manualLayout>
                  </c15:layout>
                  <c15:dlblFieldTable/>
                  <c15:showDataLabelsRange val="1"/>
                </c:ext>
                <c:ext xmlns:c16="http://schemas.microsoft.com/office/drawing/2014/chart" uri="{C3380CC4-5D6E-409C-BE32-E72D297353CC}">
                  <c16:uniqueId val="{00000013-6C6E-43A2-82BD-8F77A3D5343B}"/>
                </c:ext>
              </c:extLst>
            </c:dLbl>
            <c:spPr>
              <a:solidFill>
                <a:schemeClr val="bg1"/>
              </a:solidFill>
              <a:ln w="15875">
                <a:solidFill>
                  <a:srgbClr val="89B3CE"/>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Chart'!$C$6:$P$6</c:f>
              <c:numCache>
                <c:formatCode>#,##0</c:formatCode>
                <c:ptCount val="14"/>
                <c:pt idx="0">
                  <c:v>711.92496176013196</c:v>
                </c:pt>
                <c:pt idx="1">
                  <c:v>778.23025938278613</c:v>
                </c:pt>
                <c:pt idx="3">
                  <c:v>836.50737499999991</c:v>
                </c:pt>
                <c:pt idx="4">
                  <c:v>916.585852802521</c:v>
                </c:pt>
                <c:pt idx="6">
                  <c:v>1248.9808649440904</c:v>
                </c:pt>
                <c:pt idx="7">
                  <c:v>1283.0279552152908</c:v>
                </c:pt>
                <c:pt idx="9">
                  <c:v>778.44943700626834</c:v>
                </c:pt>
                <c:pt idx="10">
                  <c:v>817.46337155923118</c:v>
                </c:pt>
                <c:pt idx="12">
                  <c:v>896.99139399817057</c:v>
                </c:pt>
                <c:pt idx="13">
                  <c:v>974.34236902420878</c:v>
                </c:pt>
              </c:numCache>
            </c:numRef>
          </c:val>
          <c:smooth val="0"/>
          <c:extLst>
            <c:ext xmlns:c15="http://schemas.microsoft.com/office/drawing/2012/chart" uri="{02D57815-91ED-43cb-92C2-25804820EDAC}">
              <c15:datalabelsRange>
                <c15:f>'Summary Chart'!$C$12:$P$12</c15:f>
                <c15:dlblRangeCache>
                  <c:ptCount val="14"/>
                  <c:pt idx="1">
                    <c:v>▲$66</c:v>
                  </c:pt>
                  <c:pt idx="4">
                    <c:v>▲$80</c:v>
                  </c:pt>
                  <c:pt idx="7">
                    <c:v>▲$34</c:v>
                  </c:pt>
                  <c:pt idx="10">
                    <c:v>▲$39</c:v>
                  </c:pt>
                  <c:pt idx="13">
                    <c:v>▲$77</c:v>
                  </c:pt>
                </c15:dlblRangeCache>
              </c15:datalabelsRange>
            </c:ext>
            <c:ext xmlns:c16="http://schemas.microsoft.com/office/drawing/2014/chart" uri="{C3380CC4-5D6E-409C-BE32-E72D297353CC}">
              <c16:uniqueId val="{0000001D-6C6E-43A2-82BD-8F77A3D5343B}"/>
            </c:ext>
          </c:extLst>
        </c:ser>
        <c:ser>
          <c:idx val="1"/>
          <c:order val="2"/>
          <c:tx>
            <c:strRef>
              <c:f>'Summary Chart'!$B$5</c:f>
              <c:strCache>
                <c:ptCount val="1"/>
                <c:pt idx="0">
                  <c:v>Wholesale cost component</c:v>
                </c:pt>
              </c:strCache>
            </c:strRef>
          </c:tx>
          <c:spPr>
            <a:ln w="19050" cap="rnd">
              <a:solidFill>
                <a:srgbClr val="E06026"/>
              </a:solidFill>
              <a:round/>
            </a:ln>
            <a:effectLst/>
          </c:spPr>
          <c:marker>
            <c:symbol val="none"/>
          </c:marker>
          <c:dPt>
            <c:idx val="1"/>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1E-6C6E-43A2-82BD-8F77A3D5343B}"/>
              </c:ext>
            </c:extLst>
          </c:dPt>
          <c:dPt>
            <c:idx val="4"/>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1F-6C6E-43A2-82BD-8F77A3D5343B}"/>
              </c:ext>
            </c:extLst>
          </c:dPt>
          <c:dPt>
            <c:idx val="7"/>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20-6C6E-43A2-82BD-8F77A3D5343B}"/>
              </c:ext>
            </c:extLst>
          </c:dPt>
          <c:dPt>
            <c:idx val="10"/>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21-6C6E-43A2-82BD-8F77A3D5343B}"/>
              </c:ext>
            </c:extLst>
          </c:dPt>
          <c:dPt>
            <c:idx val="13"/>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22-6C6E-43A2-82BD-8F77A3D5343B}"/>
              </c:ext>
            </c:extLst>
          </c:dPt>
          <c:dLbls>
            <c:dLbl>
              <c:idx val="0"/>
              <c:delete val="1"/>
              <c:extLst>
                <c:ext xmlns:c15="http://schemas.microsoft.com/office/drawing/2012/chart" uri="{CE6537A1-D6FC-4f65-9D91-7224C49458BB}"/>
                <c:ext xmlns:c16="http://schemas.microsoft.com/office/drawing/2014/chart" uri="{C3380CC4-5D6E-409C-BE32-E72D297353CC}">
                  <c16:uniqueId val="{00000023-6C6E-43A2-82BD-8F77A3D5343B}"/>
                </c:ext>
              </c:extLst>
            </c:dLbl>
            <c:dLbl>
              <c:idx val="1"/>
              <c:layout>
                <c:manualLayout>
                  <c:x val="-4.6829327580679737E-4"/>
                  <c:y val="2.1839151784827374E-2"/>
                </c:manualLayout>
              </c:layout>
              <c:tx>
                <c:rich>
                  <a:bodyPr/>
                  <a:lstStyle/>
                  <a:p>
                    <a:fld id="{4EA23298-9431-4987-A35D-FC2572DD6838}"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1810228084461033E-2"/>
                      <c:h val="4.1133981660790388E-2"/>
                    </c:manualLayout>
                  </c15:layout>
                  <c15:dlblFieldTable/>
                  <c15:showDataLabelsRange val="1"/>
                </c:ext>
                <c:ext xmlns:c16="http://schemas.microsoft.com/office/drawing/2014/chart" uri="{C3380CC4-5D6E-409C-BE32-E72D297353CC}">
                  <c16:uniqueId val="{0000001E-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C6E-43A2-82BD-8F77A3D5343B}"/>
                </c:ext>
              </c:extLst>
            </c:dLbl>
            <c:dLbl>
              <c:idx val="3"/>
              <c:delete val="1"/>
              <c:extLst>
                <c:ext xmlns:c15="http://schemas.microsoft.com/office/drawing/2012/chart" uri="{CE6537A1-D6FC-4f65-9D91-7224C49458BB}"/>
                <c:ext xmlns:c16="http://schemas.microsoft.com/office/drawing/2014/chart" uri="{C3380CC4-5D6E-409C-BE32-E72D297353CC}">
                  <c16:uniqueId val="{00000025-6C6E-43A2-82BD-8F77A3D5343B}"/>
                </c:ext>
              </c:extLst>
            </c:dLbl>
            <c:dLbl>
              <c:idx val="4"/>
              <c:layout>
                <c:manualLayout>
                  <c:x val="-2.5542230699855926E-2"/>
                  <c:y val="4.185864372007228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86884544-924B-4C0A-8D77-67A534AB40BE}"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E06026"/>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2896903711980301E-2"/>
                      <c:h val="4.9587851978633302E-2"/>
                    </c:manualLayout>
                  </c15:layout>
                  <c15:dlblFieldTable/>
                  <c15:showDataLabelsRange val="1"/>
                </c:ext>
                <c:ext xmlns:c16="http://schemas.microsoft.com/office/drawing/2014/chart" uri="{C3380CC4-5D6E-409C-BE32-E72D297353CC}">
                  <c16:uniqueId val="{0000001F-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C6E-43A2-82BD-8F77A3D5343B}"/>
                </c:ext>
              </c:extLst>
            </c:dLbl>
            <c:dLbl>
              <c:idx val="6"/>
              <c:delete val="1"/>
              <c:extLst>
                <c:ext xmlns:c15="http://schemas.microsoft.com/office/drawing/2012/chart" uri="{CE6537A1-D6FC-4f65-9D91-7224C49458BB}"/>
                <c:ext xmlns:c16="http://schemas.microsoft.com/office/drawing/2014/chart" uri="{C3380CC4-5D6E-409C-BE32-E72D297353CC}">
                  <c16:uniqueId val="{00000027-6C6E-43A2-82BD-8F77A3D5343B}"/>
                </c:ext>
              </c:extLst>
            </c:dLbl>
            <c:dLbl>
              <c:idx val="7"/>
              <c:layout>
                <c:manualLayout>
                  <c:x val="6.0880799630885242E-4"/>
                  <c:y val="1.5738017758180688E-2"/>
                </c:manualLayout>
              </c:layout>
              <c:tx>
                <c:rich>
                  <a:bodyPr/>
                  <a:lstStyle/>
                  <a:p>
                    <a:fld id="{7A30CB2C-DEA9-4C3D-8E74-260E0F19E54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81304006871344E-2"/>
                      <c:h val="4.1133981660790388E-2"/>
                    </c:manualLayout>
                  </c15:layout>
                  <c15:dlblFieldTable/>
                  <c15:showDataLabelsRange val="1"/>
                </c:ext>
                <c:ext xmlns:c16="http://schemas.microsoft.com/office/drawing/2014/chart" uri="{C3380CC4-5D6E-409C-BE32-E72D297353CC}">
                  <c16:uniqueId val="{00000020-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C6E-43A2-82BD-8F77A3D5343B}"/>
                </c:ext>
              </c:extLst>
            </c:dLbl>
            <c:dLbl>
              <c:idx val="9"/>
              <c:delete val="1"/>
              <c:extLst>
                <c:ext xmlns:c15="http://schemas.microsoft.com/office/drawing/2012/chart" uri="{CE6537A1-D6FC-4f65-9D91-7224C49458BB}"/>
                <c:ext xmlns:c16="http://schemas.microsoft.com/office/drawing/2014/chart" uri="{C3380CC4-5D6E-409C-BE32-E72D297353CC}">
                  <c16:uniqueId val="{00000029-6C6E-43A2-82BD-8F77A3D5343B}"/>
                </c:ext>
              </c:extLst>
            </c:dLbl>
            <c:dLbl>
              <c:idx val="10"/>
              <c:layout>
                <c:manualLayout>
                  <c:x val="-2.68088012785349E-2"/>
                  <c:y val="-5.241793762491805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324AB10D-77CC-4352-9822-7790C1813583}"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E06026"/>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8926138669699817E-2"/>
                      <c:h val="5.8788528227769588E-2"/>
                    </c:manualLayout>
                  </c15:layout>
                  <c15:dlblFieldTable/>
                  <c15:showDataLabelsRange val="1"/>
                </c:ext>
                <c:ext xmlns:c16="http://schemas.microsoft.com/office/drawing/2014/chart" uri="{C3380CC4-5D6E-409C-BE32-E72D297353CC}">
                  <c16:uniqueId val="{00000021-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C6E-43A2-82BD-8F77A3D5343B}"/>
                </c:ext>
              </c:extLst>
            </c:dLbl>
            <c:dLbl>
              <c:idx val="12"/>
              <c:delete val="1"/>
              <c:extLst>
                <c:ext xmlns:c15="http://schemas.microsoft.com/office/drawing/2012/chart" uri="{CE6537A1-D6FC-4f65-9D91-7224C49458BB}"/>
                <c:ext xmlns:c16="http://schemas.microsoft.com/office/drawing/2014/chart" uri="{C3380CC4-5D6E-409C-BE32-E72D297353CC}">
                  <c16:uniqueId val="{0000002B-6C6E-43A2-82BD-8F77A3D5343B}"/>
                </c:ext>
              </c:extLst>
            </c:dLbl>
            <c:dLbl>
              <c:idx val="13"/>
              <c:layout>
                <c:manualLayout>
                  <c:x val="-2.6512616022451193E-2"/>
                  <c:y val="4.279221007047451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33EBAF75-8068-437B-B6DA-2C82C3939F32}"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E06026"/>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4275093322806221E-2"/>
                      <c:h val="4.7298666607770462E-2"/>
                    </c:manualLayout>
                  </c15:layout>
                  <c15:dlblFieldTable/>
                  <c15:showDataLabelsRange val="1"/>
                </c:ext>
                <c:ext xmlns:c16="http://schemas.microsoft.com/office/drawing/2014/chart" uri="{C3380CC4-5D6E-409C-BE32-E72D297353CC}">
                  <c16:uniqueId val="{00000022-6C6E-43A2-82BD-8F77A3D5343B}"/>
                </c:ext>
              </c:extLst>
            </c:dLbl>
            <c:spPr>
              <a:solidFill>
                <a:schemeClr val="bg1"/>
              </a:solidFill>
              <a:ln w="15875">
                <a:solidFill>
                  <a:srgbClr val="E0602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Chart'!$C$5:$P$5</c:f>
              <c:numCache>
                <c:formatCode>#,##0</c:formatCode>
                <c:ptCount val="14"/>
                <c:pt idx="0">
                  <c:v>753.97249122143467</c:v>
                </c:pt>
                <c:pt idx="1">
                  <c:v>653.78501504136671</c:v>
                </c:pt>
                <c:pt idx="3">
                  <c:v>998.46091350140671</c:v>
                </c:pt>
                <c:pt idx="4">
                  <c:v>872.62817008900561</c:v>
                </c:pt>
                <c:pt idx="6">
                  <c:v>903.45227990993703</c:v>
                </c:pt>
                <c:pt idx="7">
                  <c:v>779.32358526104281</c:v>
                </c:pt>
                <c:pt idx="9">
                  <c:v>847.00695816791358</c:v>
                </c:pt>
                <c:pt idx="10">
                  <c:v>725.05399440277358</c:v>
                </c:pt>
                <c:pt idx="12">
                  <c:v>858.79927885285167</c:v>
                </c:pt>
                <c:pt idx="13">
                  <c:v>842.80447029760967</c:v>
                </c:pt>
              </c:numCache>
            </c:numRef>
          </c:val>
          <c:smooth val="0"/>
          <c:extLst>
            <c:ext xmlns:c15="http://schemas.microsoft.com/office/drawing/2012/chart" uri="{02D57815-91ED-43cb-92C2-25804820EDAC}">
              <c15:datalabelsRange>
                <c15:f>'Summary Chart'!$C$11:$P$11</c15:f>
                <c15:dlblRangeCache>
                  <c:ptCount val="14"/>
                  <c:pt idx="0">
                    <c:v> </c:v>
                  </c:pt>
                  <c:pt idx="1">
                    <c:v>▼$100</c:v>
                  </c:pt>
                  <c:pt idx="2">
                    <c:v> </c:v>
                  </c:pt>
                  <c:pt idx="3">
                    <c:v> </c:v>
                  </c:pt>
                  <c:pt idx="4">
                    <c:v>▼$126</c:v>
                  </c:pt>
                  <c:pt idx="5">
                    <c:v> </c:v>
                  </c:pt>
                  <c:pt idx="6">
                    <c:v> </c:v>
                  </c:pt>
                  <c:pt idx="7">
                    <c:v>▼$124</c:v>
                  </c:pt>
                  <c:pt idx="8">
                    <c:v> </c:v>
                  </c:pt>
                  <c:pt idx="9">
                    <c:v> </c:v>
                  </c:pt>
                  <c:pt idx="10">
                    <c:v>▼$122</c:v>
                  </c:pt>
                  <c:pt idx="12">
                    <c:v> </c:v>
                  </c:pt>
                  <c:pt idx="13">
                    <c:v>▼$16</c:v>
                  </c:pt>
                </c15:dlblRangeCache>
              </c15:datalabelsRange>
            </c:ext>
            <c:ext xmlns:c16="http://schemas.microsoft.com/office/drawing/2014/chart" uri="{C3380CC4-5D6E-409C-BE32-E72D297353CC}">
              <c16:uniqueId val="{0000002C-6C6E-43A2-82BD-8F77A3D5343B}"/>
            </c:ext>
          </c:extLst>
        </c:ser>
        <c:ser>
          <c:idx val="4"/>
          <c:order val="3"/>
          <c:tx>
            <c:strRef>
              <c:f>'Summary Chart'!$B$7</c:f>
              <c:strCache>
                <c:ptCount val="1"/>
                <c:pt idx="0">
                  <c:v>Environmental cost component</c:v>
                </c:pt>
              </c:strCache>
            </c:strRef>
          </c:tx>
          <c:spPr>
            <a:ln w="19050" cap="rnd">
              <a:solidFill>
                <a:srgbClr val="5F9E88"/>
              </a:solidFill>
              <a:round/>
              <a:tailEnd type="none"/>
            </a:ln>
            <a:effectLst/>
          </c:spPr>
          <c:marker>
            <c:symbol val="none"/>
          </c:marker>
          <c:dPt>
            <c:idx val="1"/>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9-72BA-4EC8-87F0-7B7CE4AB4E6F}"/>
              </c:ext>
            </c:extLst>
          </c:dPt>
          <c:dPt>
            <c:idx val="4"/>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B-72BA-4EC8-87F0-7B7CE4AB4E6F}"/>
              </c:ext>
            </c:extLst>
          </c:dPt>
          <c:dPt>
            <c:idx val="7"/>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7-72BA-4EC8-87F0-7B7CE4AB4E6F}"/>
              </c:ext>
            </c:extLst>
          </c:dPt>
          <c:dPt>
            <c:idx val="10"/>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8-72BA-4EC8-87F0-7B7CE4AB4E6F}"/>
              </c:ext>
            </c:extLst>
          </c:dPt>
          <c:dPt>
            <c:idx val="13"/>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A-72BA-4EC8-87F0-7B7CE4AB4E6F}"/>
              </c:ext>
            </c:extLst>
          </c:dPt>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Chart'!$C$7:$P$7</c:f>
              <c:numCache>
                <c:formatCode>#,##0</c:formatCode>
                <c:ptCount val="14"/>
                <c:pt idx="0">
                  <c:v>68.331519303463324</c:v>
                </c:pt>
                <c:pt idx="1">
                  <c:v>47.573855815382679</c:v>
                </c:pt>
                <c:pt idx="3">
                  <c:v>87.407325012464099</c:v>
                </c:pt>
                <c:pt idx="4">
                  <c:v>60.525827228913712</c:v>
                </c:pt>
                <c:pt idx="6">
                  <c:v>80.170406567593488</c:v>
                </c:pt>
                <c:pt idx="7">
                  <c:v>56.083191877421427</c:v>
                </c:pt>
                <c:pt idx="9">
                  <c:v>60.305218339699209</c:v>
                </c:pt>
                <c:pt idx="10">
                  <c:v>40.888288542467514</c:v>
                </c:pt>
                <c:pt idx="12">
                  <c:v>72.246775704569899</c:v>
                </c:pt>
                <c:pt idx="13">
                  <c:v>46.721661594593286</c:v>
                </c:pt>
              </c:numCache>
            </c:numRef>
          </c:val>
          <c:smooth val="0"/>
          <c:extLst>
            <c:ext xmlns:c16="http://schemas.microsoft.com/office/drawing/2014/chart" uri="{C3380CC4-5D6E-409C-BE32-E72D297353CC}">
              <c16:uniqueId val="{0000002D-6C6E-43A2-82BD-8F77A3D5343B}"/>
            </c:ext>
          </c:extLst>
        </c:ser>
        <c:ser>
          <c:idx val="6"/>
          <c:order val="4"/>
          <c:tx>
            <c:strRef>
              <c:f>'Summary Chart'!$B$17</c:f>
              <c:strCache>
                <c:ptCount val="1"/>
              </c:strCache>
            </c:strRef>
          </c:tx>
          <c:spPr>
            <a:ln w="28575" cap="rnd">
              <a:noFill/>
              <a:round/>
            </a:ln>
            <a:effectLst/>
          </c:spPr>
          <c:marker>
            <c:symbol val="none"/>
          </c:marker>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Chart'!$C$17:$P$17</c:f>
            </c:numRef>
          </c:val>
          <c:smooth val="0"/>
          <c:extLst>
            <c:ext xmlns:c16="http://schemas.microsoft.com/office/drawing/2014/chart" uri="{C3380CC4-5D6E-409C-BE32-E72D297353CC}">
              <c16:uniqueId val="{0000002E-6C6E-43A2-82BD-8F77A3D5343B}"/>
            </c:ext>
          </c:extLst>
        </c:ser>
        <c:ser>
          <c:idx val="3"/>
          <c:order val="5"/>
          <c:tx>
            <c:strRef>
              <c:f>'Summary Chart'!$B$8</c:f>
              <c:strCache>
                <c:ptCount val="1"/>
                <c:pt idx="0">
                  <c:v>Retail cost component</c:v>
                </c:pt>
              </c:strCache>
            </c:strRef>
          </c:tx>
          <c:spPr>
            <a:ln w="19050" cap="rnd">
              <a:solidFill>
                <a:srgbClr val="F0B9B3"/>
              </a:solidFill>
              <a:round/>
              <a:tailEnd type="none"/>
            </a:ln>
            <a:effectLst/>
          </c:spPr>
          <c:marker>
            <c:symbol val="none"/>
          </c:marker>
          <c:dPt>
            <c:idx val="0"/>
            <c:marker>
              <c:symbol val="none"/>
            </c:marker>
            <c:bubble3D val="0"/>
            <c:extLst>
              <c:ext xmlns:c16="http://schemas.microsoft.com/office/drawing/2014/chart" uri="{C3380CC4-5D6E-409C-BE32-E72D297353CC}">
                <c16:uniqueId val="{00000013-749B-40C5-AED5-CE6F42E2838E}"/>
              </c:ext>
            </c:extLst>
          </c:dPt>
          <c:dPt>
            <c:idx val="1"/>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2F-6C6E-43A2-82BD-8F77A3D5343B}"/>
              </c:ext>
            </c:extLst>
          </c:dPt>
          <c:dPt>
            <c:idx val="3"/>
            <c:marker>
              <c:symbol val="none"/>
            </c:marker>
            <c:bubble3D val="0"/>
            <c:extLst>
              <c:ext xmlns:c16="http://schemas.microsoft.com/office/drawing/2014/chart" uri="{C3380CC4-5D6E-409C-BE32-E72D297353CC}">
                <c16:uniqueId val="{00000014-749B-40C5-AED5-CE6F42E2838E}"/>
              </c:ext>
            </c:extLst>
          </c:dPt>
          <c:dPt>
            <c:idx val="4"/>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0-6C6E-43A2-82BD-8F77A3D5343B}"/>
              </c:ext>
            </c:extLst>
          </c:dPt>
          <c:dPt>
            <c:idx val="6"/>
            <c:marker>
              <c:symbol val="none"/>
            </c:marker>
            <c:bubble3D val="0"/>
            <c:extLst>
              <c:ext xmlns:c16="http://schemas.microsoft.com/office/drawing/2014/chart" uri="{C3380CC4-5D6E-409C-BE32-E72D297353CC}">
                <c16:uniqueId val="{00000015-749B-40C5-AED5-CE6F42E2838E}"/>
              </c:ext>
            </c:extLst>
          </c:dPt>
          <c:dPt>
            <c:idx val="7"/>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1-6C6E-43A2-82BD-8F77A3D5343B}"/>
              </c:ext>
            </c:extLst>
          </c:dPt>
          <c:dPt>
            <c:idx val="9"/>
            <c:marker>
              <c:symbol val="none"/>
            </c:marker>
            <c:bubble3D val="0"/>
            <c:extLst>
              <c:ext xmlns:c16="http://schemas.microsoft.com/office/drawing/2014/chart" uri="{C3380CC4-5D6E-409C-BE32-E72D297353CC}">
                <c16:uniqueId val="{00000016-749B-40C5-AED5-CE6F42E2838E}"/>
              </c:ext>
            </c:extLst>
          </c:dPt>
          <c:dPt>
            <c:idx val="10"/>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2-6C6E-43A2-82BD-8F77A3D5343B}"/>
              </c:ext>
            </c:extLst>
          </c:dPt>
          <c:dPt>
            <c:idx val="12"/>
            <c:marker>
              <c:symbol val="none"/>
            </c:marker>
            <c:bubble3D val="0"/>
            <c:extLst>
              <c:ext xmlns:c16="http://schemas.microsoft.com/office/drawing/2014/chart" uri="{C3380CC4-5D6E-409C-BE32-E72D297353CC}">
                <c16:uniqueId val="{00000017-749B-40C5-AED5-CE6F42E2838E}"/>
              </c:ext>
            </c:extLst>
          </c:dPt>
          <c:dPt>
            <c:idx val="13"/>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3-6C6E-43A2-82BD-8F77A3D5343B}"/>
              </c:ext>
            </c:extLst>
          </c:dPt>
          <c:dLbls>
            <c:dLbl>
              <c:idx val="0"/>
              <c:delete val="1"/>
              <c:extLst>
                <c:ext xmlns:c15="http://schemas.microsoft.com/office/drawing/2012/chart" uri="{CE6537A1-D6FC-4f65-9D91-7224C49458BB}"/>
                <c:ext xmlns:c16="http://schemas.microsoft.com/office/drawing/2014/chart" uri="{C3380CC4-5D6E-409C-BE32-E72D297353CC}">
                  <c16:uniqueId val="{00000013-749B-40C5-AED5-CE6F42E2838E}"/>
                </c:ext>
              </c:extLst>
            </c:dLbl>
            <c:dLbl>
              <c:idx val="1"/>
              <c:layout>
                <c:manualLayout>
                  <c:x val="6.1757344279669271E-4"/>
                  <c:y val="-6.2298067803352999E-3"/>
                </c:manualLayout>
              </c:layout>
              <c:tx>
                <c:rich>
                  <a:bodyPr/>
                  <a:lstStyle/>
                  <a:p>
                    <a:fld id="{6ECD7060-FDB4-40EB-AC09-ABABB9AE47BD}"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057779546528844E-2"/>
                      <c:h val="4.1133981660790388E-2"/>
                    </c:manualLayout>
                  </c15:layout>
                  <c15:dlblFieldTable/>
                  <c15:showDataLabelsRange val="1"/>
                </c:ext>
                <c:ext xmlns:c16="http://schemas.microsoft.com/office/drawing/2014/chart" uri="{C3380CC4-5D6E-409C-BE32-E72D297353CC}">
                  <c16:uniqueId val="{0000002F-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9B-40C5-AED5-CE6F42E2838E}"/>
                </c:ext>
              </c:extLst>
            </c:dLbl>
            <c:dLbl>
              <c:idx val="3"/>
              <c:delete val="1"/>
              <c:extLst>
                <c:ext xmlns:c15="http://schemas.microsoft.com/office/drawing/2012/chart" uri="{CE6537A1-D6FC-4f65-9D91-7224C49458BB}"/>
                <c:ext xmlns:c16="http://schemas.microsoft.com/office/drawing/2014/chart" uri="{C3380CC4-5D6E-409C-BE32-E72D297353CC}">
                  <c16:uniqueId val="{00000014-749B-40C5-AED5-CE6F42E2838E}"/>
                </c:ext>
              </c:extLst>
            </c:dLbl>
            <c:dLbl>
              <c:idx val="4"/>
              <c:layout>
                <c:manualLayout>
                  <c:x val="1.8513631951796372E-3"/>
                  <c:y val="-6.2298067803352999E-3"/>
                </c:manualLayout>
              </c:layout>
              <c:tx>
                <c:rich>
                  <a:bodyPr/>
                  <a:lstStyle/>
                  <a:p>
                    <a:fld id="{632E8994-F3C1-47F6-B8D6-3B3C12BAC1B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5507525941978821E-2"/>
                      <c:h val="4.1133981660790388E-2"/>
                    </c:manualLayout>
                  </c15:layout>
                  <c15:dlblFieldTable/>
                  <c15:showDataLabelsRange val="1"/>
                </c:ext>
                <c:ext xmlns:c16="http://schemas.microsoft.com/office/drawing/2014/chart" uri="{C3380CC4-5D6E-409C-BE32-E72D297353CC}">
                  <c16:uniqueId val="{00000030-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9B-40C5-AED5-CE6F42E2838E}"/>
                </c:ext>
              </c:extLst>
            </c:dLbl>
            <c:dLbl>
              <c:idx val="6"/>
              <c:delete val="1"/>
              <c:extLst>
                <c:ext xmlns:c15="http://schemas.microsoft.com/office/drawing/2012/chart" uri="{CE6537A1-D6FC-4f65-9D91-7224C49458BB}"/>
                <c:ext xmlns:c16="http://schemas.microsoft.com/office/drawing/2014/chart" uri="{C3380CC4-5D6E-409C-BE32-E72D297353CC}">
                  <c16:uniqueId val="{00000015-749B-40C5-AED5-CE6F42E2838E}"/>
                </c:ext>
              </c:extLst>
            </c:dLbl>
            <c:dLbl>
              <c:idx val="7"/>
              <c:layout>
                <c:manualLayout>
                  <c:x val="3.0810815479314878E-3"/>
                  <c:y val="-6.2298067803352999E-3"/>
                </c:manualLayout>
              </c:layout>
              <c:tx>
                <c:rich>
                  <a:bodyPr/>
                  <a:lstStyle/>
                  <a:p>
                    <a:fld id="{1E4C29D5-DFDC-4F22-869F-E0055EA379C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3042660703633627E-2"/>
                      <c:h val="4.1133981660790388E-2"/>
                    </c:manualLayout>
                  </c15:layout>
                  <c15:dlblFieldTable/>
                  <c15:showDataLabelsRange val="1"/>
                </c:ext>
                <c:ext xmlns:c16="http://schemas.microsoft.com/office/drawing/2014/chart" uri="{C3380CC4-5D6E-409C-BE32-E72D297353CC}">
                  <c16:uniqueId val="{00000031-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9B-40C5-AED5-CE6F42E2838E}"/>
                </c:ext>
              </c:extLst>
            </c:dLbl>
            <c:dLbl>
              <c:idx val="9"/>
              <c:delete val="1"/>
              <c:extLst>
                <c:ext xmlns:c15="http://schemas.microsoft.com/office/drawing/2012/chart" uri="{CE6537A1-D6FC-4f65-9D91-7224C49458BB}"/>
                <c:ext xmlns:c16="http://schemas.microsoft.com/office/drawing/2014/chart" uri="{C3380CC4-5D6E-409C-BE32-E72D297353CC}">
                  <c16:uniqueId val="{00000016-749B-40C5-AED5-CE6F42E2838E}"/>
                </c:ext>
              </c:extLst>
            </c:dLbl>
            <c:dLbl>
              <c:idx val="10"/>
              <c:layout>
                <c:manualLayout>
                  <c:x val="1.2351468855932917E-3"/>
                  <c:y val="-1.5574516950838243E-2"/>
                </c:manualLayout>
              </c:layout>
              <c:tx>
                <c:rich>
                  <a:bodyPr/>
                  <a:lstStyle/>
                  <a:p>
                    <a:fld id="{A5DC644E-6BDC-40E1-848D-F460EB4C39A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32-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9B-40C5-AED5-CE6F42E2838E}"/>
                </c:ext>
              </c:extLst>
            </c:dLbl>
            <c:dLbl>
              <c:idx val="12"/>
              <c:delete val="1"/>
              <c:extLst>
                <c:ext xmlns:c15="http://schemas.microsoft.com/office/drawing/2012/chart" uri="{CE6537A1-D6FC-4f65-9D91-7224C49458BB}"/>
                <c:ext xmlns:c16="http://schemas.microsoft.com/office/drawing/2014/chart" uri="{C3380CC4-5D6E-409C-BE32-E72D297353CC}">
                  <c16:uniqueId val="{00000017-749B-40C5-AED5-CE6F42E2838E}"/>
                </c:ext>
              </c:extLst>
            </c:dLbl>
            <c:dLbl>
              <c:idx val="13"/>
              <c:layout>
                <c:manualLayout>
                  <c:x val="-6.1214490995529667E-4"/>
                  <c:y val="-6.2298067803354135E-3"/>
                </c:manualLayout>
              </c:layout>
              <c:tx>
                <c:rich>
                  <a:bodyPr/>
                  <a:lstStyle/>
                  <a:p>
                    <a:fld id="{FED94E00-4C34-4505-9359-EB5B9B32D95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3042660703633627E-2"/>
                      <c:h val="4.1133981660790388E-2"/>
                    </c:manualLayout>
                  </c15:layout>
                  <c15:dlblFieldTable/>
                  <c15:showDataLabelsRange val="1"/>
                </c:ext>
                <c:ext xmlns:c16="http://schemas.microsoft.com/office/drawing/2014/chart" uri="{C3380CC4-5D6E-409C-BE32-E72D297353CC}">
                  <c16:uniqueId val="{00000033-6C6E-43A2-82BD-8F77A3D5343B}"/>
                </c:ext>
              </c:extLst>
            </c:dLbl>
            <c:spPr>
              <a:solidFill>
                <a:schemeClr val="bg1"/>
              </a:solidFill>
              <a:ln w="15875">
                <a:solidFill>
                  <a:srgbClr val="F0B9B3"/>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Chart'!$C$8:$P$8</c:f>
              <c:numCache>
                <c:formatCode>#,##0.00</c:formatCode>
                <c:ptCount val="14"/>
                <c:pt idx="0" formatCode="#,##0">
                  <c:v>312.51267628903128</c:v>
                </c:pt>
                <c:pt idx="1">
                  <c:v>305.55201525232189</c:v>
                </c:pt>
                <c:pt idx="3" formatCode="#,##0">
                  <c:v>344.30566121810301</c:v>
                </c:pt>
                <c:pt idx="4" formatCode="#,##0">
                  <c:v>338.9390569950549</c:v>
                </c:pt>
                <c:pt idx="6" formatCode="#,##0">
                  <c:v>343.7615024031029</c:v>
                </c:pt>
                <c:pt idx="7" formatCode="#,##0">
                  <c:v>329.17432040236918</c:v>
                </c:pt>
                <c:pt idx="9" formatCode="#,##0">
                  <c:v>328.20341084841237</c:v>
                </c:pt>
                <c:pt idx="10" formatCode="#,##0">
                  <c:v>285.0149914661813</c:v>
                </c:pt>
                <c:pt idx="12" formatCode="#,##0">
                  <c:v>334.4739968776168</c:v>
                </c:pt>
                <c:pt idx="13" formatCode="#,##0">
                  <c:v>329.71517444537096</c:v>
                </c:pt>
              </c:numCache>
            </c:numRef>
          </c:val>
          <c:smooth val="0"/>
          <c:extLst>
            <c:ext xmlns:c15="http://schemas.microsoft.com/office/drawing/2012/chart" uri="{02D57815-91ED-43cb-92C2-25804820EDAC}">
              <c15:datalabelsRange>
                <c15:f>'Summary Chart'!$C$14:$P$14</c15:f>
                <c15:dlblRangeCache>
                  <c:ptCount val="14"/>
                  <c:pt idx="1">
                    <c:v>▼$7</c:v>
                  </c:pt>
                  <c:pt idx="4">
                    <c:v>▼$5</c:v>
                  </c:pt>
                  <c:pt idx="7">
                    <c:v>▼$15</c:v>
                  </c:pt>
                  <c:pt idx="10">
                    <c:v>▼$43</c:v>
                  </c:pt>
                  <c:pt idx="13">
                    <c:v>▼$5</c:v>
                  </c:pt>
                </c15:dlblRangeCache>
              </c15:datalabelsRange>
            </c:ext>
            <c:ext xmlns:c16="http://schemas.microsoft.com/office/drawing/2014/chart" uri="{C3380CC4-5D6E-409C-BE32-E72D297353CC}">
              <c16:uniqueId val="{00000034-6C6E-43A2-82BD-8F77A3D5343B}"/>
            </c:ext>
          </c:extLst>
        </c:ser>
        <c:ser>
          <c:idx val="5"/>
          <c:order val="6"/>
          <c:tx>
            <c:strRef>
              <c:f>'Summary Chart'!$B$9</c:f>
              <c:strCache>
                <c:ptCount val="1"/>
                <c:pt idx="0">
                  <c:v>Retail margin component</c:v>
                </c:pt>
              </c:strCache>
            </c:strRef>
          </c:tx>
          <c:spPr>
            <a:ln w="31750" cap="rnd">
              <a:solidFill>
                <a:srgbClr val="303F51"/>
              </a:solidFill>
              <a:prstDash val="sysDot"/>
              <a:round/>
            </a:ln>
            <a:effectLst/>
          </c:spPr>
          <c:marker>
            <c:symbol val="none"/>
          </c:marker>
          <c:dPt>
            <c:idx val="1"/>
            <c:marker>
              <c:symbol val="none"/>
            </c:marker>
            <c:bubble3D val="0"/>
            <c:extLst>
              <c:ext xmlns:c16="http://schemas.microsoft.com/office/drawing/2014/chart" uri="{C3380CC4-5D6E-409C-BE32-E72D297353CC}">
                <c16:uniqueId val="{00000035-6C6E-43A2-82BD-8F77A3D5343B}"/>
              </c:ext>
            </c:extLst>
          </c:dPt>
          <c:dPt>
            <c:idx val="4"/>
            <c:marker>
              <c:symbol val="none"/>
            </c:marker>
            <c:bubble3D val="0"/>
            <c:extLst>
              <c:ext xmlns:c16="http://schemas.microsoft.com/office/drawing/2014/chart" uri="{C3380CC4-5D6E-409C-BE32-E72D297353CC}">
                <c16:uniqueId val="{00000036-6C6E-43A2-82BD-8F77A3D5343B}"/>
              </c:ext>
            </c:extLst>
          </c:dPt>
          <c:dPt>
            <c:idx val="7"/>
            <c:marker>
              <c:symbol val="none"/>
            </c:marker>
            <c:bubble3D val="0"/>
            <c:extLst>
              <c:ext xmlns:c16="http://schemas.microsoft.com/office/drawing/2014/chart" uri="{C3380CC4-5D6E-409C-BE32-E72D297353CC}">
                <c16:uniqueId val="{00000037-6C6E-43A2-82BD-8F77A3D5343B}"/>
              </c:ext>
            </c:extLst>
          </c:dPt>
          <c:dPt>
            <c:idx val="10"/>
            <c:marker>
              <c:symbol val="none"/>
            </c:marker>
            <c:bubble3D val="0"/>
            <c:extLst>
              <c:ext xmlns:c16="http://schemas.microsoft.com/office/drawing/2014/chart" uri="{C3380CC4-5D6E-409C-BE32-E72D297353CC}">
                <c16:uniqueId val="{00000038-6C6E-43A2-82BD-8F77A3D5343B}"/>
              </c:ext>
            </c:extLst>
          </c:dPt>
          <c:dLbls>
            <c:dLbl>
              <c:idx val="0"/>
              <c:layout>
                <c:manualLayout>
                  <c:x val="6.3654082029114684E-2"/>
                  <c:y val="-1.1577034463984818E-16"/>
                </c:manualLayout>
              </c:layout>
              <c:tx>
                <c:rich>
                  <a:bodyPr/>
                  <a:lstStyle/>
                  <a:p>
                    <a:fld id="{B967C31C-1E29-4514-B89E-2E0FFE8EB65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057779546528844E-2"/>
                      <c:h val="4.1133981660790388E-2"/>
                    </c:manualLayout>
                  </c15:layout>
                  <c15:dlblFieldTable/>
                  <c15:showDataLabelsRange val="1"/>
                </c:ext>
                <c:ext xmlns:c16="http://schemas.microsoft.com/office/drawing/2014/chart" uri="{C3380CC4-5D6E-409C-BE32-E72D297353CC}">
                  <c16:uniqueId val="{0000001C-72BA-4EC8-87F0-7B7CE4AB4E6F}"/>
                </c:ext>
              </c:extLst>
            </c:dLbl>
            <c:dLbl>
              <c:idx val="1"/>
              <c:delete val="1"/>
              <c:extLst>
                <c:ext xmlns:c15="http://schemas.microsoft.com/office/drawing/2012/chart" uri="{CE6537A1-D6FC-4f65-9D91-7224C49458BB}"/>
                <c:ext xmlns:c16="http://schemas.microsoft.com/office/drawing/2014/chart" uri="{C3380CC4-5D6E-409C-BE32-E72D297353CC}">
                  <c16:uniqueId val="{00000035-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2BA-4EC8-87F0-7B7CE4AB4E6F}"/>
                </c:ext>
              </c:extLst>
            </c:dLbl>
            <c:dLbl>
              <c:idx val="3"/>
              <c:layout>
                <c:manualLayout>
                  <c:x val="6.5502730957873539E-2"/>
                  <c:y val="-1.1577034463984818E-16"/>
                </c:manualLayout>
              </c:layout>
              <c:tx>
                <c:rich>
                  <a:bodyPr/>
                  <a:lstStyle/>
                  <a:p>
                    <a:fld id="{397CA011-50D6-4A9D-BD0D-B98039D52EF1}"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1B-72BA-4EC8-87F0-7B7CE4AB4E6F}"/>
                </c:ext>
              </c:extLst>
            </c:dLbl>
            <c:dLbl>
              <c:idx val="4"/>
              <c:delete val="1"/>
              <c:extLst>
                <c:ext xmlns:c15="http://schemas.microsoft.com/office/drawing/2012/chart" uri="{CE6537A1-D6FC-4f65-9D91-7224C49458BB}"/>
                <c:ext xmlns:c16="http://schemas.microsoft.com/office/drawing/2014/chart" uri="{C3380CC4-5D6E-409C-BE32-E72D297353CC}">
                  <c16:uniqueId val="{00000036-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2BA-4EC8-87F0-7B7CE4AB4E6F}"/>
                </c:ext>
              </c:extLst>
            </c:dLbl>
            <c:dLbl>
              <c:idx val="6"/>
              <c:layout>
                <c:manualLayout>
                  <c:x val="6.7433956482360988E-2"/>
                  <c:y val="3.0627871362940242E-3"/>
                </c:manualLayout>
              </c:layout>
              <c:tx>
                <c:rich>
                  <a:bodyPr/>
                  <a:lstStyle/>
                  <a:p>
                    <a:fld id="{62DCD1EC-1E19-4C20-8F22-A9FA48C9DF5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5507525941978821E-2"/>
                      <c:h val="4.1133981660790388E-2"/>
                    </c:manualLayout>
                  </c15:layout>
                  <c15:dlblFieldTable/>
                  <c15:showDataLabelsRange val="1"/>
                </c:ext>
                <c:ext xmlns:c16="http://schemas.microsoft.com/office/drawing/2014/chart" uri="{C3380CC4-5D6E-409C-BE32-E72D297353CC}">
                  <c16:uniqueId val="{0000001A-72BA-4EC8-87F0-7B7CE4AB4E6F}"/>
                </c:ext>
              </c:extLst>
            </c:dLbl>
            <c:dLbl>
              <c:idx val="7"/>
              <c:delete val="1"/>
              <c:extLst>
                <c:ext xmlns:c15="http://schemas.microsoft.com/office/drawing/2012/chart" uri="{CE6537A1-D6FC-4f65-9D91-7224C49458BB}"/>
                <c:ext xmlns:c16="http://schemas.microsoft.com/office/drawing/2014/chart" uri="{C3380CC4-5D6E-409C-BE32-E72D297353CC}">
                  <c16:uniqueId val="{00000037-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2BA-4EC8-87F0-7B7CE4AB4E6F}"/>
                </c:ext>
              </c:extLst>
            </c:dLbl>
            <c:dLbl>
              <c:idx val="9"/>
              <c:layout>
                <c:manualLayout>
                  <c:x val="6.5502730957873498E-2"/>
                  <c:y val="-3.4694469519536142E-18"/>
                </c:manualLayout>
              </c:layout>
              <c:tx>
                <c:rich>
                  <a:bodyPr/>
                  <a:lstStyle/>
                  <a:p>
                    <a:fld id="{78B4A11F-A0E9-4F42-BB9C-71DB9ABA9A9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18-72BA-4EC8-87F0-7B7CE4AB4E6F}"/>
                </c:ext>
              </c:extLst>
            </c:dLbl>
            <c:dLbl>
              <c:idx val="10"/>
              <c:delete val="1"/>
              <c:extLst>
                <c:ext xmlns:c15="http://schemas.microsoft.com/office/drawing/2012/chart" uri="{CE6537A1-D6FC-4f65-9D91-7224C49458BB}"/>
                <c:ext xmlns:c16="http://schemas.microsoft.com/office/drawing/2014/chart" uri="{C3380CC4-5D6E-409C-BE32-E72D297353CC}">
                  <c16:uniqueId val="{00000038-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2BA-4EC8-87F0-7B7CE4AB4E6F}"/>
                </c:ext>
              </c:extLst>
            </c:dLbl>
            <c:dLbl>
              <c:idx val="12"/>
              <c:layout>
                <c:manualLayout>
                  <c:x val="6.6735163577046189E-2"/>
                  <c:y val="3.0627871362940242E-3"/>
                </c:manualLayout>
              </c:layout>
              <c:tx>
                <c:rich>
                  <a:bodyPr/>
                  <a:lstStyle/>
                  <a:p>
                    <a:fld id="{A72653E9-23A1-4CF2-8534-B025F72341F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6739958561151408E-2"/>
                      <c:h val="4.1133981660790388E-2"/>
                    </c:manualLayout>
                  </c15:layout>
                  <c15:dlblFieldTable/>
                  <c15:showDataLabelsRange val="1"/>
                </c:ext>
                <c:ext xmlns:c16="http://schemas.microsoft.com/office/drawing/2014/chart" uri="{C3380CC4-5D6E-409C-BE32-E72D297353CC}">
                  <c16:uniqueId val="{00000019-72BA-4EC8-87F0-7B7CE4AB4E6F}"/>
                </c:ext>
              </c:extLst>
            </c:dLbl>
            <c:dLbl>
              <c:idx val="1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2BA-4EC8-87F0-7B7CE4AB4E6F}"/>
                </c:ext>
              </c:extLst>
            </c:dLbl>
            <c:spPr>
              <a:solidFill>
                <a:schemeClr val="bg1"/>
              </a:solidFill>
              <a:ln w="15875">
                <a:solidFill>
                  <a:srgbClr val="5F9E88"/>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Chart'!$C$9:$P$9</c:f>
              <c:numCache>
                <c:formatCode>#,##0</c:formatCode>
                <c:ptCount val="14"/>
                <c:pt idx="0">
                  <c:v>117.87712650472736</c:v>
                </c:pt>
                <c:pt idx="1">
                  <c:v>113.94517949948045</c:v>
                </c:pt>
                <c:pt idx="3">
                  <c:v>144.68178349353047</c:v>
                </c:pt>
                <c:pt idx="4">
                  <c:v>139.70290896481902</c:v>
                </c:pt>
                <c:pt idx="6">
                  <c:v>164.44883322285477</c:v>
                </c:pt>
                <c:pt idx="7">
                  <c:v>156.23036506953986</c:v>
                </c:pt>
                <c:pt idx="9">
                  <c:v>128.5509590018487</c:v>
                </c:pt>
                <c:pt idx="10">
                  <c:v>119.26089229599938</c:v>
                </c:pt>
                <c:pt idx="12">
                  <c:v>138.0326454531837</c:v>
                </c:pt>
                <c:pt idx="13">
                  <c:v>140.01597927841158</c:v>
                </c:pt>
              </c:numCache>
            </c:numRef>
          </c:val>
          <c:smooth val="0"/>
          <c:extLst>
            <c:ext xmlns:c15="http://schemas.microsoft.com/office/drawing/2012/chart" uri="{02D57815-91ED-43cb-92C2-25804820EDAC}">
              <c15:datalabelsRange>
                <c15:f>'Summary Chart'!$D$13:$P$13</c15:f>
                <c15:dlblRangeCache>
                  <c:ptCount val="13"/>
                  <c:pt idx="0">
                    <c:v>▼$21</c:v>
                  </c:pt>
                  <c:pt idx="3">
                    <c:v>▼$27</c:v>
                  </c:pt>
                  <c:pt idx="6">
                    <c:v>▼$24</c:v>
                  </c:pt>
                  <c:pt idx="9">
                    <c:v>▼$19</c:v>
                  </c:pt>
                  <c:pt idx="12">
                    <c:v>▼$26</c:v>
                  </c:pt>
                </c15:dlblRangeCache>
              </c15:datalabelsRange>
            </c:ext>
            <c:ext xmlns:c16="http://schemas.microsoft.com/office/drawing/2014/chart" uri="{C3380CC4-5D6E-409C-BE32-E72D297353CC}">
              <c16:uniqueId val="{00000039-6C6E-43A2-82BD-8F77A3D5343B}"/>
            </c:ext>
          </c:extLst>
        </c:ser>
        <c:dLbls>
          <c:showLegendKey val="0"/>
          <c:showVal val="0"/>
          <c:showCatName val="0"/>
          <c:showSerName val="0"/>
          <c:showPercent val="0"/>
          <c:showBubbleSize val="0"/>
        </c:dLbls>
        <c:marker val="1"/>
        <c:smooth val="0"/>
        <c:axId val="1207454248"/>
        <c:axId val="868328856"/>
      </c:lineChart>
      <c:catAx>
        <c:axId val="1207454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8328856"/>
        <c:crosses val="autoZero"/>
        <c:auto val="1"/>
        <c:lblAlgn val="ctr"/>
        <c:lblOffset val="100"/>
        <c:noMultiLvlLbl val="0"/>
      </c:catAx>
      <c:valAx>
        <c:axId val="868328856"/>
        <c:scaling>
          <c:orientation val="minMax"/>
          <c:max val="32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 nominal</a:t>
                </a:r>
              </a:p>
            </c:rich>
          </c:tx>
          <c:layout>
            <c:manualLayout>
              <c:xMode val="edge"/>
              <c:yMode val="edge"/>
              <c:x val="8.1651134477331768E-3"/>
              <c:y val="0.359941959200441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7454248"/>
        <c:crosses val="autoZero"/>
        <c:crossBetween val="between"/>
      </c:valAx>
      <c:spPr>
        <a:solidFill>
          <a:srgbClr val="F3F3F3"/>
        </a:solidFill>
        <a:ln>
          <a:noFill/>
        </a:ln>
        <a:effectLst/>
      </c:spPr>
    </c:plotArea>
    <c:legend>
      <c:legendPos val="b"/>
      <c:layout>
        <c:manualLayout>
          <c:xMode val="edge"/>
          <c:yMode val="edge"/>
          <c:x val="4.6607340579879988E-2"/>
          <c:y val="0.90952664773589997"/>
          <c:w val="0.93578460255710083"/>
          <c:h val="8.76930718791584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rate'!$A$73</c:f>
          <c:strCache>
            <c:ptCount val="1"/>
            <c:pt idx="0">
              <c:v>SAPN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42495126705652E-2"/>
          <c:y val="0.14156862745098039"/>
          <c:w val="0.7980985710119568"/>
          <c:h val="0.74478431372549014"/>
        </c:manualLayout>
      </c:layout>
      <c:barChart>
        <c:barDir val="col"/>
        <c:grouping val="stacked"/>
        <c:varyColors val="0"/>
        <c:ser>
          <c:idx val="0"/>
          <c:order val="0"/>
          <c:tx>
            <c:strRef>
              <c:f>'SB Flat rate'!$C$73</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rate'!$D$73:$J$73</c:f>
              <c:numCache>
                <c:formatCode>#,##0</c:formatCode>
                <c:ptCount val="7"/>
                <c:pt idx="0">
                  <c:v>0</c:v>
                </c:pt>
                <c:pt idx="1">
                  <c:v>5541.0016782234652</c:v>
                </c:pt>
                <c:pt idx="2">
                  <c:v>5525.234522851677</c:v>
                </c:pt>
                <c:pt idx="3">
                  <c:v>5461.4217375767357</c:v>
                </c:pt>
                <c:pt idx="4">
                  <c:v>5461.4217375767357</c:v>
                </c:pt>
                <c:pt idx="5">
                  <c:v>5161.8632840663859</c:v>
                </c:pt>
                <c:pt idx="6">
                  <c:v>0</c:v>
                </c:pt>
              </c:numCache>
            </c:numRef>
          </c:val>
          <c:extLst>
            <c:ext xmlns:c16="http://schemas.microsoft.com/office/drawing/2014/chart" uri="{C3380CC4-5D6E-409C-BE32-E72D297353CC}">
              <c16:uniqueId val="{00000000-6EE3-41EC-88D7-3A4FCD5CC3B5}"/>
            </c:ext>
          </c:extLst>
        </c:ser>
        <c:ser>
          <c:idx val="1"/>
          <c:order val="1"/>
          <c:tx>
            <c:strRef>
              <c:f>'SB Flat rate'!$C$74</c:f>
              <c:strCache>
                <c:ptCount val="1"/>
                <c:pt idx="0">
                  <c:v>Network cost</c:v>
                </c:pt>
              </c:strCache>
            </c:strRef>
          </c:tx>
          <c:spPr>
            <a:solidFill>
              <a:srgbClr val="89B3CE"/>
            </a:solidFill>
            <a:ln>
              <a:noFill/>
            </a:ln>
            <a:effectLst/>
          </c:spPr>
          <c:invertIfNegative val="0"/>
          <c:dLbls>
            <c:dLbl>
              <c:idx val="1"/>
              <c:layout>
                <c:manualLayout>
                  <c:x val="-1.8713451671111235E-3"/>
                  <c:y val="-3.7392840871231257E-2"/>
                </c:manualLayout>
              </c:layout>
              <c:tx>
                <c:strRef>
                  <c:f>'SB Flat rate'!$K$74</c:f>
                  <c:strCache>
                    <c:ptCount val="1"/>
                    <c:pt idx="0">
                      <c:v>+23.0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{A5827519-6221-4418-A97B-B74EAB3EC8A2}</c15:txfldGUID>
                      <c15:f>'SB Flat rate'!$K$74</c15:f>
                      <c15:dlblFieldTableCache>
                        <c:ptCount val="1"/>
                        <c:pt idx="0">
                          <c:v>+23.0</c:v>
                        </c:pt>
                      </c15:dlblFieldTableCache>
                    </c15:dlblFTEntry>
                  </c15:dlblFieldTable>
                  <c15:showDataLabelsRange val="0"/>
                </c:ext>
                <c:ext xmlns:c16="http://schemas.microsoft.com/office/drawing/2014/chart" uri="{C3380CC4-5D6E-409C-BE32-E72D297353CC}">
                  <c16:uniqueId val="{00000001-6EE3-41EC-88D7-3A4FCD5CC3B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rate'!$D$74:$J$74</c:f>
              <c:numCache>
                <c:formatCode>#,##0.0</c:formatCode>
                <c:ptCount val="7"/>
                <c:pt idx="0" formatCode="#,##0">
                  <c:v>2281.9764034447339</c:v>
                </c:pt>
                <c:pt idx="1">
                  <c:v>23.048623194395987</c:v>
                </c:pt>
                <c:pt idx="6" formatCode="#,##0">
                  <c:v>2305.0250266391299</c:v>
                </c:pt>
              </c:numCache>
            </c:numRef>
          </c:val>
          <c:extLst>
            <c:ext xmlns:c16="http://schemas.microsoft.com/office/drawing/2014/chart" uri="{C3380CC4-5D6E-409C-BE32-E72D297353CC}">
              <c16:uniqueId val="{00000002-6EE3-41EC-88D7-3A4FCD5CC3B5}"/>
            </c:ext>
          </c:extLst>
        </c:ser>
        <c:ser>
          <c:idx val="2"/>
          <c:order val="2"/>
          <c:tx>
            <c:strRef>
              <c:f>'SB Flat rate'!$C$75</c:f>
              <c:strCache>
                <c:ptCount val="1"/>
                <c:pt idx="0">
                  <c:v>Wholesale cost</c:v>
                </c:pt>
              </c:strCache>
            </c:strRef>
          </c:tx>
          <c:spPr>
            <a:solidFill>
              <a:srgbClr val="E06026"/>
            </a:solidFill>
            <a:ln>
              <a:noFill/>
            </a:ln>
            <a:effectLst/>
          </c:spPr>
          <c:invertIfNegative val="0"/>
          <c:dLbls>
            <c:dLbl>
              <c:idx val="2"/>
              <c:layout>
                <c:manualLayout>
                  <c:x val="7.7972709551656923E-5"/>
                  <c:y val="-3.8231279913540257E-2"/>
                </c:manualLayout>
              </c:layout>
              <c:tx>
                <c:strRef>
                  <c:f>'SB Flat rate'!$K$75</c:f>
                  <c:strCache>
                    <c:ptCount val="1"/>
                    <c:pt idx="0">
                      <c:v>-38.8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{9CB05987-07A6-4488-A527-C2470EB0861B}</c15:txfldGUID>
                      <c15:f>'SB Flat rate'!$K$75</c15:f>
                      <c15:dlblFieldTableCache>
                        <c:ptCount val="1"/>
                        <c:pt idx="0">
                          <c:v>-38.8</c:v>
                        </c:pt>
                      </c15:dlblFieldTableCache>
                    </c15:dlblFTEntry>
                  </c15:dlblFieldTable>
                  <c15:showDataLabelsRange val="0"/>
                </c:ext>
                <c:ext xmlns:c16="http://schemas.microsoft.com/office/drawing/2014/chart" uri="{C3380CC4-5D6E-409C-BE32-E72D297353CC}">
                  <c16:uniqueId val="{00000003-6EE3-41EC-88D7-3A4FCD5CC3B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rate'!$D$75:$J$75</c:f>
              <c:numCache>
                <c:formatCode>#,##0.0</c:formatCode>
                <c:ptCount val="7"/>
                <c:pt idx="0" formatCode="#,##0">
                  <c:v>2124.1700443102077</c:v>
                </c:pt>
                <c:pt idx="2">
                  <c:v>38.815778566183781</c:v>
                </c:pt>
                <c:pt idx="6" formatCode="#,##0">
                  <c:v>2085.3542657440239</c:v>
                </c:pt>
              </c:numCache>
            </c:numRef>
          </c:val>
          <c:extLst>
            <c:ext xmlns:c16="http://schemas.microsoft.com/office/drawing/2014/chart" uri="{C3380CC4-5D6E-409C-BE32-E72D297353CC}">
              <c16:uniqueId val="{00000004-6EE3-41EC-88D7-3A4FCD5CC3B5}"/>
            </c:ext>
          </c:extLst>
        </c:ser>
        <c:ser>
          <c:idx val="3"/>
          <c:order val="3"/>
          <c:tx>
            <c:strRef>
              <c:f>'SB Flat rate'!$C$76</c:f>
              <c:strCache>
                <c:ptCount val="1"/>
                <c:pt idx="0">
                  <c:v>Environmental cost</c:v>
                </c:pt>
              </c:strCache>
            </c:strRef>
          </c:tx>
          <c:spPr>
            <a:solidFill>
              <a:srgbClr val="5F9E88"/>
            </a:solidFill>
            <a:ln>
              <a:noFill/>
            </a:ln>
            <a:effectLst/>
          </c:spPr>
          <c:invertIfNegative val="0"/>
          <c:dLbls>
            <c:dLbl>
              <c:idx val="3"/>
              <c:layout>
                <c:manualLayout>
                  <c:x val="-1.8753357584688594E-3"/>
                  <c:y val="3.1865369769955187E-2"/>
                </c:manualLayout>
              </c:layout>
              <c:tx>
                <c:strRef>
                  <c:f>'SB Flat rate'!$K$76</c:f>
                  <c:strCache>
                    <c:ptCount val="1"/>
                    <c:pt idx="0">
                      <c:v>-63.8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{7E14D86A-0D4D-4C16-8E63-73AFDB7B7CD4}</c15:txfldGUID>
                      <c15:f>'SB Flat rate'!$K$76</c15:f>
                      <c15:dlblFieldTableCache>
                        <c:ptCount val="1"/>
                        <c:pt idx="0">
                          <c:v>-63.8</c:v>
                        </c:pt>
                      </c15:dlblFieldTableCache>
                    </c15:dlblFTEntry>
                  </c15:dlblFieldTable>
                  <c15:showDataLabelsRange val="0"/>
                </c:ext>
                <c:ext xmlns:c16="http://schemas.microsoft.com/office/drawing/2014/chart" uri="{C3380CC4-5D6E-409C-BE32-E72D297353CC}">
                  <c16:uniqueId val="{00000005-6EE3-41EC-88D7-3A4FCD5CC3B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rate'!$D$76:$J$76</c:f>
              <c:numCache>
                <c:formatCode>#,##0.0</c:formatCode>
                <c:ptCount val="7"/>
                <c:pt idx="0" formatCode="#,##0">
                  <c:v>180.61693926142473</c:v>
                </c:pt>
                <c:pt idx="3">
                  <c:v>63.812785274941518</c:v>
                </c:pt>
                <c:pt idx="6" formatCode="#,##0">
                  <c:v>116.80415398648321</c:v>
                </c:pt>
              </c:numCache>
            </c:numRef>
          </c:val>
          <c:extLst>
            <c:ext xmlns:c16="http://schemas.microsoft.com/office/drawing/2014/chart" uri="{C3380CC4-5D6E-409C-BE32-E72D297353CC}">
              <c16:uniqueId val="{00000006-6EE3-41EC-88D7-3A4FCD5CC3B5}"/>
            </c:ext>
          </c:extLst>
        </c:ser>
        <c:ser>
          <c:idx val="4"/>
          <c:order val="4"/>
          <c:tx>
            <c:strRef>
              <c:f>'SB Flat rate'!$C$77</c:f>
              <c:strCache>
                <c:ptCount val="1"/>
                <c:pt idx="0">
                  <c:v>Retail cost</c:v>
                </c:pt>
              </c:strCache>
            </c:strRef>
          </c:tx>
          <c:spPr>
            <a:solidFill>
              <a:srgbClr val="F0B9B3"/>
            </a:solidFill>
            <a:ln>
              <a:noFill/>
            </a:ln>
            <a:effectLst/>
          </c:spPr>
          <c:invertIfNegative val="0"/>
          <c:dLbls>
            <c:dLbl>
              <c:idx val="4"/>
              <c:layout>
                <c:manualLayout>
                  <c:x val="0"/>
                  <c:y val="-3.6721029066413141E-2"/>
                </c:manualLayout>
              </c:layout>
              <c:tx>
                <c:strRef>
                  <c:f>'SB Flat rate'!$K$77</c:f>
                  <c:strCache>
                    <c:ptCount val="1"/>
                    <c:pt idx="0">
                      <c:v>+0.2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{53152856-E9C3-4C92-86E4-38FA95401359}</c15:txfldGUID>
                      <c15:f>'SB Flat rate'!$K$77</c15:f>
                      <c15:dlblFieldTableCache>
                        <c:ptCount val="1"/>
                        <c:pt idx="0">
                          <c:v>+0.2</c:v>
                        </c:pt>
                      </c15:dlblFieldTableCache>
                    </c15:dlblFTEntry>
                  </c15:dlblFieldTable>
                  <c15:showDataLabelsRange val="0"/>
                </c:ext>
                <c:ext xmlns:c16="http://schemas.microsoft.com/office/drawing/2014/chart" uri="{C3380CC4-5D6E-409C-BE32-E72D297353CC}">
                  <c16:uniqueId val="{00000000-906A-4B7C-90BB-2AFF591C9F3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rate'!$D$77:$J$77</c:f>
              <c:numCache>
                <c:formatCode>#,##0.0</c:formatCode>
                <c:ptCount val="7"/>
                <c:pt idx="0" formatCode="#,##0">
                  <c:v>344.72810660251821</c:v>
                </c:pt>
                <c:pt idx="4">
                  <c:v>0.23993405024810954</c:v>
                </c:pt>
                <c:pt idx="6" formatCode="#,##0">
                  <c:v>344.96804065276632</c:v>
                </c:pt>
              </c:numCache>
            </c:numRef>
          </c:val>
          <c:extLst>
            <c:ext xmlns:c16="http://schemas.microsoft.com/office/drawing/2014/chart" uri="{C3380CC4-5D6E-409C-BE32-E72D297353CC}">
              <c16:uniqueId val="{00000007-6EE3-41EC-88D7-3A4FCD5CC3B5}"/>
            </c:ext>
          </c:extLst>
        </c:ser>
        <c:ser>
          <c:idx val="5"/>
          <c:order val="5"/>
          <c:tx>
            <c:strRef>
              <c:f>'SB Flat rate'!$C$78</c:f>
              <c:strCache>
                <c:ptCount val="1"/>
                <c:pt idx="0">
                  <c:v>Retail margin</c:v>
                </c:pt>
              </c:strCache>
            </c:strRef>
          </c:tx>
          <c:spPr>
            <a:solidFill>
              <a:srgbClr val="303F51"/>
            </a:solidFill>
            <a:ln>
              <a:noFill/>
            </a:ln>
            <a:effectLst/>
          </c:spPr>
          <c:invertIfNegative val="0"/>
          <c:dLbls>
            <c:dLbl>
              <c:idx val="5"/>
              <c:layout>
                <c:manualLayout>
                  <c:x val="2.8069065075733389E-3"/>
                  <c:y val="-5.1003116797900261E-2"/>
                </c:manualLayout>
              </c:layout>
              <c:tx>
                <c:strRef>
                  <c:f>'SB Flat rate'!$K$78</c:f>
                  <c:strCache>
                    <c:ptCount val="1"/>
                    <c:pt idx="0">
                      <c:v>-299.8</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6451466884115989E-2"/>
                      <c:h val="5.3135719537744049E-2"/>
                    </c:manualLayout>
                  </c15:layout>
                  <c15:dlblFieldTable>
                    <c15:dlblFTEntry>
                      <c15:txfldGUID>{79F833F9-ABE6-4EA7-AB6F-86AC5033E964}</c15:txfldGUID>
                      <c15:f>'SB Flat rate'!$K$78</c15:f>
                      <c15:dlblFieldTableCache>
                        <c:ptCount val="1"/>
                        <c:pt idx="0">
                          <c:v>-299.8</c:v>
                        </c:pt>
                      </c15:dlblFieldTableCache>
                    </c15:dlblFTEntry>
                  </c15:dlblFieldTable>
                  <c15:showDataLabelsRange val="0"/>
                </c:ext>
                <c:ext xmlns:c16="http://schemas.microsoft.com/office/drawing/2014/chart" uri="{C3380CC4-5D6E-409C-BE32-E72D297353CC}">
                  <c16:uniqueId val="{00000001-906A-4B7C-90BB-2AFF591C9F3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rate'!$D$78:$J$78</c:f>
              <c:numCache>
                <c:formatCode>#,##0.0</c:formatCode>
                <c:ptCount val="7"/>
                <c:pt idx="0" formatCode="#,##0">
                  <c:v>609.5101846045809</c:v>
                </c:pt>
                <c:pt idx="5">
                  <c:v>299.7983875605978</c:v>
                </c:pt>
                <c:pt idx="6" formatCode="#,##0">
                  <c:v>309.7117970439831</c:v>
                </c:pt>
              </c:numCache>
            </c:numRef>
          </c:val>
          <c:extLst>
            <c:ext xmlns:c16="http://schemas.microsoft.com/office/drawing/2014/chart" uri="{C3380CC4-5D6E-409C-BE32-E72D297353CC}">
              <c16:uniqueId val="{00000008-6EE3-41EC-88D7-3A4FCD5CC3B5}"/>
            </c:ext>
          </c:extLst>
        </c:ser>
        <c:ser>
          <c:idx val="6"/>
          <c:order val="6"/>
          <c:tx>
            <c:strRef>
              <c:f>'SB Flat rate'!$C$79</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rate'!$D$79:$J$79</c:f>
              <c:numCache>
                <c:formatCode>#,##0</c:formatCode>
                <c:ptCount val="7"/>
                <c:pt idx="0">
                  <c:v>5541</c:v>
                </c:pt>
                <c:pt idx="6">
                  <c:v>5162</c:v>
                </c:pt>
              </c:numCache>
            </c:numRef>
          </c:val>
          <c:extLst>
            <c:ext xmlns:c16="http://schemas.microsoft.com/office/drawing/2014/chart" uri="{C3380CC4-5D6E-409C-BE32-E72D297353CC}">
              <c16:uniqueId val="{00000009-6EE3-41EC-88D7-3A4FCD5CC3B5}"/>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65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343970161624536"/>
          <c:y val="0.39284761463640572"/>
          <c:w val="0.17266166290617183"/>
          <c:h val="0.31273583449127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rate'!$A$45</c:f>
          <c:strCache>
            <c:ptCount val="1"/>
            <c:pt idx="0">
              <c:v>Ausgrid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42495126705652E-2"/>
          <c:y val="0.14156862745098039"/>
          <c:w val="0.79030130005679111"/>
          <c:h val="0.73694117647058821"/>
        </c:manualLayout>
      </c:layout>
      <c:barChart>
        <c:barDir val="col"/>
        <c:grouping val="stacked"/>
        <c:varyColors val="0"/>
        <c:ser>
          <c:idx val="0"/>
          <c:order val="0"/>
          <c:tx>
            <c:strRef>
              <c:f>'SB Flat rate'!$C$45</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rate'!$D$45:$J$45</c:f>
              <c:numCache>
                <c:formatCode>#,##0</c:formatCode>
                <c:ptCount val="7"/>
                <c:pt idx="0">
                  <c:v>0</c:v>
                </c:pt>
                <c:pt idx="1">
                  <c:v>4977.4807932446101</c:v>
                </c:pt>
                <c:pt idx="2">
                  <c:v>4880.7494468400164</c:v>
                </c:pt>
                <c:pt idx="3">
                  <c:v>4827.5246686654509</c:v>
                </c:pt>
                <c:pt idx="4">
                  <c:v>4799.5709487515433</c:v>
                </c:pt>
                <c:pt idx="5">
                  <c:v>4523.4553845687624</c:v>
                </c:pt>
              </c:numCache>
            </c:numRef>
          </c:val>
          <c:extLst>
            <c:ext xmlns:c16="http://schemas.microsoft.com/office/drawing/2014/chart" uri="{C3380CC4-5D6E-409C-BE32-E72D297353CC}">
              <c16:uniqueId val="{00000000-6ABF-4661-8332-C4B328DDBFA4}"/>
            </c:ext>
          </c:extLst>
        </c:ser>
        <c:ser>
          <c:idx val="1"/>
          <c:order val="1"/>
          <c:tx>
            <c:strRef>
              <c:f>'SB Flat rate'!$C$46</c:f>
              <c:strCache>
                <c:ptCount val="1"/>
                <c:pt idx="0">
                  <c:v>Network cost</c:v>
                </c:pt>
              </c:strCache>
            </c:strRef>
          </c:tx>
          <c:spPr>
            <a:solidFill>
              <a:srgbClr val="89B3CE"/>
            </a:solidFill>
            <a:ln>
              <a:noFill/>
            </a:ln>
            <a:effectLst/>
          </c:spPr>
          <c:invertIfNegative val="0"/>
          <c:dLbls>
            <c:dLbl>
              <c:idx val="1"/>
              <c:layout>
                <c:manualLayout>
                  <c:x val="-1.8561484918793504E-3"/>
                  <c:y val="-3.7213047459660864E-2"/>
                </c:manualLayout>
              </c:layout>
              <c:tx>
                <c:strRef>
                  <c:f>'SB Flat rate'!$K$46</c:f>
                  <c:strCache>
                    <c:ptCount val="1"/>
                    <c:pt idx="0">
                      <c:v>+158.9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{A62A0E88-4F64-48D9-9A57-013C922CCB93}</c15:txfldGUID>
                      <c15:f>'SB Flat rate'!$K$46</c15:f>
                      <c15:dlblFieldTableCache>
                        <c:ptCount val="1"/>
                        <c:pt idx="0">
                          <c:v>+158.9</c:v>
                        </c:pt>
                      </c15:dlblFieldTableCache>
                    </c15:dlblFTEntry>
                  </c15:dlblFieldTable>
                  <c15:showDataLabelsRange val="0"/>
                </c:ext>
                <c:ext xmlns:c16="http://schemas.microsoft.com/office/drawing/2014/chart" uri="{C3380CC4-5D6E-409C-BE32-E72D297353CC}">
                  <c16:uniqueId val="{00000001-6ABF-4661-8332-C4B328DDBFA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rate'!$D$46:$J$46</c:f>
              <c:numCache>
                <c:formatCode>#,##0.0</c:formatCode>
                <c:ptCount val="7"/>
                <c:pt idx="0" formatCode="#,##0">
                  <c:v>1923.3380879684253</c:v>
                </c:pt>
                <c:pt idx="1">
                  <c:v>158.93832222571359</c:v>
                </c:pt>
                <c:pt idx="6" formatCode="#,##0">
                  <c:v>2082.2764101941389</c:v>
                </c:pt>
              </c:numCache>
            </c:numRef>
          </c:val>
          <c:extLst>
            <c:ext xmlns:c16="http://schemas.microsoft.com/office/drawing/2014/chart" uri="{C3380CC4-5D6E-409C-BE32-E72D297353CC}">
              <c16:uniqueId val="{00000002-6ABF-4661-8332-C4B328DDBFA4}"/>
            </c:ext>
          </c:extLst>
        </c:ser>
        <c:ser>
          <c:idx val="2"/>
          <c:order val="2"/>
          <c:tx>
            <c:strRef>
              <c:f>'SB Flat rate'!$C$47</c:f>
              <c:strCache>
                <c:ptCount val="1"/>
                <c:pt idx="0">
                  <c:v>Wholesale cost</c:v>
                </c:pt>
              </c:strCache>
            </c:strRef>
          </c:tx>
          <c:spPr>
            <a:solidFill>
              <a:srgbClr val="E06026"/>
            </a:solidFill>
            <a:ln>
              <a:noFill/>
            </a:ln>
            <a:effectLst/>
          </c:spPr>
          <c:invertIfNegative val="0"/>
          <c:dLbls>
            <c:dLbl>
              <c:idx val="2"/>
              <c:layout>
                <c:manualLayout>
                  <c:x val="2.0391091464444138E-3"/>
                  <c:y val="-3.4188667593021457E-2"/>
                </c:manualLayout>
              </c:layout>
              <c:tx>
                <c:strRef>
                  <c:f>'SB Flat rate'!$K$47</c:f>
                  <c:strCache>
                    <c:ptCount val="1"/>
                    <c:pt idx="0">
                      <c:v>-255.7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{9C0E83BA-5E98-4D9D-B62E-1462645A1F2E}</c15:txfldGUID>
                      <c15:f>'SB Flat rate'!$K$47</c15:f>
                      <c15:dlblFieldTableCache>
                        <c:ptCount val="1"/>
                        <c:pt idx="0">
                          <c:v>-255.7</c:v>
                        </c:pt>
                      </c15:dlblFieldTableCache>
                    </c15:dlblFTEntry>
                  </c15:dlblFieldTable>
                  <c15:showDataLabelsRange val="0"/>
                </c:ext>
                <c:ext xmlns:c16="http://schemas.microsoft.com/office/drawing/2014/chart" uri="{C3380CC4-5D6E-409C-BE32-E72D297353CC}">
                  <c16:uniqueId val="{00000003-6ABF-4661-8332-C4B328DDBFA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rate'!$D$47:$J$47</c:f>
              <c:numCache>
                <c:formatCode>#,##0.0</c:formatCode>
                <c:ptCount val="7"/>
                <c:pt idx="0" formatCode="#,##0">
                  <c:v>1909.4590830953503</c:v>
                </c:pt>
                <c:pt idx="2">
                  <c:v>255.66966863030734</c:v>
                </c:pt>
                <c:pt idx="6" formatCode="#,##0">
                  <c:v>1653.7894144650429</c:v>
                </c:pt>
              </c:numCache>
            </c:numRef>
          </c:val>
          <c:extLst>
            <c:ext xmlns:c16="http://schemas.microsoft.com/office/drawing/2014/chart" uri="{C3380CC4-5D6E-409C-BE32-E72D297353CC}">
              <c16:uniqueId val="{00000004-6ABF-4661-8332-C4B328DDBFA4}"/>
            </c:ext>
          </c:extLst>
        </c:ser>
        <c:ser>
          <c:idx val="3"/>
          <c:order val="3"/>
          <c:tx>
            <c:strRef>
              <c:f>'SB Flat rate'!$C$48</c:f>
              <c:strCache>
                <c:ptCount val="1"/>
                <c:pt idx="0">
                  <c:v>Environmental cost</c:v>
                </c:pt>
              </c:strCache>
            </c:strRef>
          </c:tx>
          <c:spPr>
            <a:solidFill>
              <a:srgbClr val="5F9E88"/>
            </a:solidFill>
            <a:ln>
              <a:noFill/>
            </a:ln>
            <a:effectLst/>
          </c:spPr>
          <c:invertIfNegative val="0"/>
          <c:dLbls>
            <c:dLbl>
              <c:idx val="3"/>
              <c:layout>
                <c:manualLayout>
                  <c:x val="-1.9493177387914229E-3"/>
                  <c:y val="2.4920487880191446E-2"/>
                </c:manualLayout>
              </c:layout>
              <c:tx>
                <c:strRef>
                  <c:f>'SB Flat rate'!$K$48</c:f>
                  <c:strCache>
                    <c:ptCount val="1"/>
                    <c:pt idx="0">
                      <c:v>-53.2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{AF774DEB-EB9A-4626-8CF8-17AC917181C8}</c15:txfldGUID>
                      <c15:f>'SB Flat rate'!$K$48</c15:f>
                      <c15:dlblFieldTableCache>
                        <c:ptCount val="1"/>
                        <c:pt idx="0">
                          <c:v>-53.2</c:v>
                        </c:pt>
                      </c15:dlblFieldTableCache>
                    </c15:dlblFTEntry>
                  </c15:dlblFieldTable>
                  <c15:showDataLabelsRange val="0"/>
                </c:ext>
                <c:ext xmlns:c16="http://schemas.microsoft.com/office/drawing/2014/chart" uri="{C3380CC4-5D6E-409C-BE32-E72D297353CC}">
                  <c16:uniqueId val="{00000005-6ABF-4661-8332-C4B328DDBFA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rate'!$D$48:$J$48</c:f>
              <c:numCache>
                <c:formatCode>#,##0.0</c:formatCode>
                <c:ptCount val="7"/>
                <c:pt idx="0" formatCode="#,##0">
                  <c:v>175.20902385503413</c:v>
                </c:pt>
                <c:pt idx="3">
                  <c:v>53.224778174565714</c:v>
                </c:pt>
                <c:pt idx="6" formatCode="#,##0">
                  <c:v>121.98424568046842</c:v>
                </c:pt>
              </c:numCache>
            </c:numRef>
          </c:val>
          <c:extLst>
            <c:ext xmlns:c16="http://schemas.microsoft.com/office/drawing/2014/chart" uri="{C3380CC4-5D6E-409C-BE32-E72D297353CC}">
              <c16:uniqueId val="{00000006-6ABF-4661-8332-C4B328DDBFA4}"/>
            </c:ext>
          </c:extLst>
        </c:ser>
        <c:ser>
          <c:idx val="4"/>
          <c:order val="4"/>
          <c:tx>
            <c:strRef>
              <c:f>'SB Flat rate'!$C$49</c:f>
              <c:strCache>
                <c:ptCount val="1"/>
                <c:pt idx="0">
                  <c:v>Retail cost</c:v>
                </c:pt>
              </c:strCache>
            </c:strRef>
          </c:tx>
          <c:spPr>
            <a:solidFill>
              <a:srgbClr val="F0B9B3"/>
            </a:solidFill>
            <a:ln>
              <a:noFill/>
            </a:ln>
            <a:effectLst/>
          </c:spPr>
          <c:invertIfNegative val="0"/>
          <c:dLbls>
            <c:dLbl>
              <c:idx val="4"/>
              <c:layout>
                <c:manualLayout>
                  <c:x val="8.7184216330620165E-3"/>
                  <c:y val="-3.7667757299611845E-2"/>
                </c:manualLayout>
              </c:layout>
              <c:tx>
                <c:strRef>
                  <c:f>'SB Flat rate'!$K$49</c:f>
                  <c:strCache>
                    <c:ptCount val="1"/>
                    <c:pt idx="0">
                      <c:v>-28.0</c:v>
                    </c:pt>
                  </c:strCache>
                </c:strRef>
              </c:tx>
              <c:showLegendKey val="0"/>
              <c:showVal val="1"/>
              <c:showCatName val="0"/>
              <c:showSerName val="0"/>
              <c:showPercent val="0"/>
              <c:showBubbleSize val="0"/>
              <c:extLst>
                <c:ext xmlns:c15="http://schemas.microsoft.com/office/drawing/2012/chart" uri="{CE6537A1-D6FC-4f65-9D91-7224C49458BB}">
                  <c15:layout>
                    <c:manualLayout>
                      <c:w val="7.3042317078786209E-2"/>
                      <c:h val="6.5241315423807317E-2"/>
                    </c:manualLayout>
                  </c15:layout>
                  <c15:dlblFieldTable>
                    <c15:dlblFTEntry>
                      <c15:txfldGUID>{680A3009-D284-4A38-A5A1-0570AC2568B6}</c15:txfldGUID>
                      <c15:f>'SB Flat rate'!$K$49</c15:f>
                      <c15:dlblFieldTableCache>
                        <c:ptCount val="1"/>
                        <c:pt idx="0">
                          <c:v>-28.0</c:v>
                        </c:pt>
                      </c15:dlblFieldTableCache>
                    </c15:dlblFTEntry>
                  </c15:dlblFieldTable>
                  <c15:showDataLabelsRange val="0"/>
                </c:ext>
                <c:ext xmlns:c16="http://schemas.microsoft.com/office/drawing/2014/chart" uri="{C3380CC4-5D6E-409C-BE32-E72D297353CC}">
                  <c16:uniqueId val="{00000000-A668-4C33-997D-43FB670CB4B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rate'!$D$49:$J$49</c:f>
              <c:numCache>
                <c:formatCode>#,##0.0</c:formatCode>
                <c:ptCount val="7"/>
                <c:pt idx="0" formatCode="#,##0">
                  <c:v>421.95171106889359</c:v>
                </c:pt>
                <c:pt idx="4">
                  <c:v>27.953719913907605</c:v>
                </c:pt>
                <c:pt idx="6" formatCode="#,##0">
                  <c:v>393.99799115498598</c:v>
                </c:pt>
              </c:numCache>
            </c:numRef>
          </c:val>
          <c:extLst>
            <c:ext xmlns:c16="http://schemas.microsoft.com/office/drawing/2014/chart" uri="{C3380CC4-5D6E-409C-BE32-E72D297353CC}">
              <c16:uniqueId val="{00000007-6ABF-4661-8332-C4B328DDBFA4}"/>
            </c:ext>
          </c:extLst>
        </c:ser>
        <c:ser>
          <c:idx val="5"/>
          <c:order val="5"/>
          <c:tx>
            <c:strRef>
              <c:f>'SB Flat rate'!$C$50</c:f>
              <c:strCache>
                <c:ptCount val="1"/>
                <c:pt idx="0">
                  <c:v>Retail margin</c:v>
                </c:pt>
              </c:strCache>
            </c:strRef>
          </c:tx>
          <c:spPr>
            <a:solidFill>
              <a:srgbClr val="303F51"/>
            </a:solidFill>
            <a:ln>
              <a:noFill/>
            </a:ln>
            <a:effectLst/>
          </c:spPr>
          <c:invertIfNegative val="0"/>
          <c:dLbls>
            <c:dLbl>
              <c:idx val="5"/>
              <c:layout>
                <c:manualLayout>
                  <c:x val="-2.7140654932489849E-3"/>
                  <c:y val="-5.5544127296587927E-2"/>
                </c:manualLayout>
              </c:layout>
              <c:tx>
                <c:strRef>
                  <c:f>'SB Flat rate'!$K$50</c:f>
                  <c:strCache>
                    <c:ptCount val="1"/>
                    <c:pt idx="0">
                      <c:v>-276.1</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8612364876984508E-2"/>
                      <c:h val="7.783167970876706E-2"/>
                    </c:manualLayout>
                  </c15:layout>
                  <c15:dlblFieldTable>
                    <c15:dlblFTEntry>
                      <c15:txfldGUID>{44873A86-A175-4B46-A729-7937161D138B}</c15:txfldGUID>
                      <c15:f>'SB Flat rate'!$K$50</c15:f>
                      <c15:dlblFieldTableCache>
                        <c:ptCount val="1"/>
                        <c:pt idx="0">
                          <c:v>-276.1</c:v>
                        </c:pt>
                      </c15:dlblFieldTableCache>
                    </c15:dlblFTEntry>
                  </c15:dlblFieldTable>
                  <c15:showDataLabelsRange val="0"/>
                </c:ext>
                <c:ext xmlns:c16="http://schemas.microsoft.com/office/drawing/2014/chart" uri="{C3380CC4-5D6E-409C-BE32-E72D297353CC}">
                  <c16:uniqueId val="{00000001-A668-4C33-997D-43FB670CB4B3}"/>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'SB Flat rate'!$D$50:$J$50</c:f>
              <c:numCache>
                <c:formatCode>#,##0.0</c:formatCode>
                <c:ptCount val="7"/>
                <c:pt idx="0" formatCode="#,##0">
                  <c:v>547.52288725690687</c:v>
                </c:pt>
                <c:pt idx="5">
                  <c:v>276.11556418278087</c:v>
                </c:pt>
                <c:pt idx="6" formatCode="#,##0">
                  <c:v>271.407323074126</c:v>
                </c:pt>
              </c:numCache>
            </c:numRef>
          </c:val>
          <c:extLst>
            <c:ext xmlns:c16="http://schemas.microsoft.com/office/drawing/2014/chart" uri="{C3380CC4-5D6E-409C-BE32-E72D297353CC}">
              <c16:uniqueId val="{00000008-6ABF-4661-8332-C4B328DDBFA4}"/>
            </c:ext>
          </c:extLst>
        </c:ser>
        <c:ser>
          <c:idx val="6"/>
          <c:order val="6"/>
          <c:tx>
            <c:strRef>
              <c:f>'SB Flat rate'!$C$51</c:f>
              <c:strCache>
                <c:ptCount val="1"/>
                <c:pt idx="0">
                  <c:v>DMO</c:v>
                </c:pt>
              </c:strCache>
            </c:strRef>
          </c:tx>
          <c:spPr>
            <a:noFill/>
            <a:ln>
              <a:noFill/>
            </a:ln>
            <a:effectLst/>
          </c:spPr>
          <c:invertIfNegative val="0"/>
          <c:dLbls>
            <c:dLbl>
              <c:idx val="6"/>
              <c:layout>
                <c:manualLayout>
                  <c:x val="2.6814630627311936E-4"/>
                  <c:y val="0.1453330245484020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50-45E1-BE6A-7366EC412A05}"/>
                </c:ext>
              </c:extLst>
            </c:dLbl>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rate'!$D$51:$J$51</c:f>
              <c:numCache>
                <c:formatCode>#,##0</c:formatCode>
                <c:ptCount val="7"/>
                <c:pt idx="0">
                  <c:v>4977</c:v>
                </c:pt>
                <c:pt idx="6">
                  <c:v>4523</c:v>
                </c:pt>
              </c:numCache>
            </c:numRef>
          </c:val>
          <c:extLst>
            <c:ext xmlns:c16="http://schemas.microsoft.com/office/drawing/2014/chart" uri="{C3380CC4-5D6E-409C-BE32-E72D297353CC}">
              <c16:uniqueId val="{00000009-6ABF-4661-8332-C4B328DDBFA4}"/>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55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1954106613866251"/>
          <c:y val="0.39284761463640572"/>
          <c:w val="0.17850961612254609"/>
          <c:h val="0.31273583449127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Ausgrid!$C$3</c:f>
          <c:strCache>
            <c:ptCount val="1"/>
            <c:pt idx="0">
              <c:v>Ausgrid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Ausgrid!$I$35</c:f>
              <c:strCache>
                <c:ptCount val="1"/>
                <c:pt idx="0">
                  <c:v>Wholesale cost</c:v>
                </c:pt>
              </c:strCache>
            </c:strRef>
          </c:tx>
          <c:spPr>
            <a:solidFill>
              <a:srgbClr val="89B3CE"/>
            </a:solidFill>
            <a:ln>
              <a:noFill/>
            </a:ln>
            <a:effectLst/>
          </c:spPr>
          <c:invertIfNegative val="0"/>
          <c:dLbls>
            <c:dLbl>
              <c:idx val="0"/>
              <c:tx>
                <c:strRef>
                  <c:f>Ausgrid!$M$35</c:f>
                  <c:strCache>
                    <c:ptCount val="1"/>
                    <c:pt idx="0">
                      <c:v>38.4%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{9A584F3C-73A7-465B-9867-31DEC482EEC4}</c15:txfldGUID>
                      <c15:f>Ausgrid!$M$35</c15:f>
                      <c15:dlblFieldTableCache>
                        <c:ptCount val="1"/>
                        <c:pt idx="0">
                          <c:v>38.4%</c:v>
                        </c:pt>
                      </c15:dlblFieldTableCache>
                    </c15:dlblFTEntry>
                  </c15:dlblFieldTable>
                  <c15:showDataLabelsRange val="0"/>
                </c:ext>
                <c:ext xmlns:c16="http://schemas.microsoft.com/office/drawing/2014/chart" uri="{C3380CC4-5D6E-409C-BE32-E72D297353CC}">
                  <c16:uniqueId val="{00000000-C92A-413D-8D88-618D8700F382}"/>
                </c:ext>
              </c:extLst>
            </c:dLbl>
            <c:dLbl>
              <c:idx val="1"/>
              <c:tx>
                <c:strRef>
                  <c:f>Ausgrid!$R$35</c:f>
                  <c:strCache>
                    <c:ptCount val="1"/>
                    <c:pt idx="0">
                      <c:v>34.4%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{28D75F9E-BE16-4F8D-B813-B9F7B6E57E73}</c15:txfldGUID>
                      <c15:f>Ausgrid!$R$35</c15:f>
                      <c15:dlblFieldTableCache>
                        <c:ptCount val="1"/>
                        <c:pt idx="0">
                          <c:v>34.4%</c:v>
                        </c:pt>
                      </c15:dlblFieldTableCache>
                    </c15:dlblFTEntry>
                  </c15:dlblFieldTable>
                  <c15:showDataLabelsRange val="0"/>
                </c:ext>
                <c:ext xmlns:c16="http://schemas.microsoft.com/office/drawing/2014/chart" uri="{C3380CC4-5D6E-409C-BE32-E72D297353CC}">
                  <c16:uniqueId val="{00000001-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(Ausgrid!$L$35,Ausgrid!$Q$35)</c:f>
              <c:numCache>
                <c:formatCode>#,##0.00</c:formatCode>
                <c:ptCount val="2"/>
                <c:pt idx="0">
                  <c:v>753.97249122143467</c:v>
                </c:pt>
                <c:pt idx="1">
                  <c:v>653.78501504136671</c:v>
                </c:pt>
              </c:numCache>
            </c:numRef>
          </c:val>
          <c:extLst>
            <c:ext xmlns:c16="http://schemas.microsoft.com/office/drawing/2014/chart" uri="{C3380CC4-5D6E-409C-BE32-E72D297353CC}">
              <c16:uniqueId val="{00000002-C92A-413D-8D88-618D8700F382}"/>
            </c:ext>
          </c:extLst>
        </c:ser>
        <c:ser>
          <c:idx val="1"/>
          <c:order val="1"/>
          <c:tx>
            <c:strRef>
              <c:f>Ausgrid!$I$36</c:f>
              <c:strCache>
                <c:ptCount val="1"/>
                <c:pt idx="0">
                  <c:v>Network cost</c:v>
                </c:pt>
              </c:strCache>
            </c:strRef>
          </c:tx>
          <c:spPr>
            <a:solidFill>
              <a:srgbClr val="E06026"/>
            </a:solidFill>
            <a:ln>
              <a:noFill/>
            </a:ln>
            <a:effectLst/>
          </c:spPr>
          <c:invertIfNegative val="0"/>
          <c:dLbls>
            <c:dLbl>
              <c:idx val="0"/>
              <c:tx>
                <c:strRef>
                  <c:f>Ausgrid!$M$36</c:f>
                  <c:strCache>
                    <c:ptCount val="1"/>
                    <c:pt idx="0">
                      <c:v>36.2%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{40A3CC8B-AEED-47C4-9918-030C6A6A3DFE}</c15:txfldGUID>
                      <c15:f>Ausgrid!$M$36</c15:f>
                      <c15:dlblFieldTableCache>
                        <c:ptCount val="1"/>
                        <c:pt idx="0">
                          <c:v>36.2%</c:v>
                        </c:pt>
                      </c15:dlblFieldTableCache>
                    </c15:dlblFTEntry>
                  </c15:dlblFieldTable>
                  <c15:showDataLabelsRange val="0"/>
                </c:ext>
                <c:ext xmlns:c16="http://schemas.microsoft.com/office/drawing/2014/chart" uri="{C3380CC4-5D6E-409C-BE32-E72D297353CC}">
                  <c16:uniqueId val="{00000003-C92A-413D-8D88-618D8700F382}"/>
                </c:ext>
              </c:extLst>
            </c:dLbl>
            <c:dLbl>
              <c:idx val="1"/>
              <c:tx>
                <c:strRef>
                  <c:f>Ausgrid!$R$36</c:f>
                  <c:strCache>
                    <c:ptCount val="1"/>
                    <c:pt idx="0">
                      <c:v>41.0%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{B0CD98EA-3442-4455-A197-129D2BAF26E3}</c15:txfldGUID>
                      <c15:f>Ausgrid!$R$36</c15:f>
                      <c15:dlblFieldTableCache>
                        <c:ptCount val="1"/>
                        <c:pt idx="0">
                          <c:v>41.0%</c:v>
                        </c:pt>
                      </c15:dlblFieldTableCache>
                    </c15:dlblFTEntry>
                  </c15:dlblFieldTable>
                  <c15:showDataLabelsRange val="0"/>
                </c:ext>
                <c:ext xmlns:c16="http://schemas.microsoft.com/office/drawing/2014/chart" uri="{C3380CC4-5D6E-409C-BE32-E72D297353CC}">
                  <c16:uniqueId val="{00000004-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(Ausgrid!$L$36,Ausgrid!$Q$36)</c:f>
              <c:numCache>
                <c:formatCode>#,##0.00</c:formatCode>
                <c:ptCount val="2"/>
                <c:pt idx="0">
                  <c:v>711.92496176013196</c:v>
                </c:pt>
                <c:pt idx="1">
                  <c:v>778.23025938278613</c:v>
                </c:pt>
              </c:numCache>
            </c:numRef>
          </c:val>
          <c:extLst>
            <c:ext xmlns:c16="http://schemas.microsoft.com/office/drawing/2014/chart" uri="{C3380CC4-5D6E-409C-BE32-E72D297353CC}">
              <c16:uniqueId val="{00000005-C92A-413D-8D88-618D8700F382}"/>
            </c:ext>
          </c:extLst>
        </c:ser>
        <c:ser>
          <c:idx val="2"/>
          <c:order val="2"/>
          <c:tx>
            <c:strRef>
              <c:f>Ausgrid!$I$37</c:f>
              <c:strCache>
                <c:ptCount val="1"/>
                <c:pt idx="0">
                  <c:v>Environmental cost</c:v>
                </c:pt>
              </c:strCache>
            </c:strRef>
          </c:tx>
          <c:spPr>
            <a:solidFill>
              <a:srgbClr val="5F9E88"/>
            </a:solidFill>
            <a:ln>
              <a:noFill/>
            </a:ln>
            <a:effectLst/>
          </c:spPr>
          <c:invertIfNegative val="0"/>
          <c:dLbls>
            <c:dLbl>
              <c:idx val="0"/>
              <c:tx>
                <c:strRef>
                  <c:f>Ausgrid!$M$37</c:f>
                  <c:strCache>
                    <c:ptCount val="1"/>
                    <c:pt idx="0">
                      <c:v>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{9D1DE4E0-D2E2-4968-BBB2-4D2C8C517BB9}</c15:txfldGUID>
                      <c15:f>Ausgrid!$M$37</c15:f>
                      <c15:dlblFieldTableCache>
                        <c:ptCount val="1"/>
                        <c:pt idx="0">
                          <c:v>3.5%</c:v>
                        </c:pt>
                      </c15:dlblFieldTableCache>
                    </c15:dlblFTEntry>
                  </c15:dlblFieldTable>
                  <c15:showDataLabelsRange val="0"/>
                </c:ext>
                <c:ext xmlns:c16="http://schemas.microsoft.com/office/drawing/2014/chart" uri="{C3380CC4-5D6E-409C-BE32-E72D297353CC}">
                  <c16:uniqueId val="{00000006-C92A-413D-8D88-618D8700F382}"/>
                </c:ext>
              </c:extLst>
            </c:dLbl>
            <c:dLbl>
              <c:idx val="1"/>
              <c:tx>
                <c:strRef>
                  <c:f>Ausgrid!$R$37</c:f>
                  <c:strCache>
                    <c:ptCount val="1"/>
                    <c:pt idx="0">
                      <c:v>2.5%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{DD55BAD8-396C-4B23-8737-591DF2B2B422}</c15:txfldGUID>
                      <c15:f>Ausgrid!$R$37</c15:f>
                      <c15:dlblFieldTableCache>
                        <c:ptCount val="1"/>
                        <c:pt idx="0">
                          <c:v>2.5%</c:v>
                        </c:pt>
                      </c15:dlblFieldTableCache>
                    </c15:dlblFTEntry>
                  </c15:dlblFieldTable>
                  <c15:showDataLabelsRange val="0"/>
                </c:ext>
                <c:ext xmlns:c16="http://schemas.microsoft.com/office/drawing/2014/chart" uri="{C3380CC4-5D6E-409C-BE32-E72D297353CC}">
                  <c16:uniqueId val="{00000007-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(Ausgrid!$L$37,Ausgrid!$Q$37)</c:f>
              <c:numCache>
                <c:formatCode>#,##0.00</c:formatCode>
                <c:ptCount val="2"/>
                <c:pt idx="0">
                  <c:v>68.331519303463324</c:v>
                </c:pt>
                <c:pt idx="1">
                  <c:v>47.573855815382679</c:v>
                </c:pt>
              </c:numCache>
            </c:numRef>
          </c:val>
          <c:extLst>
            <c:ext xmlns:c16="http://schemas.microsoft.com/office/drawing/2014/chart" uri="{C3380CC4-5D6E-409C-BE32-E72D297353CC}">
              <c16:uniqueId val="{00000008-C92A-413D-8D88-618D8700F382}"/>
            </c:ext>
          </c:extLst>
        </c:ser>
        <c:ser>
          <c:idx val="3"/>
          <c:order val="3"/>
          <c:tx>
            <c:strRef>
              <c:f>Ausgrid!$I$38</c:f>
              <c:strCache>
                <c:ptCount val="1"/>
                <c:pt idx="0">
                  <c:v>Retail cost</c:v>
                </c:pt>
              </c:strCache>
            </c:strRef>
          </c:tx>
          <c:spPr>
            <a:solidFill>
              <a:srgbClr val="F0B9B3"/>
            </a:solidFill>
            <a:ln>
              <a:noFill/>
            </a:ln>
            <a:effectLst/>
          </c:spPr>
          <c:invertIfNegative val="0"/>
          <c:dLbls>
            <c:dLbl>
              <c:idx val="0"/>
              <c:tx>
                <c:rich>
                  <a:bodyPr/>
                  <a:lstStyle/>
                  <a:p>
                    <a:fld id="{F6A76234-9012-4DB6-BB73-B3EF0363AFB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92A-413D-8D88-618D8700F382}"/>
                </c:ext>
              </c:extLst>
            </c:dLbl>
            <c:dLbl>
              <c:idx val="1"/>
              <c:tx>
                <c:rich>
                  <a:bodyPr/>
                  <a:lstStyle/>
                  <a:p>
                    <a:fld id="{78A7852B-30E8-43E5-8F91-47498F909FF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(Ausgrid!$L$38,Ausgrid!$Q$38)</c:f>
              <c:numCache>
                <c:formatCode>#,##0.00</c:formatCode>
                <c:ptCount val="2"/>
                <c:pt idx="0">
                  <c:v>312.51267628903128</c:v>
                </c:pt>
                <c:pt idx="1">
                  <c:v>305.55201525232189</c:v>
                </c:pt>
              </c:numCache>
            </c:numRef>
          </c:val>
          <c:extLst>
            <c:ext xmlns:c15="http://schemas.microsoft.com/office/drawing/2012/chart" uri="{02D57815-91ED-43cb-92C2-25804820EDAC}">
              <c15:datalabelsRange>
                <c15:f>(Ausgrid!$M$38,Ausgrid!$R$38)</c15:f>
                <c15:dlblRangeCache>
                  <c:ptCount val="2"/>
                  <c:pt idx="0">
                    <c:v>15.9%</c:v>
                  </c:pt>
                  <c:pt idx="1">
                    <c:v>16.1%</c:v>
                  </c:pt>
                </c15:dlblRangeCache>
              </c15:datalabelsRange>
            </c:ext>
            <c:ext xmlns:c16="http://schemas.microsoft.com/office/drawing/2014/chart" uri="{C3380CC4-5D6E-409C-BE32-E72D297353CC}">
              <c16:uniqueId val="{0000000B-C92A-413D-8D88-618D8700F382}"/>
            </c:ext>
          </c:extLst>
        </c:ser>
        <c:ser>
          <c:idx val="5"/>
          <c:order val="4"/>
          <c:tx>
            <c:strRef>
              <c:f>Ausgrid!$I$39</c:f>
              <c:strCache>
                <c:ptCount val="1"/>
                <c:pt idx="0">
                  <c:v>Retail margin</c:v>
                </c:pt>
              </c:strCache>
            </c:strRef>
          </c:tx>
          <c:spPr>
            <a:solidFill>
              <a:srgbClr val="303F51"/>
            </a:solidFill>
            <a:ln>
              <a:noFill/>
            </a:ln>
            <a:effectLst/>
          </c:spPr>
          <c:invertIfNegative val="0"/>
          <c:dLbls>
            <c:dLbl>
              <c:idx val="0"/>
              <c:tx>
                <c:rich>
                  <a:bodyPr/>
                  <a:lstStyle/>
                  <a:p>
                    <a:fld id="{F7F1A201-2D7E-42EC-A7D7-9A44FFC98A7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92A-413D-8D88-618D8700F382}"/>
                </c:ext>
              </c:extLst>
            </c:dLbl>
            <c:dLbl>
              <c:idx val="1"/>
              <c:tx>
                <c:rich>
                  <a:bodyPr/>
                  <a:lstStyle/>
                  <a:p>
                    <a:fld id="{C6B9B4F9-B4B8-4BC6-AD3A-C3324367E70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(Ausgrid!$L$39,Ausgrid!$Q$39)</c:f>
              <c:numCache>
                <c:formatCode>#,##0.00</c:formatCode>
                <c:ptCount val="2"/>
                <c:pt idx="0">
                  <c:v>117.87712650472736</c:v>
                </c:pt>
                <c:pt idx="1">
                  <c:v>113.94517949948045</c:v>
                </c:pt>
              </c:numCache>
            </c:numRef>
          </c:val>
          <c:extLst>
            <c:ext xmlns:c15="http://schemas.microsoft.com/office/drawing/2012/chart" uri="{02D57815-91ED-43cb-92C2-25804820EDAC}">
              <c15:datalabelsRange>
                <c15:f>(Ausgrid!$M$39,Ausgrid!$R$39)</c15:f>
                <c15:dlblRangeCache>
                  <c:ptCount val="2"/>
                  <c:pt idx="0">
                    <c:v>6.0%</c:v>
                  </c:pt>
                  <c:pt idx="1">
                    <c:v>6.0%</c:v>
                  </c:pt>
                </c15:dlblRangeCache>
              </c15:datalabelsRange>
            </c:ext>
            <c:ext xmlns:c16="http://schemas.microsoft.com/office/drawing/2014/chart" uri="{C3380CC4-5D6E-409C-BE32-E72D297353CC}">
              <c16:uniqueId val="{0000000E-C92A-413D-8D88-618D8700F382}"/>
            </c:ext>
          </c:extLst>
        </c:ser>
        <c:ser>
          <c:idx val="4"/>
          <c:order val="5"/>
          <c:tx>
            <c:v>DMO</c:v>
          </c:tx>
          <c:spPr>
            <a:noFill/>
            <a:ln>
              <a:noFill/>
            </a:ln>
            <a:effectLst/>
          </c:spPr>
          <c:invertIfNegative val="0"/>
          <c:dLbls>
            <c:dLbl>
              <c:idx val="1"/>
              <c:layout>
                <c:manualLayout>
                  <c:x val="-8.6314165374613567E-4"/>
                  <c:y val="0.1788678096954576"/>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AD1-4D33-85BC-5C7F0B512B00}"/>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(Ausgrid!$K$34,Ausgrid!$K$40)</c:f>
              <c:numCache>
                <c:formatCode>#,##0</c:formatCode>
                <c:ptCount val="2"/>
                <c:pt idx="0">
                  <c:v>1965</c:v>
                </c:pt>
                <c:pt idx="1">
                  <c:v>1899</c:v>
                </c:pt>
              </c:numCache>
            </c:numRef>
          </c:val>
          <c:extLst>
            <c:ext xmlns:c16="http://schemas.microsoft.com/office/drawing/2014/chart" uri="{C3380CC4-5D6E-409C-BE32-E72D297353CC}">
              <c16:uniqueId val="{00000012-C92A-413D-8D88-618D8700F382}"/>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2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Ausgrid!$F$3</c:f>
          <c:strCache>
            <c:ptCount val="1"/>
            <c:pt idx="0">
              <c:v>Ausgrid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0526141381156782"/>
          <c:h val="0.76135203087237857"/>
        </c:manualLayout>
      </c:layout>
      <c:barChart>
        <c:barDir val="col"/>
        <c:grouping val="stacked"/>
        <c:varyColors val="0"/>
        <c:ser>
          <c:idx val="0"/>
          <c:order val="0"/>
          <c:tx>
            <c:strRef>
              <c:f>Ausgrid!$I$35</c:f>
              <c:strCache>
                <c:ptCount val="1"/>
                <c:pt idx="0">
                  <c:v>Wholesale cost</c:v>
                </c:pt>
              </c:strCache>
            </c:strRef>
          </c:tx>
          <c:spPr>
            <a:solidFill>
              <a:srgbClr val="89B3CE"/>
            </a:solidFill>
            <a:ln>
              <a:noFill/>
            </a:ln>
            <a:effectLst/>
          </c:spPr>
          <c:invertIfNegative val="0"/>
          <c:dLbls>
            <c:dLbl>
              <c:idx val="0"/>
              <c:tx>
                <c:strRef>
                  <c:f>Ausgrid!$AE$35</c:f>
                  <c:strCache>
                    <c:ptCount val="1"/>
                    <c:pt idx="0">
                      <c:v>38.4%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{601EE6C8-ADE4-4E29-8C8E-7022B69D5F39}</c15:txfldGUID>
                      <c15:f>Ausgrid!$AE$35</c15:f>
                      <c15:dlblFieldTableCache>
                        <c:ptCount val="1"/>
                        <c:pt idx="0">
                          <c:v>38.4%</c:v>
                        </c:pt>
                      </c15:dlblFieldTableCache>
                    </c15:dlblFTEntry>
                  </c15:dlblFieldTable>
                  <c15:showDataLabelsRange val="0"/>
                </c:ext>
                <c:ext xmlns:c16="http://schemas.microsoft.com/office/drawing/2014/chart" uri="{C3380CC4-5D6E-409C-BE32-E72D297353CC}">
                  <c16:uniqueId val="{00000000-9D6A-4AA8-ADD3-ADA646063F51}"/>
                </c:ext>
              </c:extLst>
            </c:dLbl>
            <c:dLbl>
              <c:idx val="1"/>
              <c:tx>
                <c:strRef>
                  <c:f>Ausgrid!$AJ$35</c:f>
                  <c:strCache>
                    <c:ptCount val="1"/>
                    <c:pt idx="0">
                      <c:v>36.6%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{7422BD81-A581-47F2-8F69-E7023672AD52}</c15:txfldGUID>
                      <c15:f>Ausgrid!$AJ$35</c15:f>
                      <c15:dlblFieldTableCache>
                        <c:ptCount val="1"/>
                        <c:pt idx="0">
                          <c:v>36.6%</c:v>
                        </c:pt>
                      </c15:dlblFieldTableCache>
                    </c15:dlblFTEntry>
                  </c15:dlblFieldTable>
                  <c15:showDataLabelsRange val="0"/>
                </c:ext>
                <c:ext xmlns:c16="http://schemas.microsoft.com/office/drawing/2014/chart" uri="{C3380CC4-5D6E-409C-BE32-E72D297353CC}">
                  <c16:uniqueId val="{00000001-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(Ausgrid!$AD$35,Ausgrid!$AI$35)</c:f>
              <c:numCache>
                <c:formatCode>#,##0.00</c:formatCode>
                <c:ptCount val="2"/>
                <c:pt idx="0">
                  <c:v>1909.4590830953503</c:v>
                </c:pt>
                <c:pt idx="1">
                  <c:v>1653.7894144650429</c:v>
                </c:pt>
              </c:numCache>
            </c:numRef>
          </c:val>
          <c:extLst>
            <c:ext xmlns:c16="http://schemas.microsoft.com/office/drawing/2014/chart" uri="{C3380CC4-5D6E-409C-BE32-E72D297353CC}">
              <c16:uniqueId val="{00000002-9D6A-4AA8-ADD3-ADA646063F51}"/>
            </c:ext>
          </c:extLst>
        </c:ser>
        <c:ser>
          <c:idx val="1"/>
          <c:order val="1"/>
          <c:tx>
            <c:strRef>
              <c:f>Ausgrid!$I$36</c:f>
              <c:strCache>
                <c:ptCount val="1"/>
                <c:pt idx="0">
                  <c:v>Network cost</c:v>
                </c:pt>
              </c:strCache>
            </c:strRef>
          </c:tx>
          <c:spPr>
            <a:solidFill>
              <a:srgbClr val="E06026"/>
            </a:solidFill>
            <a:ln>
              <a:noFill/>
            </a:ln>
            <a:effectLst/>
          </c:spPr>
          <c:invertIfNegative val="0"/>
          <c:dLbls>
            <c:dLbl>
              <c:idx val="0"/>
              <c:tx>
                <c:strRef>
                  <c:f>Ausgrid!$AE$36</c:f>
                  <c:strCache>
                    <c:ptCount val="1"/>
                    <c:pt idx="0">
                      <c:v>38.6%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{75B950F1-0D8E-4DDB-95E2-A6537B9363C2}</c15:txfldGUID>
                      <c15:f>Ausgrid!$AE$36</c15:f>
                      <c15:dlblFieldTableCache>
                        <c:ptCount val="1"/>
                        <c:pt idx="0">
                          <c:v>38.6%</c:v>
                        </c:pt>
                      </c15:dlblFieldTableCache>
                    </c15:dlblFTEntry>
                  </c15:dlblFieldTable>
                  <c15:showDataLabelsRange val="0"/>
                </c:ext>
                <c:ext xmlns:c16="http://schemas.microsoft.com/office/drawing/2014/chart" uri="{C3380CC4-5D6E-409C-BE32-E72D297353CC}">
                  <c16:uniqueId val="{00000003-9D6A-4AA8-ADD3-ADA646063F51}"/>
                </c:ext>
              </c:extLst>
            </c:dLbl>
            <c:dLbl>
              <c:idx val="1"/>
              <c:tx>
                <c:strRef>
                  <c:f>Ausgrid!$AJ$36</c:f>
                  <c:strCache>
                    <c:ptCount val="1"/>
                    <c:pt idx="0">
                      <c:v>46.0%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{9D1C78A7-A4F6-4FD8-8D66-910019514D50}</c15:txfldGUID>
                      <c15:f>Ausgrid!$AJ$36</c15:f>
                      <c15:dlblFieldTableCache>
                        <c:ptCount val="1"/>
                        <c:pt idx="0">
                          <c:v>46.0%</c:v>
                        </c:pt>
                      </c15:dlblFieldTableCache>
                    </c15:dlblFTEntry>
                  </c15:dlblFieldTable>
                  <c15:showDataLabelsRange val="0"/>
                </c:ext>
                <c:ext xmlns:c16="http://schemas.microsoft.com/office/drawing/2014/chart" uri="{C3380CC4-5D6E-409C-BE32-E72D297353CC}">
                  <c16:uniqueId val="{00000004-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(Ausgrid!$AD$36,Ausgrid!$AI$36)</c:f>
              <c:numCache>
                <c:formatCode>#,##0.00</c:formatCode>
                <c:ptCount val="2"/>
                <c:pt idx="0">
                  <c:v>1923.3380879684253</c:v>
                </c:pt>
                <c:pt idx="1">
                  <c:v>2082.2764101941389</c:v>
                </c:pt>
              </c:numCache>
            </c:numRef>
          </c:val>
          <c:extLst>
            <c:ext xmlns:c16="http://schemas.microsoft.com/office/drawing/2014/chart" uri="{C3380CC4-5D6E-409C-BE32-E72D297353CC}">
              <c16:uniqueId val="{00000005-9D6A-4AA8-ADD3-ADA646063F51}"/>
            </c:ext>
          </c:extLst>
        </c:ser>
        <c:ser>
          <c:idx val="2"/>
          <c:order val="2"/>
          <c:tx>
            <c:strRef>
              <c:f>Ausgrid!$I$37</c:f>
              <c:strCache>
                <c:ptCount val="1"/>
                <c:pt idx="0">
                  <c:v>Environmental cost</c:v>
                </c:pt>
              </c:strCache>
            </c:strRef>
          </c:tx>
          <c:spPr>
            <a:solidFill>
              <a:srgbClr val="5F9E88"/>
            </a:solidFill>
            <a:ln>
              <a:noFill/>
            </a:ln>
            <a:effectLst/>
          </c:spPr>
          <c:invertIfNegative val="0"/>
          <c:dLbls>
            <c:dLbl>
              <c:idx val="0"/>
              <c:tx>
                <c:strRef>
                  <c:f>Ausgrid!$AE$37</c:f>
                  <c:strCache>
                    <c:ptCount val="1"/>
                    <c:pt idx="0">
                      <c:v>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{8EE994EE-3BFF-44DE-9D31-FD6E1C152290}</c15:txfldGUID>
                      <c15:f>Ausgrid!$AE$37</c15:f>
                      <c15:dlblFieldTableCache>
                        <c:ptCount val="1"/>
                        <c:pt idx="0">
                          <c:v>3.5%</c:v>
                        </c:pt>
                      </c15:dlblFieldTableCache>
                    </c15:dlblFTEntry>
                  </c15:dlblFieldTable>
                  <c15:showDataLabelsRange val="0"/>
                </c:ext>
                <c:ext xmlns:c16="http://schemas.microsoft.com/office/drawing/2014/chart" uri="{C3380CC4-5D6E-409C-BE32-E72D297353CC}">
                  <c16:uniqueId val="{00000006-9D6A-4AA8-ADD3-ADA646063F51}"/>
                </c:ext>
              </c:extLst>
            </c:dLbl>
            <c:dLbl>
              <c:idx val="1"/>
              <c:tx>
                <c:strRef>
                  <c:f>Ausgrid!$AJ$37</c:f>
                  <c:strCache>
                    <c:ptCount val="1"/>
                    <c:pt idx="0">
                      <c:v>2.7%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{21F3CF77-82E1-41A3-93D7-4521B7827878}</c15:txfldGUID>
                      <c15:f>Ausgrid!$AJ$37</c15:f>
                      <c15:dlblFieldTableCache>
                        <c:ptCount val="1"/>
                        <c:pt idx="0">
                          <c:v>2.7%</c:v>
                        </c:pt>
                      </c15:dlblFieldTableCache>
                    </c15:dlblFTEntry>
                  </c15:dlblFieldTable>
                  <c15:showDataLabelsRange val="0"/>
                </c:ext>
                <c:ext xmlns:c16="http://schemas.microsoft.com/office/drawing/2014/chart" uri="{C3380CC4-5D6E-409C-BE32-E72D297353CC}">
                  <c16:uniqueId val="{00000007-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(Ausgrid!$AD$37,Ausgrid!$AI$37)</c:f>
              <c:numCache>
                <c:formatCode>#,##0.00</c:formatCode>
                <c:ptCount val="2"/>
                <c:pt idx="0">
                  <c:v>175.20902385503413</c:v>
                </c:pt>
                <c:pt idx="1">
                  <c:v>121.98424568046842</c:v>
                </c:pt>
              </c:numCache>
            </c:numRef>
          </c:val>
          <c:extLst>
            <c:ext xmlns:c16="http://schemas.microsoft.com/office/drawing/2014/chart" uri="{C3380CC4-5D6E-409C-BE32-E72D297353CC}">
              <c16:uniqueId val="{00000008-9D6A-4AA8-ADD3-ADA646063F51}"/>
            </c:ext>
          </c:extLst>
        </c:ser>
        <c:ser>
          <c:idx val="3"/>
          <c:order val="3"/>
          <c:tx>
            <c:strRef>
              <c:f>Ausgrid!$I$38</c:f>
              <c:strCache>
                <c:ptCount val="1"/>
                <c:pt idx="0">
                  <c:v>Retail cost</c:v>
                </c:pt>
              </c:strCache>
            </c:strRef>
          </c:tx>
          <c:spPr>
            <a:solidFill>
              <a:srgbClr val="F0B9B3"/>
            </a:solidFill>
            <a:ln>
              <a:noFill/>
            </a:ln>
            <a:effectLst/>
          </c:spPr>
          <c:invertIfNegative val="0"/>
          <c:dLbls>
            <c:dLbl>
              <c:idx val="0"/>
              <c:tx>
                <c:rich>
                  <a:bodyPr/>
                  <a:lstStyle/>
                  <a:p>
                    <a:fld id="{C2E9D3E3-DBD2-44BB-AD12-D4A459E0729C}"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D6A-4AA8-ADD3-ADA646063F51}"/>
                </c:ext>
              </c:extLst>
            </c:dLbl>
            <c:dLbl>
              <c:idx val="1"/>
              <c:tx>
                <c:rich>
                  <a:bodyPr/>
                  <a:lstStyle/>
                  <a:p>
                    <a:fld id="{6D063A78-BC2A-47FD-B63F-2D367A1D331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(Ausgrid!$AD$38,Ausgrid!$AI$38)</c:f>
              <c:numCache>
                <c:formatCode>#,##0.00</c:formatCode>
                <c:ptCount val="2"/>
                <c:pt idx="0">
                  <c:v>421.95171106889359</c:v>
                </c:pt>
                <c:pt idx="1">
                  <c:v>393.99799115498598</c:v>
                </c:pt>
              </c:numCache>
            </c:numRef>
          </c:val>
          <c:extLst>
            <c:ext xmlns:c15="http://schemas.microsoft.com/office/drawing/2012/chart" uri="{02D57815-91ED-43cb-92C2-25804820EDAC}">
              <c15:datalabelsRange>
                <c15:f>(Ausgrid!$AE$38,Ausgrid!$AJ$38)</c15:f>
                <c15:dlblRangeCache>
                  <c:ptCount val="2"/>
                  <c:pt idx="0">
                    <c:v>8.5%</c:v>
                  </c:pt>
                  <c:pt idx="1">
                    <c:v>8.7%</c:v>
                  </c:pt>
                </c15:dlblRangeCache>
              </c15:datalabelsRange>
            </c:ext>
            <c:ext xmlns:c16="http://schemas.microsoft.com/office/drawing/2014/chart" uri="{C3380CC4-5D6E-409C-BE32-E72D297353CC}">
              <c16:uniqueId val="{0000000B-9D6A-4AA8-ADD3-ADA646063F51}"/>
            </c:ext>
          </c:extLst>
        </c:ser>
        <c:ser>
          <c:idx val="5"/>
          <c:order val="4"/>
          <c:tx>
            <c:strRef>
              <c:f>Ausgrid!$I$39</c:f>
              <c:strCache>
                <c:ptCount val="1"/>
                <c:pt idx="0">
                  <c:v>Retail margin</c:v>
                </c:pt>
              </c:strCache>
            </c:strRef>
          </c:tx>
          <c:spPr>
            <a:solidFill>
              <a:srgbClr val="303F51"/>
            </a:solidFill>
            <a:ln>
              <a:noFill/>
            </a:ln>
            <a:effectLst/>
          </c:spPr>
          <c:invertIfNegative val="0"/>
          <c:dLbls>
            <c:dLbl>
              <c:idx val="0"/>
              <c:tx>
                <c:rich>
                  <a:bodyPr/>
                  <a:lstStyle/>
                  <a:p>
                    <a:fld id="{25A926BE-37E5-4F2B-83A2-133FEB0D9E8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D6A-4AA8-ADD3-ADA646063F51}"/>
                </c:ext>
              </c:extLst>
            </c:dLbl>
            <c:dLbl>
              <c:idx val="1"/>
              <c:tx>
                <c:rich>
                  <a:bodyPr/>
                  <a:lstStyle/>
                  <a:p>
                    <a:fld id="{212CC36F-4882-470E-AC82-8E38D113309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(Ausgrid!$AD$39,Ausgrid!$AI$39)</c:f>
              <c:numCache>
                <c:formatCode>#,##0.00</c:formatCode>
                <c:ptCount val="2"/>
                <c:pt idx="0">
                  <c:v>547.52288725690687</c:v>
                </c:pt>
                <c:pt idx="1">
                  <c:v>271.407323074126</c:v>
                </c:pt>
              </c:numCache>
            </c:numRef>
          </c:val>
          <c:extLst>
            <c:ext xmlns:c15="http://schemas.microsoft.com/office/drawing/2012/chart" uri="{02D57815-91ED-43cb-92C2-25804820EDAC}">
              <c15:datalabelsRange>
                <c15:f>(Ausgrid!$AE$39,Ausgrid!$AJ$39)</c15:f>
                <c15:dlblRangeCache>
                  <c:ptCount val="2"/>
                  <c:pt idx="0">
                    <c:v>11.0%</c:v>
                  </c:pt>
                  <c:pt idx="1">
                    <c:v>6.0%</c:v>
                  </c:pt>
                </c15:dlblRangeCache>
              </c15:datalabelsRange>
            </c:ext>
            <c:ext xmlns:c16="http://schemas.microsoft.com/office/drawing/2014/chart" uri="{C3380CC4-5D6E-409C-BE32-E72D297353CC}">
              <c16:uniqueId val="{0000000E-9D6A-4AA8-ADD3-ADA646063F51}"/>
            </c:ext>
          </c:extLst>
        </c:ser>
        <c:ser>
          <c:idx val="4"/>
          <c:order val="5"/>
          <c:tx>
            <c:v>DMO</c:v>
          </c:tx>
          <c:spPr>
            <a:noFill/>
            <a:ln>
              <a:noFill/>
            </a:ln>
            <a:effectLst/>
          </c:spPr>
          <c:invertIfNegative val="0"/>
          <c:dLbls>
            <c:dLbl>
              <c:idx val="0"/>
              <c:dLblPos val="inBase"/>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9D6A-4AA8-ADD3-ADA646063F51}"/>
                </c:ext>
              </c:extLst>
            </c:dLbl>
            <c:dLbl>
              <c:idx val="1"/>
              <c:layout>
                <c:manualLayout>
                  <c:x val="-6.0969953453651896E-3"/>
                  <c:y val="0.1813269792836266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9D6A-4AA8-ADD3-ADA646063F51}"/>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(Ausgrid!$AC$34,Ausgrid!$AC$40)</c:f>
              <c:numCache>
                <c:formatCode>#,##0</c:formatCode>
                <c:ptCount val="2"/>
                <c:pt idx="0">
                  <c:v>4977</c:v>
                </c:pt>
                <c:pt idx="1">
                  <c:v>4523</c:v>
                </c:pt>
              </c:numCache>
            </c:numRef>
          </c:val>
          <c:extLst>
            <c:ext xmlns:c16="http://schemas.microsoft.com/office/drawing/2014/chart" uri="{C3380CC4-5D6E-409C-BE32-E72D297353CC}">
              <c16:uniqueId val="{00000011-9D6A-4AA8-ADD3-ADA646063F51}"/>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54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Endeavour!$C$3</c:f>
          <c:strCache>
            <c:ptCount val="1"/>
            <c:pt idx="0">
              <c:v>Endeavour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Endeavour!$H$35</c:f>
              <c:strCache>
                <c:ptCount val="1"/>
                <c:pt idx="0">
                  <c:v>Wholesale cost</c:v>
                </c:pt>
              </c:strCache>
            </c:strRef>
          </c:tx>
          <c:spPr>
            <a:solidFill>
              <a:srgbClr val="89B3CE"/>
            </a:solidFill>
            <a:ln>
              <a:noFill/>
            </a:ln>
            <a:effectLst/>
          </c:spPr>
          <c:invertIfNegative val="0"/>
          <c:dLbls>
            <c:dLbl>
              <c:idx val="0"/>
              <c:tx>
                <c:strRef>
                  <c:f>Endeavour!$L$35</c:f>
                  <c:strCache>
                    <c:ptCount val="1"/>
                    <c:pt idx="0">
                      <c:v>41.4%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{90C2FB98-540C-404B-8C4C-A6541B84B16B}</c15:txfldGUID>
                      <c15:f>Endeavour!$L$35</c15:f>
                      <c15:dlblFieldTableCache>
                        <c:ptCount val="1"/>
                        <c:pt idx="0">
                          <c:v>41.4%</c:v>
                        </c:pt>
                      </c15:dlblFieldTableCache>
                    </c15:dlblFTEntry>
                  </c15:dlblFieldTable>
                  <c15:showDataLabelsRange val="0"/>
                </c:ext>
                <c:ext xmlns:c16="http://schemas.microsoft.com/office/drawing/2014/chart" uri="{C3380CC4-5D6E-409C-BE32-E72D297353CC}">
                  <c16:uniqueId val="{00000000-F337-45BE-834B-F7930ECD51BC}"/>
                </c:ext>
              </c:extLst>
            </c:dLbl>
            <c:dLbl>
              <c:idx val="1"/>
              <c:tx>
                <c:strRef>
                  <c:f>Endeavour!$Q$35</c:f>
                  <c:strCache>
                    <c:ptCount val="1"/>
                    <c:pt idx="0">
                      <c:v>37.5%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{53A8CA46-EA21-44EF-8F4F-6979AB5C8396}</c15:txfldGUID>
                      <c15:f>Endeavour!$Q$35</c15:f>
                      <c15:dlblFieldTableCache>
                        <c:ptCount val="1"/>
                        <c:pt idx="0">
                          <c:v>37.5%</c:v>
                        </c:pt>
                      </c15:dlblFieldTableCache>
                    </c15:dlblFTEntry>
                  </c15:dlblFieldTable>
                  <c15:showDataLabelsRange val="0"/>
                </c:ext>
                <c:ext xmlns:c16="http://schemas.microsoft.com/office/drawing/2014/chart" uri="{C3380CC4-5D6E-409C-BE32-E72D297353CC}">
                  <c16:uniqueId val="{00000001-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(Endeavour!$K$35,Endeavour!$P$35)</c:f>
              <c:numCache>
                <c:formatCode>#,##0.00</c:formatCode>
                <c:ptCount val="2"/>
                <c:pt idx="0">
                  <c:v>998.46091350140671</c:v>
                </c:pt>
                <c:pt idx="1">
                  <c:v>872.62817008900561</c:v>
                </c:pt>
              </c:numCache>
            </c:numRef>
          </c:val>
          <c:extLst>
            <c:ext xmlns:c16="http://schemas.microsoft.com/office/drawing/2014/chart" uri="{C3380CC4-5D6E-409C-BE32-E72D297353CC}">
              <c16:uniqueId val="{00000002-F337-45BE-834B-F7930ECD51BC}"/>
            </c:ext>
          </c:extLst>
        </c:ser>
        <c:ser>
          <c:idx val="1"/>
          <c:order val="1"/>
          <c:tx>
            <c:strRef>
              <c:f>Endeavour!$H$36</c:f>
              <c:strCache>
                <c:ptCount val="1"/>
                <c:pt idx="0">
                  <c:v>Network cost</c:v>
                </c:pt>
              </c:strCache>
            </c:strRef>
          </c:tx>
          <c:spPr>
            <a:solidFill>
              <a:srgbClr val="E06026"/>
            </a:solidFill>
            <a:ln>
              <a:noFill/>
            </a:ln>
            <a:effectLst/>
          </c:spPr>
          <c:invertIfNegative val="0"/>
          <c:dLbls>
            <c:dLbl>
              <c:idx val="0"/>
              <c:tx>
                <c:strRef>
                  <c:f>Endeavour!$L$36</c:f>
                  <c:strCache>
                    <c:ptCount val="1"/>
                    <c:pt idx="0">
                      <c:v>34.7%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{53F3B1A8-95EC-432F-BA14-06F4BFE352FB}</c15:txfldGUID>
                      <c15:f>Endeavour!$L$36</c15:f>
                      <c15:dlblFieldTableCache>
                        <c:ptCount val="1"/>
                        <c:pt idx="0">
                          <c:v>34.7%</c:v>
                        </c:pt>
                      </c15:dlblFieldTableCache>
                    </c15:dlblFTEntry>
                  </c15:dlblFieldTable>
                  <c15:showDataLabelsRange val="0"/>
                </c:ext>
                <c:ext xmlns:c16="http://schemas.microsoft.com/office/drawing/2014/chart" uri="{C3380CC4-5D6E-409C-BE32-E72D297353CC}">
                  <c16:uniqueId val="{00000003-F337-45BE-834B-F7930ECD51BC}"/>
                </c:ext>
              </c:extLst>
            </c:dLbl>
            <c:dLbl>
              <c:idx val="1"/>
              <c:tx>
                <c:strRef>
                  <c:f>Endeavour!$Q$36</c:f>
                  <c:strCache>
                    <c:ptCount val="1"/>
                    <c:pt idx="0">
                      <c:v>39.4%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{FE2AB1C8-9D27-4C12-8A82-3A7960A03D08}</c15:txfldGUID>
                      <c15:f>Endeavour!$Q$36</c15:f>
                      <c15:dlblFieldTableCache>
                        <c:ptCount val="1"/>
                        <c:pt idx="0">
                          <c:v>39.4%</c:v>
                        </c:pt>
                      </c15:dlblFieldTableCache>
                    </c15:dlblFTEntry>
                  </c15:dlblFieldTable>
                  <c15:showDataLabelsRange val="0"/>
                </c:ext>
                <c:ext xmlns:c16="http://schemas.microsoft.com/office/drawing/2014/chart" uri="{C3380CC4-5D6E-409C-BE32-E72D297353CC}">
                  <c16:uniqueId val="{00000004-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(Endeavour!$K$36,Endeavour!$P$36)</c:f>
              <c:numCache>
                <c:formatCode>#,##0.00</c:formatCode>
                <c:ptCount val="2"/>
                <c:pt idx="0">
                  <c:v>836.50737499999991</c:v>
                </c:pt>
                <c:pt idx="1">
                  <c:v>916.585852802521</c:v>
                </c:pt>
              </c:numCache>
            </c:numRef>
          </c:val>
          <c:extLst>
            <c:ext xmlns:c16="http://schemas.microsoft.com/office/drawing/2014/chart" uri="{C3380CC4-5D6E-409C-BE32-E72D297353CC}">
              <c16:uniqueId val="{00000005-F337-45BE-834B-F7930ECD51BC}"/>
            </c:ext>
          </c:extLst>
        </c:ser>
        <c:ser>
          <c:idx val="2"/>
          <c:order val="2"/>
          <c:tx>
            <c:strRef>
              <c:f>Endeavour!$H$37</c:f>
              <c:strCache>
                <c:ptCount val="1"/>
                <c:pt idx="0">
                  <c:v>Environmental cost</c:v>
                </c:pt>
              </c:strCache>
            </c:strRef>
          </c:tx>
          <c:spPr>
            <a:solidFill>
              <a:srgbClr val="5F9E88"/>
            </a:solidFill>
            <a:ln>
              <a:noFill/>
            </a:ln>
            <a:effectLst/>
          </c:spPr>
          <c:invertIfNegative val="0"/>
          <c:dLbls>
            <c:dLbl>
              <c:idx val="0"/>
              <c:tx>
                <c:strRef>
                  <c:f>Endeavour!$L$37</c:f>
                  <c:strCache>
                    <c:ptCount val="1"/>
                    <c:pt idx="0">
                      <c:v>3.6%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{72A7803A-54FA-440E-9131-7BFB16405340}</c15:txfldGUID>
                      <c15:f>Endeavour!$L$37</c15:f>
                      <c15:dlblFieldTableCache>
                        <c:ptCount val="1"/>
                        <c:pt idx="0">
                          <c:v>3.6%</c:v>
                        </c:pt>
                      </c15:dlblFieldTableCache>
                    </c15:dlblFTEntry>
                  </c15:dlblFieldTable>
                  <c15:showDataLabelsRange val="0"/>
                </c:ext>
                <c:ext xmlns:c16="http://schemas.microsoft.com/office/drawing/2014/chart" uri="{C3380CC4-5D6E-409C-BE32-E72D297353CC}">
                  <c16:uniqueId val="{00000006-F337-45BE-834B-F7930ECD51BC}"/>
                </c:ext>
              </c:extLst>
            </c:dLbl>
            <c:dLbl>
              <c:idx val="1"/>
              <c:tx>
                <c:strRef>
                  <c:f>Endeavour!$Q$37</c:f>
                  <c:strCache>
                    <c:ptCount val="1"/>
                    <c:pt idx="0">
                      <c:v>2.6%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{7CB59097-2315-441F-8A20-33542A9C4354}</c15:txfldGUID>
                      <c15:f>Endeavour!$Q$37</c15:f>
                      <c15:dlblFieldTableCache>
                        <c:ptCount val="1"/>
                        <c:pt idx="0">
                          <c:v>2.6%</c:v>
                        </c:pt>
                      </c15:dlblFieldTableCache>
                    </c15:dlblFTEntry>
                  </c15:dlblFieldTable>
                  <c15:showDataLabelsRange val="0"/>
                </c:ext>
                <c:ext xmlns:c16="http://schemas.microsoft.com/office/drawing/2014/chart" uri="{C3380CC4-5D6E-409C-BE32-E72D297353CC}">
                  <c16:uniqueId val="{00000007-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(Endeavour!$K$37,Endeavour!$P$37)</c:f>
              <c:numCache>
                <c:formatCode>#,##0.00</c:formatCode>
                <c:ptCount val="2"/>
                <c:pt idx="0">
                  <c:v>87.407325012464099</c:v>
                </c:pt>
                <c:pt idx="1">
                  <c:v>60.525827228913712</c:v>
                </c:pt>
              </c:numCache>
            </c:numRef>
          </c:val>
          <c:extLst>
            <c:ext xmlns:c16="http://schemas.microsoft.com/office/drawing/2014/chart" uri="{C3380CC4-5D6E-409C-BE32-E72D297353CC}">
              <c16:uniqueId val="{00000008-F337-45BE-834B-F7930ECD51BC}"/>
            </c:ext>
          </c:extLst>
        </c:ser>
        <c:ser>
          <c:idx val="3"/>
          <c:order val="3"/>
          <c:tx>
            <c:strRef>
              <c:f>Endeavour!$H$38</c:f>
              <c:strCache>
                <c:ptCount val="1"/>
                <c:pt idx="0">
                  <c:v>Retail cost</c:v>
                </c:pt>
              </c:strCache>
            </c:strRef>
          </c:tx>
          <c:spPr>
            <a:solidFill>
              <a:srgbClr val="F0B9B3"/>
            </a:solidFill>
            <a:ln>
              <a:noFill/>
            </a:ln>
            <a:effectLst/>
          </c:spPr>
          <c:invertIfNegative val="0"/>
          <c:dLbls>
            <c:dLbl>
              <c:idx val="0"/>
              <c:tx>
                <c:rich>
                  <a:bodyPr/>
                  <a:lstStyle/>
                  <a:p>
                    <a:fld id="{E07E7F40-181F-4FAC-8D15-1C4560B037D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337-45BE-834B-F7930ECD51BC}"/>
                </c:ext>
              </c:extLst>
            </c:dLbl>
            <c:dLbl>
              <c:idx val="1"/>
              <c:tx>
                <c:rich>
                  <a:bodyPr/>
                  <a:lstStyle/>
                  <a:p>
                    <a:fld id="{30BDD61C-1AAA-48CC-90EA-B46F182E945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(Endeavour!$K$38,Endeavour!$P$38)</c:f>
              <c:numCache>
                <c:formatCode>#,##0.00</c:formatCode>
                <c:ptCount val="2"/>
                <c:pt idx="0">
                  <c:v>344.30566121810301</c:v>
                </c:pt>
                <c:pt idx="1">
                  <c:v>338.9390569950549</c:v>
                </c:pt>
              </c:numCache>
            </c:numRef>
          </c:val>
          <c:extLst>
            <c:ext xmlns:c15="http://schemas.microsoft.com/office/drawing/2012/chart" uri="{02D57815-91ED-43cb-92C2-25804820EDAC}">
              <c15:datalabelsRange>
                <c15:f>(Endeavour!$L$38,Endeavour!$Q$38)</c15:f>
                <c15:dlblRangeCache>
                  <c:ptCount val="2"/>
                  <c:pt idx="0">
                    <c:v>14.3%</c:v>
                  </c:pt>
                  <c:pt idx="1">
                    <c:v>14.6%</c:v>
                  </c:pt>
                </c15:dlblRangeCache>
              </c15:datalabelsRange>
            </c:ext>
            <c:ext xmlns:c16="http://schemas.microsoft.com/office/drawing/2014/chart" uri="{C3380CC4-5D6E-409C-BE32-E72D297353CC}">
              <c16:uniqueId val="{0000000B-F337-45BE-834B-F7930ECD51BC}"/>
            </c:ext>
          </c:extLst>
        </c:ser>
        <c:ser>
          <c:idx val="5"/>
          <c:order val="4"/>
          <c:tx>
            <c:strRef>
              <c:f>Endeavour!$H$39</c:f>
              <c:strCache>
                <c:ptCount val="1"/>
                <c:pt idx="0">
                  <c:v>Retail margin</c:v>
                </c:pt>
              </c:strCache>
            </c:strRef>
          </c:tx>
          <c:spPr>
            <a:solidFill>
              <a:srgbClr val="303F51"/>
            </a:solidFill>
            <a:ln>
              <a:noFill/>
            </a:ln>
            <a:effectLst/>
          </c:spPr>
          <c:invertIfNegative val="0"/>
          <c:dLbls>
            <c:dLbl>
              <c:idx val="0"/>
              <c:tx>
                <c:rich>
                  <a:bodyPr/>
                  <a:lstStyle/>
                  <a:p>
                    <a:fld id="{671B4A4A-0533-4B9C-B858-407BA6E098A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337-45BE-834B-F7930ECD51BC}"/>
                </c:ext>
              </c:extLst>
            </c:dLbl>
            <c:dLbl>
              <c:idx val="1"/>
              <c:tx>
                <c:rich>
                  <a:bodyPr/>
                  <a:lstStyle/>
                  <a:p>
                    <a:fld id="{933916A4-7437-412F-B17B-14D729A22A9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(Endeavour!$K$39,Endeavour!$P$39)</c:f>
              <c:numCache>
                <c:formatCode>#,##0.00</c:formatCode>
                <c:ptCount val="2"/>
                <c:pt idx="0">
                  <c:v>144.68178349353047</c:v>
                </c:pt>
                <c:pt idx="1">
                  <c:v>139.70290896481902</c:v>
                </c:pt>
              </c:numCache>
            </c:numRef>
          </c:val>
          <c:extLst>
            <c:ext xmlns:c15="http://schemas.microsoft.com/office/drawing/2012/chart" uri="{02D57815-91ED-43cb-92C2-25804820EDAC}">
              <c15:datalabelsRange>
                <c15:f>(Endeavour!$L$39,Endeavour!$Q$39)</c15:f>
                <c15:dlblRangeCache>
                  <c:ptCount val="2"/>
                  <c:pt idx="0">
                    <c:v>6.0%</c:v>
                  </c:pt>
                  <c:pt idx="1">
                    <c:v>6.0%</c:v>
                  </c:pt>
                </c15:dlblRangeCache>
              </c15:datalabelsRange>
            </c:ext>
            <c:ext xmlns:c16="http://schemas.microsoft.com/office/drawing/2014/chart" uri="{C3380CC4-5D6E-409C-BE32-E72D297353CC}">
              <c16:uniqueId val="{0000000E-F337-45BE-834B-F7930ECD51BC}"/>
            </c:ext>
          </c:extLst>
        </c:ser>
        <c:ser>
          <c:idx val="4"/>
          <c:order val="5"/>
          <c:tx>
            <c:v>DMO</c:v>
          </c:tx>
          <c:spPr>
            <a:no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(Endeavour!$J$34,Endeavour!$J$40)</c:f>
              <c:numCache>
                <c:formatCode>#,##0</c:formatCode>
                <c:ptCount val="2"/>
                <c:pt idx="0">
                  <c:v>2411</c:v>
                </c:pt>
                <c:pt idx="1">
                  <c:v>2328</c:v>
                </c:pt>
              </c:numCache>
            </c:numRef>
          </c:val>
          <c:extLst>
            <c:ext xmlns:c16="http://schemas.microsoft.com/office/drawing/2014/chart" uri="{C3380CC4-5D6E-409C-BE32-E72D297353CC}">
              <c16:uniqueId val="{0000000F-F337-45BE-834B-F7930ECD51BC}"/>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7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Endeavour!$F$3</c:f>
          <c:strCache>
            <c:ptCount val="1"/>
            <c:pt idx="0">
              <c:v>Endeavour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1942876894678554"/>
          <c:h val="0.80247874566274247"/>
        </c:manualLayout>
      </c:layout>
      <c:barChart>
        <c:barDir val="col"/>
        <c:grouping val="stacked"/>
        <c:varyColors val="0"/>
        <c:ser>
          <c:idx val="0"/>
          <c:order val="0"/>
          <c:tx>
            <c:strRef>
              <c:f>Endeavour!$H$35</c:f>
              <c:strCache>
                <c:ptCount val="1"/>
                <c:pt idx="0">
                  <c:v>Wholesale cost</c:v>
                </c:pt>
              </c:strCache>
            </c:strRef>
          </c:tx>
          <c:spPr>
            <a:solidFill>
              <a:srgbClr val="89B3CE"/>
            </a:solidFill>
            <a:ln>
              <a:noFill/>
            </a:ln>
            <a:effectLst/>
          </c:spPr>
          <c:invertIfNegative val="0"/>
          <c:dLbls>
            <c:dLbl>
              <c:idx val="0"/>
              <c:tx>
                <c:strRef>
                  <c:f>Endeavour!$AD$35</c:f>
                  <c:strCache>
                    <c:ptCount val="1"/>
                    <c:pt idx="0">
                      <c:v>42.3%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{0BC624D5-B725-4C8C-8C47-E022E89E0F49}</c15:txfldGUID>
                      <c15:f>Endeavour!$AD$35</c15:f>
                      <c15:dlblFieldTableCache>
                        <c:ptCount val="1"/>
                        <c:pt idx="0">
                          <c:v>42.3%</c:v>
                        </c:pt>
                      </c15:dlblFieldTableCache>
                    </c15:dlblFTEntry>
                  </c15:dlblFieldTable>
                  <c15:showDataLabelsRange val="0"/>
                </c:ext>
                <c:ext xmlns:c16="http://schemas.microsoft.com/office/drawing/2014/chart" uri="{C3380CC4-5D6E-409C-BE32-E72D297353CC}">
                  <c16:uniqueId val="{00000000-EAC3-4CBC-B0D1-2CBBD24F975C}"/>
                </c:ext>
              </c:extLst>
            </c:dLbl>
            <c:dLbl>
              <c:idx val="1"/>
              <c:tx>
                <c:strRef>
                  <c:f>Endeavour!$AI$35</c:f>
                  <c:strCache>
                    <c:ptCount val="1"/>
                    <c:pt idx="0">
                      <c:v>40.7%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{13CD9909-C187-4167-ADEC-D27B2DACDAF8}</c15:txfldGUID>
                      <c15:f>Endeavour!$AI$35</c15:f>
                      <c15:dlblFieldTableCache>
                        <c:ptCount val="1"/>
                        <c:pt idx="0">
                          <c:v>40.7%</c:v>
                        </c:pt>
                      </c15:dlblFieldTableCache>
                    </c15:dlblFTEntry>
                  </c15:dlblFieldTable>
                  <c15:showDataLabelsRange val="0"/>
                </c:ext>
                <c:ext xmlns:c16="http://schemas.microsoft.com/office/drawing/2014/chart" uri="{C3380CC4-5D6E-409C-BE32-E72D297353CC}">
                  <c16:uniqueId val="{00000001-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(Endeavour!$AC$35,Endeavour!$AH$35)</c:f>
              <c:numCache>
                <c:formatCode>#,##0.00</c:formatCode>
                <c:ptCount val="2"/>
                <c:pt idx="0">
                  <c:v>2021.8353909019456</c:v>
                </c:pt>
                <c:pt idx="1">
                  <c:v>1765.8465728347048</c:v>
                </c:pt>
              </c:numCache>
            </c:numRef>
          </c:val>
          <c:extLst>
            <c:ext xmlns:c16="http://schemas.microsoft.com/office/drawing/2014/chart" uri="{C3380CC4-5D6E-409C-BE32-E72D297353CC}">
              <c16:uniqueId val="{00000002-EAC3-4CBC-B0D1-2CBBD24F975C}"/>
            </c:ext>
          </c:extLst>
        </c:ser>
        <c:ser>
          <c:idx val="1"/>
          <c:order val="1"/>
          <c:tx>
            <c:strRef>
              <c:f>Endeavour!$H$36</c:f>
              <c:strCache>
                <c:ptCount val="1"/>
                <c:pt idx="0">
                  <c:v>Network cost</c:v>
                </c:pt>
              </c:strCache>
            </c:strRef>
          </c:tx>
          <c:spPr>
            <a:solidFill>
              <a:srgbClr val="E06026"/>
            </a:solidFill>
            <a:ln>
              <a:noFill/>
            </a:ln>
            <a:effectLst/>
          </c:spPr>
          <c:invertIfNegative val="0"/>
          <c:dLbls>
            <c:dLbl>
              <c:idx val="0"/>
              <c:tx>
                <c:strRef>
                  <c:f>Endeavour!$AD$36</c:f>
                  <c:strCache>
                    <c:ptCount val="1"/>
                    <c:pt idx="0">
                      <c:v>33.5%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{26BEC76D-E66F-4D80-A17B-2B31C91B43FA}</c15:txfldGUID>
                      <c15:f>Endeavour!$AD$36</c15:f>
                      <c15:dlblFieldTableCache>
                        <c:ptCount val="1"/>
                        <c:pt idx="0">
                          <c:v>33.5%</c:v>
                        </c:pt>
                      </c15:dlblFieldTableCache>
                    </c15:dlblFTEntry>
                  </c15:dlblFieldTable>
                  <c15:showDataLabelsRange val="0"/>
                </c:ext>
                <c:ext xmlns:c16="http://schemas.microsoft.com/office/drawing/2014/chart" uri="{C3380CC4-5D6E-409C-BE32-E72D297353CC}">
                  <c16:uniqueId val="{00000003-EAC3-4CBC-B0D1-2CBBD24F975C}"/>
                </c:ext>
              </c:extLst>
            </c:dLbl>
            <c:dLbl>
              <c:idx val="1"/>
              <c:tx>
                <c:strRef>
                  <c:f>Endeavour!$AI$36</c:f>
                  <c:strCache>
                    <c:ptCount val="1"/>
                    <c:pt idx="0">
                      <c:v>40.7%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{CFAD4FDB-413C-4A63-84D3-1E64FFC3B272}</c15:txfldGUID>
                      <c15:f>Endeavour!$AI$36</c15:f>
                      <c15:dlblFieldTableCache>
                        <c:ptCount val="1"/>
                        <c:pt idx="0">
                          <c:v>40.7%</c:v>
                        </c:pt>
                      </c15:dlblFieldTableCache>
                    </c15:dlblFTEntry>
                  </c15:dlblFieldTable>
                  <c15:showDataLabelsRange val="0"/>
                </c:ext>
                <c:ext xmlns:c16="http://schemas.microsoft.com/office/drawing/2014/chart" uri="{C3380CC4-5D6E-409C-BE32-E72D297353CC}">
                  <c16:uniqueId val="{00000004-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(Endeavour!$AC$36,Endeavour!$AH$36)</c:f>
              <c:numCache>
                <c:formatCode>#,##0.00</c:formatCode>
                <c:ptCount val="2"/>
                <c:pt idx="0">
                  <c:v>1597.5537049999998</c:v>
                </c:pt>
                <c:pt idx="1">
                  <c:v>1766.9385761084025</c:v>
                </c:pt>
              </c:numCache>
            </c:numRef>
          </c:val>
          <c:extLst>
            <c:ext xmlns:c16="http://schemas.microsoft.com/office/drawing/2014/chart" uri="{C3380CC4-5D6E-409C-BE32-E72D297353CC}">
              <c16:uniqueId val="{00000005-EAC3-4CBC-B0D1-2CBBD24F975C}"/>
            </c:ext>
          </c:extLst>
        </c:ser>
        <c:ser>
          <c:idx val="2"/>
          <c:order val="2"/>
          <c:tx>
            <c:strRef>
              <c:f>Endeavour!$H$37</c:f>
              <c:strCache>
                <c:ptCount val="1"/>
                <c:pt idx="0">
                  <c:v>Environmental cost</c:v>
                </c:pt>
              </c:strCache>
            </c:strRef>
          </c:tx>
          <c:spPr>
            <a:solidFill>
              <a:srgbClr val="5F9E88"/>
            </a:solidFill>
            <a:ln>
              <a:noFill/>
            </a:ln>
            <a:effectLst/>
          </c:spPr>
          <c:invertIfNegative val="0"/>
          <c:dLbls>
            <c:dLbl>
              <c:idx val="0"/>
              <c:tx>
                <c:strRef>
                  <c:f>Endeavour!$AD$37</c:f>
                  <c:strCache>
                    <c:ptCount val="1"/>
                    <c:pt idx="0">
                      <c:v>3.7%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{EB5CB0DF-8850-45EF-809A-6C3F2B09DE1A}</c15:txfldGUID>
                      <c15:f>Endeavour!$AD$37</c15:f>
                      <c15:dlblFieldTableCache>
                        <c:ptCount val="1"/>
                        <c:pt idx="0">
                          <c:v>3.7%</c:v>
                        </c:pt>
                      </c15:dlblFieldTableCache>
                    </c15:dlblFTEntry>
                  </c15:dlblFieldTable>
                  <c15:showDataLabelsRange val="0"/>
                </c:ext>
                <c:ext xmlns:c16="http://schemas.microsoft.com/office/drawing/2014/chart" uri="{C3380CC4-5D6E-409C-BE32-E72D297353CC}">
                  <c16:uniqueId val="{00000006-EAC3-4CBC-B0D1-2CBBD24F975C}"/>
                </c:ext>
              </c:extLst>
            </c:dLbl>
            <c:dLbl>
              <c:idx val="1"/>
              <c:tx>
                <c:strRef>
                  <c:f>Endeavour!$AI$37</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{29D2A429-B05C-4D7B-BCC5-9874FBF7C7DC}</c15:txfldGUID>
                      <c15:f>Endeavour!$AI$37</c15:f>
                      <c15:dlblFieldTableCache>
                        <c:ptCount val="1"/>
                        <c:pt idx="0">
                          <c:v>2.8%</c:v>
                        </c:pt>
                      </c15:dlblFieldTableCache>
                    </c15:dlblFTEntry>
                  </c15:dlblFieldTable>
                  <c15:showDataLabelsRange val="0"/>
                </c:ext>
                <c:ext xmlns:c16="http://schemas.microsoft.com/office/drawing/2014/chart" uri="{C3380CC4-5D6E-409C-BE32-E72D297353CC}">
                  <c16:uniqueId val="{00000007-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(Endeavour!$AC$37,Endeavour!$AH$37)</c:f>
              <c:numCache>
                <c:formatCode>#,##0.00</c:formatCode>
                <c:ptCount val="2"/>
                <c:pt idx="0">
                  <c:v>178.38229594380428</c:v>
                </c:pt>
                <c:pt idx="1">
                  <c:v>123.52209638553818</c:v>
                </c:pt>
              </c:numCache>
            </c:numRef>
          </c:val>
          <c:extLst>
            <c:ext xmlns:c16="http://schemas.microsoft.com/office/drawing/2014/chart" uri="{C3380CC4-5D6E-409C-BE32-E72D297353CC}">
              <c16:uniqueId val="{00000008-EAC3-4CBC-B0D1-2CBBD24F975C}"/>
            </c:ext>
          </c:extLst>
        </c:ser>
        <c:ser>
          <c:idx val="3"/>
          <c:order val="3"/>
          <c:tx>
            <c:strRef>
              <c:f>Endeavour!$H$38</c:f>
              <c:strCache>
                <c:ptCount val="1"/>
                <c:pt idx="0">
                  <c:v>Retail cost</c:v>
                </c:pt>
              </c:strCache>
            </c:strRef>
          </c:tx>
          <c:spPr>
            <a:solidFill>
              <a:srgbClr val="F0B9B3"/>
            </a:solidFill>
            <a:ln>
              <a:noFill/>
            </a:ln>
            <a:effectLst/>
          </c:spPr>
          <c:invertIfNegative val="0"/>
          <c:dLbls>
            <c:dLbl>
              <c:idx val="0"/>
              <c:tx>
                <c:rich>
                  <a:bodyPr/>
                  <a:lstStyle/>
                  <a:p>
                    <a:fld id="{C71AE7B6-B62B-49B6-AF69-7C2494167991}"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AC3-4CBC-B0D1-2CBBD24F975C}"/>
                </c:ext>
              </c:extLst>
            </c:dLbl>
            <c:dLbl>
              <c:idx val="1"/>
              <c:tx>
                <c:rich>
                  <a:bodyPr/>
                  <a:lstStyle/>
                  <a:p>
                    <a:fld id="{FAF01517-DE2F-4D32-A3D6-B4366185270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(Endeavour!$AC$38,Endeavour!$AH$38)</c:f>
              <c:numCache>
                <c:formatCode>#,##0.00</c:formatCode>
                <c:ptCount val="2"/>
                <c:pt idx="0">
                  <c:v>452.18958272305747</c:v>
                </c:pt>
                <c:pt idx="1">
                  <c:v>426.18613428106448</c:v>
                </c:pt>
              </c:numCache>
            </c:numRef>
          </c:val>
          <c:extLst>
            <c:ext xmlns:c15="http://schemas.microsoft.com/office/drawing/2012/chart" uri="{02D57815-91ED-43cb-92C2-25804820EDAC}">
              <c15:datalabelsRange>
                <c15:f>(Endeavour!$AD$38,Endeavour!$AI$38)</c15:f>
                <c15:dlblRangeCache>
                  <c:ptCount val="2"/>
                  <c:pt idx="0">
                    <c:v>9.5%</c:v>
                  </c:pt>
                  <c:pt idx="1">
                    <c:v>9.8%</c:v>
                  </c:pt>
                </c15:dlblRangeCache>
              </c15:datalabelsRange>
            </c:ext>
            <c:ext xmlns:c16="http://schemas.microsoft.com/office/drawing/2014/chart" uri="{C3380CC4-5D6E-409C-BE32-E72D297353CC}">
              <c16:uniqueId val="{0000000B-EAC3-4CBC-B0D1-2CBBD24F975C}"/>
            </c:ext>
          </c:extLst>
        </c:ser>
        <c:ser>
          <c:idx val="5"/>
          <c:order val="4"/>
          <c:tx>
            <c:strRef>
              <c:f>Endeavour!$H$39</c:f>
              <c:strCache>
                <c:ptCount val="1"/>
                <c:pt idx="0">
                  <c:v>Retail margin</c:v>
                </c:pt>
              </c:strCache>
            </c:strRef>
          </c:tx>
          <c:spPr>
            <a:solidFill>
              <a:srgbClr val="303F51"/>
            </a:solidFill>
            <a:ln>
              <a:noFill/>
            </a:ln>
            <a:effectLst/>
          </c:spPr>
          <c:invertIfNegative val="0"/>
          <c:dLbls>
            <c:dLbl>
              <c:idx val="0"/>
              <c:tx>
                <c:rich>
                  <a:bodyPr/>
                  <a:lstStyle/>
                  <a:p>
                    <a:fld id="{27B2B20E-4208-4AF2-81C6-4D1927B9B4F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AC3-4CBC-B0D1-2CBBD24F975C}"/>
                </c:ext>
              </c:extLst>
            </c:dLbl>
            <c:dLbl>
              <c:idx val="1"/>
              <c:tx>
                <c:rich>
                  <a:bodyPr/>
                  <a:lstStyle/>
                  <a:p>
                    <a:fld id="{1830257E-D0F7-4AC7-8B57-677907F313D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(Endeavour!$AC$39,Endeavour!$AH$39)</c:f>
              <c:numCache>
                <c:formatCode>#,##0.00</c:formatCode>
                <c:ptCount val="2"/>
                <c:pt idx="0">
                  <c:v>525.27607550850462</c:v>
                </c:pt>
                <c:pt idx="1">
                  <c:v>260.58468380487511</c:v>
                </c:pt>
              </c:numCache>
            </c:numRef>
          </c:val>
          <c:extLst>
            <c:ext xmlns:c15="http://schemas.microsoft.com/office/drawing/2012/chart" uri="{02D57815-91ED-43cb-92C2-25804820EDAC}">
              <c15:datalabelsRange>
                <c15:f>(Endeavour!$AD$39,Endeavour!$AI$39)</c15:f>
                <c15:dlblRangeCache>
                  <c:ptCount val="2"/>
                  <c:pt idx="0">
                    <c:v>11.0%</c:v>
                  </c:pt>
                  <c:pt idx="1">
                    <c:v>6.0%</c:v>
                  </c:pt>
                </c15:dlblRangeCache>
              </c15:datalabelsRange>
            </c:ext>
            <c:ext xmlns:c16="http://schemas.microsoft.com/office/drawing/2014/chart" uri="{C3380CC4-5D6E-409C-BE32-E72D297353CC}">
              <c16:uniqueId val="{0000000E-EAC3-4CBC-B0D1-2CBBD24F975C}"/>
            </c:ext>
          </c:extLst>
        </c:ser>
        <c:ser>
          <c:idx val="4"/>
          <c:order val="5"/>
          <c:tx>
            <c:v>DMO</c:v>
          </c:tx>
          <c:spPr>
            <a:noFill/>
            <a:ln>
              <a:noFill/>
            </a:ln>
            <a:effectLst/>
          </c:spPr>
          <c:invertIfNegative val="0"/>
          <c:dLbls>
            <c:dLbl>
              <c:idx val="1"/>
              <c:layout>
                <c:manualLayout>
                  <c:x val="9.1603920214006153E-4"/>
                  <c:y val="0.1872440840516731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19D-4F36-8498-6BD238E9B7DB}"/>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(Endeavour!$AB$34,Endeavour!$AB$40)</c:f>
              <c:numCache>
                <c:formatCode>#,##0</c:formatCode>
                <c:ptCount val="2"/>
                <c:pt idx="0">
                  <c:v>4775</c:v>
                </c:pt>
                <c:pt idx="1">
                  <c:v>4343</c:v>
                </c:pt>
              </c:numCache>
            </c:numRef>
          </c:val>
          <c:extLst>
            <c:ext xmlns:c16="http://schemas.microsoft.com/office/drawing/2014/chart" uri="{C3380CC4-5D6E-409C-BE32-E72D297353CC}">
              <c16:uniqueId val="{0000000F-EAC3-4CBC-B0D1-2CBBD24F975C}"/>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1"/>
        <c:axPos val="b"/>
        <c:numFmt formatCode="General" sourceLinked="1"/>
        <c:majorTickMark val="none"/>
        <c:minorTickMark val="none"/>
        <c:tickLblPos val="nextTo"/>
        <c:crossAx val="228354256"/>
        <c:crosses val="autoZero"/>
        <c:auto val="1"/>
        <c:lblAlgn val="ctr"/>
        <c:lblOffset val="100"/>
        <c:noMultiLvlLbl val="0"/>
      </c:catAx>
      <c:valAx>
        <c:axId val="228354256"/>
        <c:scaling>
          <c:orientation val="minMax"/>
          <c:max val="52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Essential!$C$3</c:f>
          <c:strCache>
            <c:ptCount val="1"/>
            <c:pt idx="0">
              <c:v>Essential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Essential!$H$35</c:f>
              <c:strCache>
                <c:ptCount val="1"/>
                <c:pt idx="0">
                  <c:v>Wholesale cost</c:v>
                </c:pt>
              </c:strCache>
            </c:strRef>
          </c:tx>
          <c:spPr>
            <a:solidFill>
              <a:srgbClr val="89B3CE"/>
            </a:solidFill>
            <a:ln>
              <a:noFill/>
            </a:ln>
            <a:effectLst/>
          </c:spPr>
          <c:invertIfNegative val="0"/>
          <c:dLbls>
            <c:dLbl>
              <c:idx val="0"/>
              <c:tx>
                <c:strRef>
                  <c:f>Essential!$L$35</c:f>
                  <c:strCache>
                    <c:ptCount val="1"/>
                    <c:pt idx="0">
                      <c:v>33.0%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{F2AF2F8B-BEBB-4A81-A4F7-18BC2A9D1F59}</c15:txfldGUID>
                      <c15:f>Essential!$L$35</c15:f>
                      <c15:dlblFieldTableCache>
                        <c:ptCount val="1"/>
                        <c:pt idx="0">
                          <c:v>33.0%</c:v>
                        </c:pt>
                      </c15:dlblFieldTableCache>
                    </c15:dlblFTEntry>
                  </c15:dlblFieldTable>
                  <c15:showDataLabelsRange val="0"/>
                </c:ext>
                <c:ext xmlns:c16="http://schemas.microsoft.com/office/drawing/2014/chart" uri="{C3380CC4-5D6E-409C-BE32-E72D297353CC}">
                  <c16:uniqueId val="{00000000-E789-411A-94EF-F77039C673A5}"/>
                </c:ext>
              </c:extLst>
            </c:dLbl>
            <c:dLbl>
              <c:idx val="1"/>
              <c:tx>
                <c:strRef>
                  <c:f>Essential!$Q$35</c:f>
                  <c:strCache>
                    <c:ptCount val="1"/>
                    <c:pt idx="0">
                      <c:v>29.9%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{AFDB359C-3629-4E6F-A019-EE664FF94E3B}</c15:txfldGUID>
                      <c15:f>Essential!$Q$35</c15:f>
                      <c15:dlblFieldTableCache>
                        <c:ptCount val="1"/>
                        <c:pt idx="0">
                          <c:v>29.9%</c:v>
                        </c:pt>
                      </c15:dlblFieldTableCache>
                    </c15:dlblFTEntry>
                  </c15:dlblFieldTable>
                  <c15:showDataLabelsRange val="0"/>
                </c:ext>
                <c:ext xmlns:c16="http://schemas.microsoft.com/office/drawing/2014/chart" uri="{C3380CC4-5D6E-409C-BE32-E72D297353CC}">
                  <c16:uniqueId val="{00000001-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(Essential!$K$35,Essential!$P$35)</c:f>
              <c:numCache>
                <c:formatCode>#,##0.00</c:formatCode>
                <c:ptCount val="2"/>
                <c:pt idx="0">
                  <c:v>903.45227990993703</c:v>
                </c:pt>
                <c:pt idx="1">
                  <c:v>779.32358526104281</c:v>
                </c:pt>
              </c:numCache>
            </c:numRef>
          </c:val>
          <c:extLst>
            <c:ext xmlns:c16="http://schemas.microsoft.com/office/drawing/2014/chart" uri="{C3380CC4-5D6E-409C-BE32-E72D297353CC}">
              <c16:uniqueId val="{00000002-E789-411A-94EF-F77039C673A5}"/>
            </c:ext>
          </c:extLst>
        </c:ser>
        <c:ser>
          <c:idx val="1"/>
          <c:order val="1"/>
          <c:tx>
            <c:strRef>
              <c:f>Essential!$H$36</c:f>
              <c:strCache>
                <c:ptCount val="1"/>
                <c:pt idx="0">
                  <c:v>Network cost</c:v>
                </c:pt>
              </c:strCache>
            </c:strRef>
          </c:tx>
          <c:spPr>
            <a:solidFill>
              <a:srgbClr val="E06026"/>
            </a:solidFill>
            <a:ln>
              <a:noFill/>
            </a:ln>
            <a:effectLst/>
          </c:spPr>
          <c:invertIfNegative val="0"/>
          <c:dLbls>
            <c:dLbl>
              <c:idx val="0"/>
              <c:tx>
                <c:strRef>
                  <c:f>Essential!$L$36</c:f>
                  <c:strCache>
                    <c:ptCount val="1"/>
                    <c:pt idx="0">
                      <c:v>45.6%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{9B37F368-BD37-4900-A131-3B8A37B44065}</c15:txfldGUID>
                      <c15:f>Essential!$L$36</c15:f>
                      <c15:dlblFieldTableCache>
                        <c:ptCount val="1"/>
                        <c:pt idx="0">
                          <c:v>45.6%</c:v>
                        </c:pt>
                      </c15:dlblFieldTableCache>
                    </c15:dlblFTEntry>
                  </c15:dlblFieldTable>
                  <c15:showDataLabelsRange val="0"/>
                </c:ext>
                <c:ext xmlns:c16="http://schemas.microsoft.com/office/drawing/2014/chart" uri="{C3380CC4-5D6E-409C-BE32-E72D297353CC}">
                  <c16:uniqueId val="{00000003-E789-411A-94EF-F77039C673A5}"/>
                </c:ext>
              </c:extLst>
            </c:dLbl>
            <c:dLbl>
              <c:idx val="1"/>
              <c:tx>
                <c:strRef>
                  <c:f>Essential!$Q$36</c:f>
                  <c:strCache>
                    <c:ptCount val="1"/>
                    <c:pt idx="0">
                      <c:v>49.3%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{B0BEF091-567E-48B4-9FFB-824F2BFFF2B5}</c15:txfldGUID>
                      <c15:f>Essential!$Q$36</c15:f>
                      <c15:dlblFieldTableCache>
                        <c:ptCount val="1"/>
                        <c:pt idx="0">
                          <c:v>49.3%</c:v>
                        </c:pt>
                      </c15:dlblFieldTableCache>
                    </c15:dlblFTEntry>
                  </c15:dlblFieldTable>
                  <c15:showDataLabelsRange val="0"/>
                </c:ext>
                <c:ext xmlns:c16="http://schemas.microsoft.com/office/drawing/2014/chart" uri="{C3380CC4-5D6E-409C-BE32-E72D297353CC}">
                  <c16:uniqueId val="{00000004-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(Essential!$K$36,Essential!$P$36)</c:f>
              <c:numCache>
                <c:formatCode>#,##0.00</c:formatCode>
                <c:ptCount val="2"/>
                <c:pt idx="0">
                  <c:v>1248.9808649440904</c:v>
                </c:pt>
                <c:pt idx="1">
                  <c:v>1283.0279552152908</c:v>
                </c:pt>
              </c:numCache>
            </c:numRef>
          </c:val>
          <c:extLst>
            <c:ext xmlns:c16="http://schemas.microsoft.com/office/drawing/2014/chart" uri="{C3380CC4-5D6E-409C-BE32-E72D297353CC}">
              <c16:uniqueId val="{00000005-E789-411A-94EF-F77039C673A5}"/>
            </c:ext>
          </c:extLst>
        </c:ser>
        <c:ser>
          <c:idx val="2"/>
          <c:order val="2"/>
          <c:tx>
            <c:strRef>
              <c:f>Essential!$H$37</c:f>
              <c:strCache>
                <c:ptCount val="1"/>
                <c:pt idx="0">
                  <c:v>Environmental cost</c:v>
                </c:pt>
              </c:strCache>
            </c:strRef>
          </c:tx>
          <c:spPr>
            <a:solidFill>
              <a:srgbClr val="5F9E88"/>
            </a:solidFill>
            <a:ln>
              <a:noFill/>
            </a:ln>
            <a:effectLst/>
          </c:spPr>
          <c:invertIfNegative val="0"/>
          <c:dLbls>
            <c:dLbl>
              <c:idx val="0"/>
              <c:tx>
                <c:strRef>
                  <c:f>Essential!$L$37</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{51D16867-0332-4634-A4A5-2ECE5BB9E6A1}</c15:txfldGUID>
                      <c15:f>Essential!$L$37</c15:f>
                      <c15:dlblFieldTableCache>
                        <c:ptCount val="1"/>
                        <c:pt idx="0">
                          <c:v>2.9%</c:v>
                        </c:pt>
                      </c15:dlblFieldTableCache>
                    </c15:dlblFTEntry>
                  </c15:dlblFieldTable>
                  <c15:showDataLabelsRange val="0"/>
                </c:ext>
                <c:ext xmlns:c16="http://schemas.microsoft.com/office/drawing/2014/chart" uri="{C3380CC4-5D6E-409C-BE32-E72D297353CC}">
                  <c16:uniqueId val="{00000006-E789-411A-94EF-F77039C673A5}"/>
                </c:ext>
              </c:extLst>
            </c:dLbl>
            <c:dLbl>
              <c:idx val="1"/>
              <c:tx>
                <c:strRef>
                  <c:f>Essential!$Q$37</c:f>
                  <c:strCache>
                    <c:ptCount val="1"/>
                    <c:pt idx="0">
                      <c:v>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{AF7887C0-AA8B-4445-93EA-6D54D18BA8DA}</c15:txfldGUID>
                      <c15:f>Essential!$Q$37</c15:f>
                      <c15:dlblFieldTableCache>
                        <c:ptCount val="1"/>
                        <c:pt idx="0">
                          <c:v>2.2%</c:v>
                        </c:pt>
                      </c15:dlblFieldTableCache>
                    </c15:dlblFTEntry>
                  </c15:dlblFieldTable>
                  <c15:showDataLabelsRange val="0"/>
                </c:ext>
                <c:ext xmlns:c16="http://schemas.microsoft.com/office/drawing/2014/chart" uri="{C3380CC4-5D6E-409C-BE32-E72D297353CC}">
                  <c16:uniqueId val="{00000007-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(Essential!$K$37,Essential!$P$37)</c:f>
              <c:numCache>
                <c:formatCode>#,##0.00</c:formatCode>
                <c:ptCount val="2"/>
                <c:pt idx="0">
                  <c:v>80.170406567593488</c:v>
                </c:pt>
                <c:pt idx="1">
                  <c:v>56.083191877421427</c:v>
                </c:pt>
              </c:numCache>
            </c:numRef>
          </c:val>
          <c:extLst>
            <c:ext xmlns:c16="http://schemas.microsoft.com/office/drawing/2014/chart" uri="{C3380CC4-5D6E-409C-BE32-E72D297353CC}">
              <c16:uniqueId val="{00000008-E789-411A-94EF-F77039C673A5}"/>
            </c:ext>
          </c:extLst>
        </c:ser>
        <c:ser>
          <c:idx val="3"/>
          <c:order val="3"/>
          <c:tx>
            <c:strRef>
              <c:f>Essential!$H$38</c:f>
              <c:strCache>
                <c:ptCount val="1"/>
                <c:pt idx="0">
                  <c:v>Retail cost</c:v>
                </c:pt>
              </c:strCache>
            </c:strRef>
          </c:tx>
          <c:spPr>
            <a:solidFill>
              <a:srgbClr val="F0B9B3"/>
            </a:solidFill>
            <a:ln>
              <a:noFill/>
            </a:ln>
            <a:effectLst/>
          </c:spPr>
          <c:invertIfNegative val="0"/>
          <c:dLbls>
            <c:dLbl>
              <c:idx val="0"/>
              <c:tx>
                <c:rich>
                  <a:bodyPr/>
                  <a:lstStyle/>
                  <a:p>
                    <a:fld id="{D146607C-136B-4679-A892-39C9D298BECD}"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789-411A-94EF-F77039C673A5}"/>
                </c:ext>
              </c:extLst>
            </c:dLbl>
            <c:dLbl>
              <c:idx val="1"/>
              <c:tx>
                <c:rich>
                  <a:bodyPr/>
                  <a:lstStyle/>
                  <a:p>
                    <a:fld id="{441D730D-94A7-48C2-AE96-2B515FCE862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(Essential!$K$38,Essential!$P$38)</c:f>
              <c:numCache>
                <c:formatCode>#,##0.00</c:formatCode>
                <c:ptCount val="2"/>
                <c:pt idx="0">
                  <c:v>343.7615024031029</c:v>
                </c:pt>
                <c:pt idx="1">
                  <c:v>329.17432040236918</c:v>
                </c:pt>
              </c:numCache>
            </c:numRef>
          </c:val>
          <c:extLst>
            <c:ext xmlns:c15="http://schemas.microsoft.com/office/drawing/2012/chart" uri="{02D57815-91ED-43cb-92C2-25804820EDAC}">
              <c15:datalabelsRange>
                <c15:f>(Essential!$L$38,Essential!$Q$38)</c15:f>
                <c15:dlblRangeCache>
                  <c:ptCount val="2"/>
                  <c:pt idx="0">
                    <c:v>12.5%</c:v>
                  </c:pt>
                  <c:pt idx="1">
                    <c:v>12.6%</c:v>
                  </c:pt>
                </c15:dlblRangeCache>
              </c15:datalabelsRange>
            </c:ext>
            <c:ext xmlns:c16="http://schemas.microsoft.com/office/drawing/2014/chart" uri="{C3380CC4-5D6E-409C-BE32-E72D297353CC}">
              <c16:uniqueId val="{0000000B-E789-411A-94EF-F77039C673A5}"/>
            </c:ext>
          </c:extLst>
        </c:ser>
        <c:ser>
          <c:idx val="5"/>
          <c:order val="4"/>
          <c:tx>
            <c:strRef>
              <c:f>Essential!$H$39</c:f>
              <c:strCache>
                <c:ptCount val="1"/>
                <c:pt idx="0">
                  <c:v>Retail margin</c:v>
                </c:pt>
              </c:strCache>
            </c:strRef>
          </c:tx>
          <c:spPr>
            <a:solidFill>
              <a:srgbClr val="303F51"/>
            </a:solidFill>
            <a:ln>
              <a:noFill/>
            </a:ln>
            <a:effectLst/>
          </c:spPr>
          <c:invertIfNegative val="0"/>
          <c:dLbls>
            <c:dLbl>
              <c:idx val="0"/>
              <c:tx>
                <c:rich>
                  <a:bodyPr/>
                  <a:lstStyle/>
                  <a:p>
                    <a:fld id="{A117027C-28B3-4537-B2E4-82A1BAA74FC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789-411A-94EF-F77039C673A5}"/>
                </c:ext>
              </c:extLst>
            </c:dLbl>
            <c:dLbl>
              <c:idx val="1"/>
              <c:tx>
                <c:rich>
                  <a:bodyPr/>
                  <a:lstStyle/>
                  <a:p>
                    <a:fld id="{8DFD424E-3872-4987-B32D-28A23376F2C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(Essential!$K$39,Essential!$P$39)</c:f>
              <c:numCache>
                <c:formatCode>#,##0.00</c:formatCode>
                <c:ptCount val="2"/>
                <c:pt idx="0">
                  <c:v>164.44883322285477</c:v>
                </c:pt>
                <c:pt idx="1">
                  <c:v>156.23036506953986</c:v>
                </c:pt>
              </c:numCache>
            </c:numRef>
          </c:val>
          <c:extLst>
            <c:ext xmlns:c15="http://schemas.microsoft.com/office/drawing/2012/chart" uri="{02D57815-91ED-43cb-92C2-25804820EDAC}">
              <c15:datalabelsRange>
                <c15:f>(Essential!$L$39,Essential!$Q$39)</c15:f>
                <c15:dlblRangeCache>
                  <c:ptCount val="2"/>
                  <c:pt idx="0">
                    <c:v>6.0%</c:v>
                  </c:pt>
                  <c:pt idx="1">
                    <c:v>6.0%</c:v>
                  </c:pt>
                </c15:dlblRangeCache>
              </c15:datalabelsRange>
            </c:ext>
            <c:ext xmlns:c16="http://schemas.microsoft.com/office/drawing/2014/chart" uri="{C3380CC4-5D6E-409C-BE32-E72D297353CC}">
              <c16:uniqueId val="{0000000E-E789-411A-94EF-F77039C673A5}"/>
            </c:ext>
          </c:extLst>
        </c:ser>
        <c:ser>
          <c:idx val="4"/>
          <c:order val="5"/>
          <c:tx>
            <c:v>DMO</c:v>
          </c:tx>
          <c:spPr>
            <a:noFill/>
            <a:ln>
              <a:noFill/>
            </a:ln>
            <a:effectLst/>
          </c:spPr>
          <c:invertIfNegative val="0"/>
          <c:dLbls>
            <c:dLbl>
              <c:idx val="1"/>
              <c:layout>
                <c:manualLayout>
                  <c:x val="-8.6757734278705549E-4"/>
                  <c:y val="0.21365357764106885"/>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933-4DC8-9682-80A51C0C67D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(Essential!$J$34,Essential!$J$40)</c:f>
              <c:numCache>
                <c:formatCode>#,##0.00</c:formatCode>
                <c:ptCount val="2"/>
                <c:pt idx="0">
                  <c:v>2741</c:v>
                </c:pt>
                <c:pt idx="1">
                  <c:v>2604</c:v>
                </c:pt>
              </c:numCache>
            </c:numRef>
          </c:val>
          <c:extLst>
            <c:ext xmlns:c16="http://schemas.microsoft.com/office/drawing/2014/chart" uri="{C3380CC4-5D6E-409C-BE32-E72D297353CC}">
              <c16:uniqueId val="{0000000F-E789-411A-94EF-F77039C673A5}"/>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305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Essential!$F$3</c:f>
          <c:strCache>
            <c:ptCount val="1"/>
            <c:pt idx="0">
              <c:v>Essential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0526141381156782"/>
          <c:h val="0.76135203087237857"/>
        </c:manualLayout>
      </c:layout>
      <c:barChart>
        <c:barDir val="col"/>
        <c:grouping val="stacked"/>
        <c:varyColors val="0"/>
        <c:ser>
          <c:idx val="0"/>
          <c:order val="0"/>
          <c:tx>
            <c:strRef>
              <c:f>Essential!$H$35</c:f>
              <c:strCache>
                <c:ptCount val="1"/>
                <c:pt idx="0">
                  <c:v>Wholesale cost</c:v>
                </c:pt>
              </c:strCache>
            </c:strRef>
          </c:tx>
          <c:spPr>
            <a:solidFill>
              <a:srgbClr val="89B3CE"/>
            </a:solidFill>
            <a:ln>
              <a:noFill/>
            </a:ln>
            <a:effectLst/>
          </c:spPr>
          <c:invertIfNegative val="0"/>
          <c:dLbls>
            <c:dLbl>
              <c:idx val="0"/>
              <c:tx>
                <c:rich>
                  <a:bodyPr/>
                  <a:lstStyle/>
                  <a:p>
                    <a:fld id="{A7131BF9-4646-4879-AFC4-F72D96E7161B}"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C9-4A18-9AB8-8064B0F6EE46}"/>
                </c:ext>
              </c:extLst>
            </c:dLbl>
            <c:dLbl>
              <c:idx val="1"/>
              <c:tx>
                <c:rich>
                  <a:bodyPr/>
                  <a:lstStyle/>
                  <a:p>
                    <a:fld id="{6D8C7F92-69BA-42F3-8366-97DBBDEDE6D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2C9-4A18-9AB8-8064B0F6EE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(Essential!$AC$35,Essential!$AH$35)</c:f>
              <c:numCache>
                <c:formatCode>#,##0.00</c:formatCode>
                <c:ptCount val="2"/>
                <c:pt idx="0">
                  <c:v>1946.1611845522723</c:v>
                </c:pt>
                <c:pt idx="1">
                  <c:v>1677.2328210022667</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(Essential!$AD$35,Essential!$AI$35)</c15:f>
                <c15:dlblRangeCache>
                  <c:ptCount val="2"/>
                  <c:pt idx="0">
                    <c:v>31.3%</c:v>
                  </c:pt>
                  <c:pt idx="1">
                    <c:v>30.4%</c:v>
                  </c:pt>
                </c15:dlblRangeCache>
              </c15:datalabelsRange>
            </c:ext>
            <c:ext xmlns:c16="http://schemas.microsoft.com/office/drawing/2014/chart" uri="{C3380CC4-5D6E-409C-BE32-E72D297353CC}">
              <c16:uniqueId val="{00000002-22C9-4A18-9AB8-8064B0F6EE46}"/>
            </c:ext>
          </c:extLst>
        </c:ser>
        <c:ser>
          <c:idx val="1"/>
          <c:order val="1"/>
          <c:tx>
            <c:strRef>
              <c:f>Essential!$H$36</c:f>
              <c:strCache>
                <c:ptCount val="1"/>
                <c:pt idx="0">
                  <c:v>Network cost</c:v>
                </c:pt>
              </c:strCache>
            </c:strRef>
          </c:tx>
          <c:spPr>
            <a:solidFill>
              <a:srgbClr val="E06026"/>
            </a:solidFill>
            <a:ln>
              <a:noFill/>
            </a:ln>
            <a:effectLst/>
          </c:spPr>
          <c:invertIfNegative val="0"/>
          <c:dLbls>
            <c:dLbl>
              <c:idx val="0"/>
              <c:tx>
                <c:rich>
                  <a:bodyPr/>
                  <a:lstStyle/>
                  <a:p>
                    <a:fld id="{9BC8D40D-7A49-4329-8D6B-96C7B28EC3B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2C9-4A18-9AB8-8064B0F6EE46}"/>
                </c:ext>
              </c:extLst>
            </c:dLbl>
            <c:dLbl>
              <c:idx val="1"/>
              <c:tx>
                <c:rich>
                  <a:bodyPr/>
                  <a:lstStyle/>
                  <a:p>
                    <a:fld id="{637B1A99-85DC-4BFE-B38C-08A61B896C3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C9-4A18-9AB8-8064B0F6EE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(Essential!$AC$36,Essential!$AH$36)</c:f>
              <c:numCache>
                <c:formatCode>#,##0.00</c:formatCode>
                <c:ptCount val="2"/>
                <c:pt idx="0">
                  <c:v>2959.1444552068538</c:v>
                </c:pt>
                <c:pt idx="1">
                  <c:v>2964.6714608656716</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(Essential!$AD$36,Essential!$AI$36)</c15:f>
                <c15:dlblRangeCache>
                  <c:ptCount val="2"/>
                  <c:pt idx="0">
                    <c:v>47.6%</c:v>
                  </c:pt>
                  <c:pt idx="1">
                    <c:v>53.7%</c:v>
                  </c:pt>
                </c15:dlblRangeCache>
              </c15:datalabelsRange>
            </c:ext>
            <c:ext xmlns:c16="http://schemas.microsoft.com/office/drawing/2014/chart" uri="{C3380CC4-5D6E-409C-BE32-E72D297353CC}">
              <c16:uniqueId val="{00000005-22C9-4A18-9AB8-8064B0F6EE46}"/>
            </c:ext>
          </c:extLst>
        </c:ser>
        <c:ser>
          <c:idx val="2"/>
          <c:order val="2"/>
          <c:tx>
            <c:strRef>
              <c:f>Essential!$H$37</c:f>
              <c:strCache>
                <c:ptCount val="1"/>
                <c:pt idx="0">
                  <c:v>Environmental cost</c:v>
                </c:pt>
              </c:strCache>
            </c:strRef>
          </c:tx>
          <c:spPr>
            <a:solidFill>
              <a:srgbClr val="5F9E88"/>
            </a:solidFill>
            <a:ln>
              <a:noFill/>
            </a:ln>
            <a:effectLst/>
          </c:spPr>
          <c:invertIfNegative val="0"/>
          <c:dLbls>
            <c:dLbl>
              <c:idx val="0"/>
              <c:tx>
                <c:rich>
                  <a:bodyPr/>
                  <a:lstStyle/>
                  <a:p>
                    <a:fld id="{A4AF180C-206C-4C58-A007-7B0B259BC889}"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2C9-4A18-9AB8-8064B0F6EE46}"/>
                </c:ext>
              </c:extLst>
            </c:dLbl>
            <c:dLbl>
              <c:idx val="1"/>
              <c:tx>
                <c:rich>
                  <a:bodyPr/>
                  <a:lstStyle/>
                  <a:p>
                    <a:fld id="{517785FD-04BB-4E8F-A191-C8722A283EB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C9-4A18-9AB8-8064B0F6EE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(Essential!$AC$37,Essential!$AH$37)</c:f>
              <c:numCache>
                <c:formatCode>#,##0.00</c:formatCode>
                <c:ptCount val="2"/>
                <c:pt idx="0">
                  <c:v>174.28349253824669</c:v>
                </c:pt>
                <c:pt idx="1">
                  <c:v>121.91998234222049</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(Essential!$AD$37,Essential!$AI$37)</c15:f>
                <c15:dlblRangeCache>
                  <c:ptCount val="2"/>
                  <c:pt idx="0">
                    <c:v>2.8%</c:v>
                  </c:pt>
                  <c:pt idx="1">
                    <c:v>2.2%</c:v>
                  </c:pt>
                </c15:dlblRangeCache>
              </c15:datalabelsRange>
            </c:ext>
            <c:ext xmlns:c16="http://schemas.microsoft.com/office/drawing/2014/chart" uri="{C3380CC4-5D6E-409C-BE32-E72D297353CC}">
              <c16:uniqueId val="{00000008-22C9-4A18-9AB8-8064B0F6EE46}"/>
            </c:ext>
          </c:extLst>
        </c:ser>
        <c:ser>
          <c:idx val="3"/>
          <c:order val="3"/>
          <c:tx>
            <c:strRef>
              <c:f>Essential!$H$38</c:f>
              <c:strCache>
                <c:ptCount val="1"/>
                <c:pt idx="0">
                  <c:v>Retail cost</c:v>
                </c:pt>
              </c:strCache>
            </c:strRef>
          </c:tx>
          <c:spPr>
            <a:solidFill>
              <a:srgbClr val="F0B9B3"/>
            </a:solidFill>
            <a:ln>
              <a:noFill/>
            </a:ln>
            <a:effectLst/>
          </c:spPr>
          <c:invertIfNegative val="0"/>
          <c:dLbls>
            <c:dLbl>
              <c:idx val="0"/>
              <c:tx>
                <c:rich>
                  <a:bodyPr/>
                  <a:lstStyle/>
                  <a:p>
                    <a:fld id="{C8ABB2D5-1D29-462C-8D86-DCF7E77D62D8}"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2C9-4A18-9AB8-8064B0F6EE46}"/>
                </c:ext>
              </c:extLst>
            </c:dLbl>
            <c:dLbl>
              <c:idx val="1"/>
              <c:tx>
                <c:rich>
                  <a:bodyPr/>
                  <a:lstStyle/>
                  <a:p>
                    <a:fld id="{587B314D-9F98-466A-B8DE-5C09C7FD7CF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C9-4A18-9AB8-8064B0F6EE4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(Essential!$AC$38,Essential!$AH$38)</c:f>
              <c:numCache>
                <c:formatCode>#,##0.00</c:formatCode>
                <c:ptCount val="2"/>
                <c:pt idx="0">
                  <c:v>458.04589127551509</c:v>
                </c:pt>
                <c:pt idx="1">
                  <c:v>422.44183313301755</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(Essential!$AD$38,Essential!$AI$38)</c15:f>
                <c15:dlblRangeCache>
                  <c:ptCount val="2"/>
                  <c:pt idx="0">
                    <c:v>7.4%</c:v>
                  </c:pt>
                  <c:pt idx="1">
                    <c:v>7.7%</c:v>
                  </c:pt>
                </c15:dlblRangeCache>
              </c15:datalabelsRange>
            </c:ext>
            <c:ext xmlns:c16="http://schemas.microsoft.com/office/drawing/2014/chart" uri="{C3380CC4-5D6E-409C-BE32-E72D297353CC}">
              <c16:uniqueId val="{0000000B-22C9-4A18-9AB8-8064B0F6EE46}"/>
            </c:ext>
          </c:extLst>
        </c:ser>
        <c:ser>
          <c:idx val="5"/>
          <c:order val="4"/>
          <c:tx>
            <c:strRef>
              <c:f>Essential!$H$39</c:f>
              <c:strCache>
                <c:ptCount val="1"/>
                <c:pt idx="0">
                  <c:v>Retail margin</c:v>
                </c:pt>
              </c:strCache>
            </c:strRef>
          </c:tx>
          <c:spPr>
            <a:solidFill>
              <a:srgbClr val="303F51"/>
            </a:solidFill>
            <a:ln>
              <a:noFill/>
            </a:ln>
            <a:effectLst/>
          </c:spPr>
          <c:invertIfNegative val="0"/>
          <c:dLbls>
            <c:dLbl>
              <c:idx val="0"/>
              <c:tx>
                <c:rich>
                  <a:bodyPr/>
                  <a:lstStyle/>
                  <a:p>
                    <a:fld id="{E39117C5-DCD7-429B-BAAC-FECA495747D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2C9-4A18-9AB8-8064B0F6EE46}"/>
                </c:ext>
              </c:extLst>
            </c:dLbl>
            <c:dLbl>
              <c:idx val="1"/>
              <c:tx>
                <c:rich>
                  <a:bodyPr/>
                  <a:lstStyle/>
                  <a:p>
                    <a:fld id="{0F046ACF-B3F9-4885-8E68-A6FB477933F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C9-4A18-9AB8-8064B0F6EE4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(Essential!$AC$39,Essential!$AH$39)</c:f>
              <c:numCache>
                <c:formatCode>#,##0.00</c:formatCode>
                <c:ptCount val="2"/>
                <c:pt idx="0">
                  <c:v>684.42680066631146</c:v>
                </c:pt>
                <c:pt idx="1">
                  <c:v>331.0382615325434</c:v>
                </c:pt>
              </c:numCache>
            </c:numRef>
          </c:val>
          <c:extLst>
            <c:ext xmlns:c15="http://schemas.microsoft.com/office/drawing/2012/chart" uri="{02D57815-91ED-43cb-92C2-25804820EDAC}">
              <c15:datalabelsRange>
                <c15:f>(Essential!$AD$39,Essential!$AI$39)</c15:f>
                <c15:dlblRangeCache>
                  <c:ptCount val="2"/>
                  <c:pt idx="0">
                    <c:v>11.0%</c:v>
                  </c:pt>
                  <c:pt idx="1">
                    <c:v>6.0%</c:v>
                  </c:pt>
                </c15:dlblRangeCache>
              </c15:datalabelsRange>
            </c:ext>
            <c:ext xmlns:c16="http://schemas.microsoft.com/office/drawing/2014/chart" uri="{C3380CC4-5D6E-409C-BE32-E72D297353CC}">
              <c16:uniqueId val="{0000000E-22C9-4A18-9AB8-8064B0F6EE46}"/>
            </c:ext>
          </c:extLst>
        </c:ser>
        <c:ser>
          <c:idx val="4"/>
          <c:order val="5"/>
          <c:tx>
            <c:v>DMO</c:v>
          </c:tx>
          <c:spPr>
            <a:noFill/>
            <a:ln>
              <a:noFill/>
            </a:ln>
            <a:effectLst/>
          </c:spPr>
          <c:invertIfNegative val="0"/>
          <c:dLbls>
            <c:dLbl>
              <c:idx val="1"/>
              <c:layout>
                <c:manualLayout>
                  <c:x val="-9.0098972356004179E-4"/>
                  <c:y val="0.2071362891331953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293-4C52-A074-7BD07398FC4E}"/>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(Essential!$AB$34,Essential!$AB$40)</c:f>
              <c:numCache>
                <c:formatCode>#,##0.00</c:formatCode>
                <c:ptCount val="2"/>
                <c:pt idx="0">
                  <c:v>6222</c:v>
                </c:pt>
                <c:pt idx="1">
                  <c:v>5517</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6="http://schemas.microsoft.com/office/drawing/2014/chart" uri="{C3380CC4-5D6E-409C-BE32-E72D297353CC}">
              <c16:uniqueId val="{0000000F-22C9-4A18-9AB8-8064B0F6EE46}"/>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68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Energex!$C$3</c:f>
          <c:strCache>
            <c:ptCount val="1"/>
            <c:pt idx="0">
              <c:v>Energex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Energex!$H$35</c:f>
              <c:strCache>
                <c:ptCount val="1"/>
                <c:pt idx="0">
                  <c:v>Wholesale cost</c:v>
                </c:pt>
              </c:strCache>
            </c:strRef>
          </c:tx>
          <c:spPr>
            <a:solidFill>
              <a:srgbClr val="89B3CE"/>
            </a:solidFill>
            <a:ln>
              <a:noFill/>
            </a:ln>
            <a:effectLst/>
          </c:spPr>
          <c:invertIfNegative val="0"/>
          <c:dLbls>
            <c:dLbl>
              <c:idx val="0"/>
              <c:tx>
                <c:strRef>
                  <c:f>Energex!$L$35</c:f>
                  <c:strCache>
                    <c:ptCount val="1"/>
                    <c:pt idx="0">
                      <c:v>39.5%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{B3207BE6-8F9F-488C-948E-8208F4D8CEA4}</c15:txfldGUID>
                      <c15:f>Energex!$L$35</c15:f>
                      <c15:dlblFieldTableCache>
                        <c:ptCount val="1"/>
                        <c:pt idx="0">
                          <c:v>39.5%</c:v>
                        </c:pt>
                      </c15:dlblFieldTableCache>
                    </c15:dlblFTEntry>
                  </c15:dlblFieldTable>
                  <c15:showDataLabelsRange val="0"/>
                </c:ext>
                <c:ext xmlns:c16="http://schemas.microsoft.com/office/drawing/2014/chart" uri="{C3380CC4-5D6E-409C-BE32-E72D297353CC}">
                  <c16:uniqueId val="{00000000-EA84-4DF1-86A9-3D525C165E1E}"/>
                </c:ext>
              </c:extLst>
            </c:dLbl>
            <c:dLbl>
              <c:idx val="1"/>
              <c:tx>
                <c:strRef>
                  <c:f>Energex!$Q$35</c:f>
                  <c:strCache>
                    <c:ptCount val="1"/>
                    <c:pt idx="0">
                      <c:v>36.5%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{F07524E3-5FC9-4469-841E-2B7DC19E3250}</c15:txfldGUID>
                      <c15:f>Energex!$Q$35</c15:f>
                      <c15:dlblFieldTableCache>
                        <c:ptCount val="1"/>
                        <c:pt idx="0">
                          <c:v>36.5%</c:v>
                        </c:pt>
                      </c15:dlblFieldTableCache>
                    </c15:dlblFTEntry>
                  </c15:dlblFieldTable>
                  <c15:showDataLabelsRange val="0"/>
                </c:ext>
                <c:ext xmlns:c16="http://schemas.microsoft.com/office/drawing/2014/chart" uri="{C3380CC4-5D6E-409C-BE32-E72D297353CC}">
                  <c16:uniqueId val="{00000001-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(Energex!$K$35,Energex!$P$35)</c:f>
              <c:numCache>
                <c:formatCode>#,##0.00</c:formatCode>
                <c:ptCount val="2"/>
                <c:pt idx="0">
                  <c:v>847.00695816791358</c:v>
                </c:pt>
                <c:pt idx="1">
                  <c:v>725.05399440277358</c:v>
                </c:pt>
              </c:numCache>
            </c:numRef>
          </c:val>
          <c:extLst>
            <c:ext xmlns:c16="http://schemas.microsoft.com/office/drawing/2014/chart" uri="{C3380CC4-5D6E-409C-BE32-E72D297353CC}">
              <c16:uniqueId val="{00000002-EA84-4DF1-86A9-3D525C165E1E}"/>
            </c:ext>
          </c:extLst>
        </c:ser>
        <c:ser>
          <c:idx val="1"/>
          <c:order val="1"/>
          <c:tx>
            <c:strRef>
              <c:f>Energex!$H$36</c:f>
              <c:strCache>
                <c:ptCount val="1"/>
                <c:pt idx="0">
                  <c:v>Network cost</c:v>
                </c:pt>
              </c:strCache>
            </c:strRef>
          </c:tx>
          <c:spPr>
            <a:solidFill>
              <a:srgbClr val="E06026"/>
            </a:solidFill>
            <a:ln>
              <a:noFill/>
            </a:ln>
            <a:effectLst/>
          </c:spPr>
          <c:invertIfNegative val="0"/>
          <c:dLbls>
            <c:dLbl>
              <c:idx val="0"/>
              <c:tx>
                <c:strRef>
                  <c:f>Energex!$L$36</c:f>
                  <c:strCache>
                    <c:ptCount val="1"/>
                    <c:pt idx="0">
                      <c:v>36.3%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{DB46DDC9-1E8E-4772-929F-25573523B4EA}</c15:txfldGUID>
                      <c15:f>Energex!$L$36</c15:f>
                      <c15:dlblFieldTableCache>
                        <c:ptCount val="1"/>
                        <c:pt idx="0">
                          <c:v>36.3%</c:v>
                        </c:pt>
                      </c15:dlblFieldTableCache>
                    </c15:dlblFTEntry>
                  </c15:dlblFieldTable>
                  <c15:showDataLabelsRange val="0"/>
                </c:ext>
                <c:ext xmlns:c16="http://schemas.microsoft.com/office/drawing/2014/chart" uri="{C3380CC4-5D6E-409C-BE32-E72D297353CC}">
                  <c16:uniqueId val="{00000003-EA84-4DF1-86A9-3D525C165E1E}"/>
                </c:ext>
              </c:extLst>
            </c:dLbl>
            <c:dLbl>
              <c:idx val="1"/>
              <c:tx>
                <c:strRef>
                  <c:f>Energex!$Q$36</c:f>
                  <c:strCache>
                    <c:ptCount val="1"/>
                    <c:pt idx="0">
                      <c:v>41.1%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{C75F719A-03C2-4828-99EF-7D8AE1CBBBBD}</c15:txfldGUID>
                      <c15:f>Energex!$Q$36</c15:f>
                      <c15:dlblFieldTableCache>
                        <c:ptCount val="1"/>
                        <c:pt idx="0">
                          <c:v>41.1%</c:v>
                        </c:pt>
                      </c15:dlblFieldTableCache>
                    </c15:dlblFTEntry>
                  </c15:dlblFieldTable>
                  <c15:showDataLabelsRange val="0"/>
                </c:ext>
                <c:ext xmlns:c16="http://schemas.microsoft.com/office/drawing/2014/chart" uri="{C3380CC4-5D6E-409C-BE32-E72D297353CC}">
                  <c16:uniqueId val="{00000004-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(Energex!$K$36,Energex!$P$36)</c:f>
              <c:numCache>
                <c:formatCode>#,##0.00</c:formatCode>
                <c:ptCount val="2"/>
                <c:pt idx="0">
                  <c:v>778.44943700626834</c:v>
                </c:pt>
                <c:pt idx="1">
                  <c:v>817.46337155923118</c:v>
                </c:pt>
              </c:numCache>
            </c:numRef>
          </c:val>
          <c:extLst>
            <c:ext xmlns:c16="http://schemas.microsoft.com/office/drawing/2014/chart" uri="{C3380CC4-5D6E-409C-BE32-E72D297353CC}">
              <c16:uniqueId val="{00000005-EA84-4DF1-86A9-3D525C165E1E}"/>
            </c:ext>
          </c:extLst>
        </c:ser>
        <c:ser>
          <c:idx val="2"/>
          <c:order val="2"/>
          <c:tx>
            <c:strRef>
              <c:f>Energex!$H$37</c:f>
              <c:strCache>
                <c:ptCount val="1"/>
                <c:pt idx="0">
                  <c:v>Environmental cost</c:v>
                </c:pt>
              </c:strCache>
            </c:strRef>
          </c:tx>
          <c:spPr>
            <a:solidFill>
              <a:srgbClr val="5F9E88"/>
            </a:solidFill>
            <a:ln>
              <a:noFill/>
            </a:ln>
            <a:effectLst/>
          </c:spPr>
          <c:invertIfNegative val="0"/>
          <c:dLbls>
            <c:dLbl>
              <c:idx val="0"/>
              <c:tx>
                <c:strRef>
                  <c:f>Energex!$L$37</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{12E415F5-9F31-4959-84B6-B282594121F7}</c15:txfldGUID>
                      <c15:f>Energex!$L$37</c15:f>
                      <c15:dlblFieldTableCache>
                        <c:ptCount val="1"/>
                        <c:pt idx="0">
                          <c:v>2.8%</c:v>
                        </c:pt>
                      </c15:dlblFieldTableCache>
                    </c15:dlblFTEntry>
                  </c15:dlblFieldTable>
                  <c15:showDataLabelsRange val="0"/>
                </c:ext>
                <c:ext xmlns:c16="http://schemas.microsoft.com/office/drawing/2014/chart" uri="{C3380CC4-5D6E-409C-BE32-E72D297353CC}">
                  <c16:uniqueId val="{00000006-EA84-4DF1-86A9-3D525C165E1E}"/>
                </c:ext>
              </c:extLst>
            </c:dLbl>
            <c:dLbl>
              <c:idx val="1"/>
              <c:tx>
                <c:strRef>
                  <c:f>Energex!$Q$37</c:f>
                  <c:strCache>
                    <c:ptCount val="1"/>
                    <c:pt idx="0">
                      <c:v>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{E79299D7-D917-4AF4-B299-2D436B9BBE2F}</c15:txfldGUID>
                      <c15:f>Energex!$Q$37</c15:f>
                      <c15:dlblFieldTableCache>
                        <c:ptCount val="1"/>
                        <c:pt idx="0">
                          <c:v>2.1%</c:v>
                        </c:pt>
                      </c15:dlblFieldTableCache>
                    </c15:dlblFTEntry>
                  </c15:dlblFieldTable>
                  <c15:showDataLabelsRange val="0"/>
                </c:ext>
                <c:ext xmlns:c16="http://schemas.microsoft.com/office/drawing/2014/chart" uri="{C3380CC4-5D6E-409C-BE32-E72D297353CC}">
                  <c16:uniqueId val="{00000007-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(Energex!$K$37,Energex!$P$37)</c:f>
              <c:numCache>
                <c:formatCode>#,##0.00</c:formatCode>
                <c:ptCount val="2"/>
                <c:pt idx="0">
                  <c:v>60.305218339699209</c:v>
                </c:pt>
                <c:pt idx="1">
                  <c:v>40.888288542467514</c:v>
                </c:pt>
              </c:numCache>
            </c:numRef>
          </c:val>
          <c:extLst>
            <c:ext xmlns:c16="http://schemas.microsoft.com/office/drawing/2014/chart" uri="{C3380CC4-5D6E-409C-BE32-E72D297353CC}">
              <c16:uniqueId val="{00000008-EA84-4DF1-86A9-3D525C165E1E}"/>
            </c:ext>
          </c:extLst>
        </c:ser>
        <c:ser>
          <c:idx val="3"/>
          <c:order val="3"/>
          <c:tx>
            <c:strRef>
              <c:f>Energex!$H$38</c:f>
              <c:strCache>
                <c:ptCount val="1"/>
                <c:pt idx="0">
                  <c:v>Retail cost</c:v>
                </c:pt>
              </c:strCache>
            </c:strRef>
          </c:tx>
          <c:spPr>
            <a:solidFill>
              <a:srgbClr val="F0B9B3"/>
            </a:solidFill>
            <a:ln>
              <a:noFill/>
            </a:ln>
            <a:effectLst/>
          </c:spPr>
          <c:invertIfNegative val="0"/>
          <c:dLbls>
            <c:dLbl>
              <c:idx val="0"/>
              <c:tx>
                <c:rich>
                  <a:bodyPr/>
                  <a:lstStyle/>
                  <a:p>
                    <a:fld id="{35F9AC18-EC29-4865-95B3-87826F2F51E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A84-4DF1-86A9-3D525C165E1E}"/>
                </c:ext>
              </c:extLst>
            </c:dLbl>
            <c:dLbl>
              <c:idx val="1"/>
              <c:tx>
                <c:rich>
                  <a:bodyPr/>
                  <a:lstStyle/>
                  <a:p>
                    <a:fld id="{4CF0257A-16BA-4347-AB82-29C4143209C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(Energex!$K$38,Energex!$P$38)</c:f>
              <c:numCache>
                <c:formatCode>#,##0.00</c:formatCode>
                <c:ptCount val="2"/>
                <c:pt idx="0">
                  <c:v>328.20341084841237</c:v>
                </c:pt>
                <c:pt idx="1">
                  <c:v>285.0149914661813</c:v>
                </c:pt>
              </c:numCache>
            </c:numRef>
          </c:val>
          <c:extLst>
            <c:ext xmlns:c15="http://schemas.microsoft.com/office/drawing/2012/chart" uri="{02D57815-91ED-43cb-92C2-25804820EDAC}">
              <c15:datalabelsRange>
                <c15:f>(Energex!$L$38,Energex!$Q$38)</c15:f>
                <c15:dlblRangeCache>
                  <c:ptCount val="2"/>
                  <c:pt idx="0">
                    <c:v>15.3%</c:v>
                  </c:pt>
                  <c:pt idx="1">
                    <c:v>14.3%</c:v>
                  </c:pt>
                </c15:dlblRangeCache>
              </c15:datalabelsRange>
            </c:ext>
            <c:ext xmlns:c16="http://schemas.microsoft.com/office/drawing/2014/chart" uri="{C3380CC4-5D6E-409C-BE32-E72D297353CC}">
              <c16:uniqueId val="{0000000B-EA84-4DF1-86A9-3D525C165E1E}"/>
            </c:ext>
          </c:extLst>
        </c:ser>
        <c:ser>
          <c:idx val="5"/>
          <c:order val="4"/>
          <c:tx>
            <c:strRef>
              <c:f>Energex!$H$39</c:f>
              <c:strCache>
                <c:ptCount val="1"/>
                <c:pt idx="0">
                  <c:v>Retail margin</c:v>
                </c:pt>
              </c:strCache>
            </c:strRef>
          </c:tx>
          <c:spPr>
            <a:solidFill>
              <a:srgbClr val="303F51"/>
            </a:solidFill>
            <a:ln>
              <a:noFill/>
            </a:ln>
            <a:effectLst/>
          </c:spPr>
          <c:invertIfNegative val="0"/>
          <c:dLbls>
            <c:dLbl>
              <c:idx val="0"/>
              <c:tx>
                <c:rich>
                  <a:bodyPr/>
                  <a:lstStyle/>
                  <a:p>
                    <a:fld id="{61FE9598-7340-43C8-B35D-0419E032DF29}"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A84-4DF1-86A9-3D525C165E1E}"/>
                </c:ext>
              </c:extLst>
            </c:dLbl>
            <c:dLbl>
              <c:idx val="1"/>
              <c:tx>
                <c:rich>
                  <a:bodyPr/>
                  <a:lstStyle/>
                  <a:p>
                    <a:fld id="{2108E355-A9B7-4E3D-A88F-0FAC49608EA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(Energex!$K$39,Energex!$P$39)</c:f>
              <c:numCache>
                <c:formatCode>#,##0.00</c:formatCode>
                <c:ptCount val="2"/>
                <c:pt idx="0">
                  <c:v>128.5509590018487</c:v>
                </c:pt>
                <c:pt idx="1">
                  <c:v>119.26089229599938</c:v>
                </c:pt>
              </c:numCache>
            </c:numRef>
          </c:val>
          <c:extLst>
            <c:ext xmlns:c15="http://schemas.microsoft.com/office/drawing/2012/chart" uri="{02D57815-91ED-43cb-92C2-25804820EDAC}">
              <c15:datalabelsRange>
                <c15:f>(Energex!$L$39,Energex!$Q$39)</c15:f>
                <c15:dlblRangeCache>
                  <c:ptCount val="2"/>
                  <c:pt idx="0">
                    <c:v>6.0%</c:v>
                  </c:pt>
                  <c:pt idx="1">
                    <c:v>6.0%</c:v>
                  </c:pt>
                </c15:dlblRangeCache>
              </c15:datalabelsRange>
            </c:ext>
            <c:ext xmlns:c16="http://schemas.microsoft.com/office/drawing/2014/chart" uri="{C3380CC4-5D6E-409C-BE32-E72D297353CC}">
              <c16:uniqueId val="{0000000E-EA84-4DF1-86A9-3D525C165E1E}"/>
            </c:ext>
          </c:extLst>
        </c:ser>
        <c:ser>
          <c:idx val="4"/>
          <c:order val="5"/>
          <c:tx>
            <c:v>DMO</c:v>
          </c:tx>
          <c:spPr>
            <a:noFill/>
            <a:ln>
              <a:noFill/>
            </a:ln>
            <a:effectLst/>
          </c:spPr>
          <c:invertIfNegative val="0"/>
          <c:dLbls>
            <c:dLbl>
              <c:idx val="1"/>
              <c:layout>
                <c:manualLayout>
                  <c:x val="-5.725285625942724E-3"/>
                  <c:y val="0.21280112313132207"/>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AD8-4000-A633-3D140D88F935}"/>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(Energex!$J$34,Energex!$J$40)</c:f>
              <c:numCache>
                <c:formatCode>#,##0</c:formatCode>
                <c:ptCount val="2"/>
                <c:pt idx="0">
                  <c:v>2143</c:v>
                </c:pt>
                <c:pt idx="1">
                  <c:v>1988</c:v>
                </c:pt>
              </c:numCache>
            </c:numRef>
          </c:val>
          <c:extLst>
            <c:ext xmlns:c16="http://schemas.microsoft.com/office/drawing/2014/chart" uri="{C3380CC4-5D6E-409C-BE32-E72D297353CC}">
              <c16:uniqueId val="{0000000F-EA84-4DF1-86A9-3D525C165E1E}"/>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4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Energex!$F$3</c:f>
          <c:strCache>
            <c:ptCount val="1"/>
            <c:pt idx="0">
              <c:v>Energex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0526141381156782"/>
          <c:h val="0.76135203087237857"/>
        </c:manualLayout>
      </c:layout>
      <c:barChart>
        <c:barDir val="col"/>
        <c:grouping val="stacked"/>
        <c:varyColors val="0"/>
        <c:ser>
          <c:idx val="0"/>
          <c:order val="0"/>
          <c:tx>
            <c:strRef>
              <c:f>Energex!$H$35</c:f>
              <c:strCache>
                <c:ptCount val="1"/>
                <c:pt idx="0">
                  <c:v>Wholesale cost</c:v>
                </c:pt>
              </c:strCache>
            </c:strRef>
          </c:tx>
          <c:spPr>
            <a:solidFill>
              <a:srgbClr val="89B3CE"/>
            </a:solidFill>
            <a:ln>
              <a:noFill/>
            </a:ln>
            <a:effectLst/>
          </c:spPr>
          <c:invertIfNegative val="0"/>
          <c:dLbls>
            <c:dLbl>
              <c:idx val="0"/>
              <c:tx>
                <c:rich>
                  <a:bodyPr/>
                  <a:lstStyle/>
                  <a:p>
                    <a:fld id="{33768216-E1DD-4955-81CF-1B7DC3E777EB}"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F77-40AF-8437-BA5BFA2E9EC5}"/>
                </c:ext>
              </c:extLst>
            </c:dLbl>
            <c:dLbl>
              <c:idx val="1"/>
              <c:tx>
                <c:rich>
                  <a:bodyPr/>
                  <a:lstStyle/>
                  <a:p>
                    <a:fld id="{A6AF1131-1D7F-4A73-A906-FFEB4B3B037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F77-40AF-8437-BA5BFA2E9E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(Energex!$AC$35,Energex!$AH$35)</c:f>
              <c:numCache>
                <c:formatCode>#,##0.00</c:formatCode>
                <c:ptCount val="2"/>
                <c:pt idx="0">
                  <c:v>1823.4539633739607</c:v>
                </c:pt>
                <c:pt idx="1">
                  <c:v>1559.2554495712473</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(Energex!$AD$35,Energex!$AI$35)</c15:f>
                <c15:dlblRangeCache>
                  <c:ptCount val="2"/>
                  <c:pt idx="0">
                    <c:v>42.5%</c:v>
                  </c:pt>
                  <c:pt idx="1">
                    <c:v>40.5%</c:v>
                  </c:pt>
                </c15:dlblRangeCache>
              </c15:datalabelsRange>
            </c:ext>
            <c:ext xmlns:c16="http://schemas.microsoft.com/office/drawing/2014/chart" uri="{C3380CC4-5D6E-409C-BE32-E72D297353CC}">
              <c16:uniqueId val="{00000002-1F77-40AF-8437-BA5BFA2E9EC5}"/>
            </c:ext>
          </c:extLst>
        </c:ser>
        <c:ser>
          <c:idx val="1"/>
          <c:order val="1"/>
          <c:tx>
            <c:strRef>
              <c:f>Energex!$H$36</c:f>
              <c:strCache>
                <c:ptCount val="1"/>
                <c:pt idx="0">
                  <c:v>Network cost</c:v>
                </c:pt>
              </c:strCache>
            </c:strRef>
          </c:tx>
          <c:spPr>
            <a:solidFill>
              <a:srgbClr val="E06026"/>
            </a:solidFill>
            <a:ln>
              <a:noFill/>
            </a:ln>
            <a:effectLst/>
          </c:spPr>
          <c:invertIfNegative val="0"/>
          <c:dLbls>
            <c:dLbl>
              <c:idx val="0"/>
              <c:tx>
                <c:rich>
                  <a:bodyPr/>
                  <a:lstStyle/>
                  <a:p>
                    <a:fld id="{5623E42C-051D-42CD-A8F0-16112AC905E3}"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F77-40AF-8437-BA5BFA2E9EC5}"/>
                </c:ext>
              </c:extLst>
            </c:dLbl>
            <c:dLbl>
              <c:idx val="1"/>
              <c:tx>
                <c:rich>
                  <a:bodyPr/>
                  <a:lstStyle/>
                  <a:p>
                    <a:fld id="{44278F5C-0CD3-4AA0-826C-8C70AB7E6A8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F77-40AF-8437-BA5BFA2E9E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(Energex!$AC$36,Energex!$AH$36)</c:f>
              <c:numCache>
                <c:formatCode>#,##0.00</c:formatCode>
                <c:ptCount val="2"/>
                <c:pt idx="0">
                  <c:v>1506.3711370062686</c:v>
                </c:pt>
                <c:pt idx="1">
                  <c:v>1626.6103642871676</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(Energex!$AD$36,Energex!$AI$36)</c15:f>
                <c15:dlblRangeCache>
                  <c:ptCount val="2"/>
                  <c:pt idx="0">
                    <c:v>35.1%</c:v>
                  </c:pt>
                  <c:pt idx="1">
                    <c:v>42.3%</c:v>
                  </c:pt>
                </c15:dlblRangeCache>
              </c15:datalabelsRange>
            </c:ext>
            <c:ext xmlns:c16="http://schemas.microsoft.com/office/drawing/2014/chart" uri="{C3380CC4-5D6E-409C-BE32-E72D297353CC}">
              <c16:uniqueId val="{00000005-1F77-40AF-8437-BA5BFA2E9EC5}"/>
            </c:ext>
          </c:extLst>
        </c:ser>
        <c:ser>
          <c:idx val="2"/>
          <c:order val="2"/>
          <c:tx>
            <c:strRef>
              <c:f>Energex!$H$37</c:f>
              <c:strCache>
                <c:ptCount val="1"/>
                <c:pt idx="0">
                  <c:v>Environmental cost</c:v>
                </c:pt>
              </c:strCache>
            </c:strRef>
          </c:tx>
          <c:spPr>
            <a:solidFill>
              <a:srgbClr val="5F9E88"/>
            </a:solidFill>
            <a:ln>
              <a:noFill/>
            </a:ln>
            <a:effectLst/>
          </c:spPr>
          <c:invertIfNegative val="0"/>
          <c:dLbls>
            <c:dLbl>
              <c:idx val="0"/>
              <c:tx>
                <c:rich>
                  <a:bodyPr/>
                  <a:lstStyle/>
                  <a:p>
                    <a:fld id="{19B55B11-10BA-45A6-BAE0-6D295DD2471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F77-40AF-8437-BA5BFA2E9EC5}"/>
                </c:ext>
              </c:extLst>
            </c:dLbl>
            <c:dLbl>
              <c:idx val="1"/>
              <c:tx>
                <c:rich>
                  <a:bodyPr/>
                  <a:lstStyle/>
                  <a:p>
                    <a:fld id="{CF5CDE61-29FA-4796-952B-7ED143BB60F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F77-40AF-8437-BA5BFA2E9E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(Energex!$AC$37,Energex!$AH$37)</c:f>
              <c:numCache>
                <c:formatCode>#,##0.00</c:formatCode>
                <c:ptCount val="2"/>
                <c:pt idx="0">
                  <c:v>131.09830073847655</c:v>
                </c:pt>
                <c:pt idx="1">
                  <c:v>88.887583787972858</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(Energex!$AD$37,Energex!$AI$37)</c15:f>
                <c15:dlblRangeCache>
                  <c:ptCount val="2"/>
                  <c:pt idx="0">
                    <c:v>3.1%</c:v>
                  </c:pt>
                  <c:pt idx="1">
                    <c:v>2.3%</c:v>
                  </c:pt>
                </c15:dlblRangeCache>
              </c15:datalabelsRange>
            </c:ext>
            <c:ext xmlns:c16="http://schemas.microsoft.com/office/drawing/2014/chart" uri="{C3380CC4-5D6E-409C-BE32-E72D297353CC}">
              <c16:uniqueId val="{00000008-1F77-40AF-8437-BA5BFA2E9EC5}"/>
            </c:ext>
          </c:extLst>
        </c:ser>
        <c:ser>
          <c:idx val="3"/>
          <c:order val="3"/>
          <c:tx>
            <c:strRef>
              <c:f>Energex!$H$38</c:f>
              <c:strCache>
                <c:ptCount val="1"/>
                <c:pt idx="0">
                  <c:v>Retail cost</c:v>
                </c:pt>
              </c:strCache>
            </c:strRef>
          </c:tx>
          <c:spPr>
            <a:solidFill>
              <a:srgbClr val="F0B9B3"/>
            </a:solidFill>
            <a:ln>
              <a:noFill/>
            </a:ln>
            <a:effectLst/>
          </c:spPr>
          <c:invertIfNegative val="0"/>
          <c:dLbls>
            <c:dLbl>
              <c:idx val="0"/>
              <c:tx>
                <c:rich>
                  <a:bodyPr/>
                  <a:lstStyle/>
                  <a:p>
                    <a:fld id="{63173035-0508-46A0-86BC-E006765EE4A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F77-40AF-8437-BA5BFA2E9EC5}"/>
                </c:ext>
              </c:extLst>
            </c:dLbl>
            <c:dLbl>
              <c:idx val="1"/>
              <c:tx>
                <c:rich>
                  <a:bodyPr/>
                  <a:lstStyle/>
                  <a:p>
                    <a:fld id="{8FDD076B-7629-4247-A301-018462AAD5F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F77-40AF-8437-BA5BFA2E9E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(Energex!$AC$38,Energex!$AH$38)</c:f>
              <c:numCache>
                <c:formatCode>#,##0.00</c:formatCode>
                <c:ptCount val="2"/>
                <c:pt idx="0">
                  <c:v>360.65874430137626</c:v>
                </c:pt>
                <c:pt idx="1">
                  <c:v>342.86168869753675</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(Energex!$AD$38,Energex!$AI$38)</c15:f>
                <c15:dlblRangeCache>
                  <c:ptCount val="2"/>
                  <c:pt idx="0">
                    <c:v>8.4%</c:v>
                  </c:pt>
                  <c:pt idx="1">
                    <c:v>8.9%</c:v>
                  </c:pt>
                </c15:dlblRangeCache>
              </c15:datalabelsRange>
            </c:ext>
            <c:ext xmlns:c16="http://schemas.microsoft.com/office/drawing/2014/chart" uri="{C3380CC4-5D6E-409C-BE32-E72D297353CC}">
              <c16:uniqueId val="{0000000B-1F77-40AF-8437-BA5BFA2E9EC5}"/>
            </c:ext>
          </c:extLst>
        </c:ser>
        <c:ser>
          <c:idx val="5"/>
          <c:order val="4"/>
          <c:tx>
            <c:strRef>
              <c:f>Energex!$H$39</c:f>
              <c:strCache>
                <c:ptCount val="1"/>
                <c:pt idx="0">
                  <c:v>Retail margin</c:v>
                </c:pt>
              </c:strCache>
            </c:strRef>
          </c:tx>
          <c:spPr>
            <a:solidFill>
              <a:srgbClr val="303F51"/>
            </a:solidFill>
            <a:ln>
              <a:noFill/>
            </a:ln>
            <a:effectLst/>
          </c:spPr>
          <c:invertIfNegative val="0"/>
          <c:dLbls>
            <c:dLbl>
              <c:idx val="0"/>
              <c:tx>
                <c:rich>
                  <a:bodyPr/>
                  <a:lstStyle/>
                  <a:p>
                    <a:fld id="{286928ED-9DE2-4036-99BB-1E1144EC1AAC}"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F77-40AF-8437-BA5BFA2E9EC5}"/>
                </c:ext>
              </c:extLst>
            </c:dLbl>
            <c:dLbl>
              <c:idx val="1"/>
              <c:tx>
                <c:rich>
                  <a:bodyPr/>
                  <a:lstStyle/>
                  <a:p>
                    <a:fld id="{EDE6C18F-0A63-42BD-9EAC-99AC386808A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F77-40AF-8437-BA5BFA2E9EC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(Energex!$AC$39,Energex!$AH$39)</c:f>
              <c:numCache>
                <c:formatCode>#,##0.00</c:formatCode>
                <c:ptCount val="2"/>
                <c:pt idx="0">
                  <c:v>472.33037752383007</c:v>
                </c:pt>
                <c:pt idx="1">
                  <c:v>230.91160125599527</c:v>
                </c:pt>
              </c:numCache>
            </c:numRef>
          </c:val>
          <c:extLst>
            <c:ext xmlns:c15="http://schemas.microsoft.com/office/drawing/2012/chart" uri="{02D57815-91ED-43cb-92C2-25804820EDAC}">
              <c15:datalabelsRange>
                <c15:f>(Energex!$AD$39,Energex!$AI$39)</c15:f>
                <c15:dlblRangeCache>
                  <c:ptCount val="2"/>
                  <c:pt idx="0">
                    <c:v>11.0%</c:v>
                  </c:pt>
                  <c:pt idx="1">
                    <c:v>6.0%</c:v>
                  </c:pt>
                </c15:dlblRangeCache>
              </c15:datalabelsRange>
            </c:ext>
            <c:ext xmlns:c16="http://schemas.microsoft.com/office/drawing/2014/chart" uri="{C3380CC4-5D6E-409C-BE32-E72D297353CC}">
              <c16:uniqueId val="{0000000E-1F77-40AF-8437-BA5BFA2E9EC5}"/>
            </c:ext>
          </c:extLst>
        </c:ser>
        <c:ser>
          <c:idx val="4"/>
          <c:order val="5"/>
          <c:tx>
            <c:v>DMO</c:v>
          </c:tx>
          <c:spPr>
            <a:noFill/>
            <a:ln>
              <a:noFill/>
            </a:ln>
            <a:effectLst/>
          </c:spPr>
          <c:invertIfNegative val="0"/>
          <c:dLbls>
            <c:dLbl>
              <c:idx val="1"/>
              <c:layout>
                <c:manualLayout>
                  <c:x val="-3.3441680630604993E-3"/>
                  <c:y val="0.23536127869953855"/>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0FA-446C-AB9A-7ABEA73C0FE8}"/>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(Energex!$AB$34,Energex!$AB$40)</c:f>
              <c:numCache>
                <c:formatCode>#,##0</c:formatCode>
                <c:ptCount val="2"/>
                <c:pt idx="0">
                  <c:v>4294</c:v>
                </c:pt>
                <c:pt idx="1">
                  <c:v>3849</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6="http://schemas.microsoft.com/office/drawing/2014/chart" uri="{C3380CC4-5D6E-409C-BE32-E72D297353CC}">
              <c16:uniqueId val="{0000000F-1F77-40AF-8437-BA5BFA2E9EC5}"/>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48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rate'!$A$52</c:f>
          <c:strCache>
            <c:ptCount val="1"/>
            <c:pt idx="0">
              <c:v>Endeavour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'Res Flat rate'!$C$52</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rate'!$D$52:$J$52</c:f>
              <c:numCache>
                <c:formatCode>#,##0</c:formatCode>
                <c:ptCount val="7"/>
                <c:pt idx="0">
                  <c:v>0</c:v>
                </c:pt>
                <c:pt idx="1">
                  <c:v>2411.3630582255041</c:v>
                </c:pt>
                <c:pt idx="2">
                  <c:v>2365.6087926156242</c:v>
                </c:pt>
                <c:pt idx="3">
                  <c:v>2338.7272948320738</c:v>
                </c:pt>
                <c:pt idx="4">
                  <c:v>2333.3606906090258</c:v>
                </c:pt>
                <c:pt idx="5">
                  <c:v>2328.3818160803144</c:v>
                </c:pt>
                <c:pt idx="6">
                  <c:v>0</c:v>
                </c:pt>
              </c:numCache>
            </c:numRef>
          </c:val>
          <c:extLst>
            <c:ext xmlns:c16="http://schemas.microsoft.com/office/drawing/2014/chart" uri="{C3380CC4-5D6E-409C-BE32-E72D297353CC}">
              <c16:uniqueId val="{00000000-10F9-4E69-A6C0-4875FB7503E8}"/>
            </c:ext>
          </c:extLst>
        </c:ser>
        <c:ser>
          <c:idx val="1"/>
          <c:order val="1"/>
          <c:tx>
            <c:strRef>
              <c:f>'Res Flat rate'!$C$53</c:f>
              <c:strCache>
                <c:ptCount val="1"/>
                <c:pt idx="0">
                  <c:v>Network cost</c:v>
                </c:pt>
              </c:strCache>
            </c:strRef>
          </c:tx>
          <c:spPr>
            <a:solidFill>
              <a:srgbClr val="89B3CE"/>
            </a:solidFill>
            <a:ln>
              <a:noFill/>
            </a:ln>
            <a:effectLst/>
          </c:spPr>
          <c:invertIfNegative val="0"/>
          <c:dLbls>
            <c:dLbl>
              <c:idx val="1"/>
              <c:layout>
                <c:manualLayout>
                  <c:x val="-1.8266852445913396E-3"/>
                  <c:y val="-4.4532637754646012E-2"/>
                </c:manualLayout>
              </c:layout>
              <c:tx>
                <c:strRef>
                  <c:f>'Res Flat rate'!$K$53</c:f>
                  <c:strCache>
                    <c:ptCount val="1"/>
                    <c:pt idx="0">
                      <c:v>+80.1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{1A4638B3-6AEE-42A7-9195-A021006582C7}</c15:txfldGUID>
                      <c15:f>'Res Flat rate'!$K$53</c15:f>
                      <c15:dlblFieldTableCache>
                        <c:ptCount val="1"/>
                        <c:pt idx="0">
                          <c:v>+80.1</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rate'!$D$53:$J$53</c:f>
              <c:numCache>
                <c:formatCode>#,##0.0</c:formatCode>
                <c:ptCount val="7"/>
                <c:pt idx="0" formatCode="#,##0">
                  <c:v>836.50737499999991</c:v>
                </c:pt>
                <c:pt idx="1">
                  <c:v>80.078477802521093</c:v>
                </c:pt>
                <c:pt idx="6" formatCode="#,##0">
                  <c:v>916.585852802521</c:v>
                </c:pt>
              </c:numCache>
            </c:numRef>
          </c:val>
          <c:extLst>
            <c:ext xmlns:c16="http://schemas.microsoft.com/office/drawing/2014/chart" uri="{C3380CC4-5D6E-409C-BE32-E72D297353CC}">
              <c16:uniqueId val="{00000001-10F9-4E69-A6C0-4875FB7503E8}"/>
            </c:ext>
          </c:extLst>
        </c:ser>
        <c:ser>
          <c:idx val="2"/>
          <c:order val="2"/>
          <c:tx>
            <c:strRef>
              <c:f>'Res Flat rate'!$C$54</c:f>
              <c:strCache>
                <c:ptCount val="1"/>
                <c:pt idx="0">
                  <c:v>Wholesale cost</c:v>
                </c:pt>
              </c:strCache>
            </c:strRef>
          </c:tx>
          <c:spPr>
            <a:solidFill>
              <a:srgbClr val="E06026"/>
            </a:solidFill>
            <a:ln>
              <a:noFill/>
            </a:ln>
            <a:effectLst/>
          </c:spPr>
          <c:invertIfNegative val="0"/>
          <c:dLbls>
            <c:dLbl>
              <c:idx val="2"/>
              <c:layout>
                <c:manualLayout>
                  <c:x val="-1.8266511521067392E-3"/>
                  <c:y val="-3.7208275436158712E-2"/>
                </c:manualLayout>
              </c:layout>
              <c:tx>
                <c:strRef>
                  <c:f>'Res Flat rate'!$K$54</c:f>
                  <c:strCache>
                    <c:ptCount val="1"/>
                    <c:pt idx="0">
                      <c:v>-125.8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{7F84CFD3-3D79-4C11-B8BE-9198BBE2C5FF}</c15:txfldGUID>
                      <c15:f>'Res Flat rate'!$K$54</c15:f>
                      <c15:dlblFieldTableCache>
                        <c:ptCount val="1"/>
                        <c:pt idx="0">
                          <c:v>-125.8</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rate'!$D$54:$J$54</c:f>
              <c:numCache>
                <c:formatCode>#,##0.0</c:formatCode>
                <c:ptCount val="7"/>
                <c:pt idx="0" formatCode="#,##0">
                  <c:v>998.46091350140671</c:v>
                </c:pt>
                <c:pt idx="2">
                  <c:v>125.8327434124011</c:v>
                </c:pt>
                <c:pt idx="6" formatCode="#,##0">
                  <c:v>872.62817008900561</c:v>
                </c:pt>
              </c:numCache>
            </c:numRef>
          </c:val>
          <c:extLst>
            <c:ext xmlns:c16="http://schemas.microsoft.com/office/drawing/2014/chart" uri="{C3380CC4-5D6E-409C-BE32-E72D297353CC}">
              <c16:uniqueId val="{00000002-10F9-4E69-A6C0-4875FB7503E8}"/>
            </c:ext>
          </c:extLst>
        </c:ser>
        <c:ser>
          <c:idx val="3"/>
          <c:order val="3"/>
          <c:tx>
            <c:strRef>
              <c:f>'Res Flat rate'!$C$55</c:f>
              <c:strCache>
                <c:ptCount val="1"/>
                <c:pt idx="0">
                  <c:v>Environmental cost</c:v>
                </c:pt>
              </c:strCache>
            </c:strRef>
          </c:tx>
          <c:spPr>
            <a:solidFill>
              <a:srgbClr val="5F9E88"/>
            </a:solidFill>
            <a:ln>
              <a:noFill/>
            </a:ln>
            <a:effectLst/>
          </c:spPr>
          <c:invertIfNegative val="0"/>
          <c:dLbls>
            <c:dLbl>
              <c:idx val="3"/>
              <c:layout>
                <c:manualLayout>
                  <c:x val="-1.8289517089052393E-3"/>
                  <c:y val="4.3080608838702461E-2"/>
                </c:manualLayout>
              </c:layout>
              <c:tx>
                <c:strRef>
                  <c:f>'Res Flat rate'!$K$55</c:f>
                  <c:strCache>
                    <c:ptCount val="1"/>
                    <c:pt idx="0">
                      <c:v>-26.9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{EB005D6E-B316-4D86-AD4B-74D9ED41FE39}</c15:txfldGUID>
                      <c15:f>'Res Flat rate'!$K$55</c15:f>
                      <c15:dlblFieldTableCache>
                        <c:ptCount val="1"/>
                        <c:pt idx="0">
                          <c:v>-26.9</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rate'!$D$55:$J$55</c:f>
              <c:numCache>
                <c:formatCode>#,##0.0</c:formatCode>
                <c:ptCount val="7"/>
                <c:pt idx="0" formatCode="#,##0">
                  <c:v>87.407325012464099</c:v>
                </c:pt>
                <c:pt idx="3">
                  <c:v>26.881497783550387</c:v>
                </c:pt>
                <c:pt idx="6" formatCode="#,##0">
                  <c:v>60.525827228913712</c:v>
                </c:pt>
              </c:numCache>
            </c:numRef>
          </c:val>
          <c:extLst>
            <c:ext xmlns:c16="http://schemas.microsoft.com/office/drawing/2014/chart" uri="{C3380CC4-5D6E-409C-BE32-E72D297353CC}">
              <c16:uniqueId val="{00000003-10F9-4E69-A6C0-4875FB7503E8}"/>
            </c:ext>
          </c:extLst>
        </c:ser>
        <c:ser>
          <c:idx val="4"/>
          <c:order val="4"/>
          <c:tx>
            <c:strRef>
              <c:f>'Res Flat rate'!$C$56</c:f>
              <c:strCache>
                <c:ptCount val="1"/>
                <c:pt idx="0">
                  <c:v>Retail cost</c:v>
                </c:pt>
              </c:strCache>
            </c:strRef>
          </c:tx>
          <c:spPr>
            <a:solidFill>
              <a:srgbClr val="F0B9B3"/>
            </a:solidFill>
            <a:ln>
              <a:noFill/>
            </a:ln>
            <a:effectLst/>
          </c:spPr>
          <c:invertIfNegative val="0"/>
          <c:dLbls>
            <c:dLbl>
              <c:idx val="4"/>
              <c:layout>
                <c:manualLayout>
                  <c:x val="3.6430275872582933E-3"/>
                  <c:y val="-4.596311408700573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a:t>
                    </a:r>
                    <a:fld id="{CEBA2E1D-A966-40DB-9875-26D879015424}" type="VALUE">
                      <a:rPr lang="en-US">
                        <a:latin typeface="Arial" panose="020B0604020202020204" pitchFamily="34" charset="0"/>
                        <a:cs typeface="Arial" panose="020B0604020202020204" pitchFamily="34" charset="0"/>
                      </a:rPr>
                      <a:pPr>
                        <a:defRPr>
                          <a:latin typeface="Arial" panose="020B0604020202020204" pitchFamily="34" charset="0"/>
                          <a:cs typeface="Arial" panose="020B0604020202020204" pitchFamily="34" charset="0"/>
                        </a:defRPr>
                      </a:pPr>
                      <a:t>[VALUE]</a:t>
                    </a:fld>
                    <a:endParaRPr lang="en-US">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7318388480128511E-2"/>
                      <c:h val="6.1025059494338056E-2"/>
                    </c:manualLayout>
                  </c15:layout>
                  <c15:dlblFieldTable/>
                  <c15:showDataLabelsRange val="0"/>
                </c:ext>
                <c:ext xmlns:c16="http://schemas.microsoft.com/office/drawing/2014/chart" uri="{C3380CC4-5D6E-409C-BE32-E72D297353CC}">
                  <c16:uniqueId val="{00000000-A32B-4DB7-A477-F0B98BBF22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rate'!$D$56:$J$56</c:f>
              <c:numCache>
                <c:formatCode>#,##0.0</c:formatCode>
                <c:ptCount val="7"/>
                <c:pt idx="0" formatCode="#,##0">
                  <c:v>344.30566121810301</c:v>
                </c:pt>
                <c:pt idx="4">
                  <c:v>5.3666042230481139</c:v>
                </c:pt>
                <c:pt idx="6" formatCode="#,##0">
                  <c:v>338.9390569950549</c:v>
                </c:pt>
              </c:numCache>
            </c:numRef>
          </c:val>
          <c:extLst>
            <c:ext xmlns:c16="http://schemas.microsoft.com/office/drawing/2014/chart" uri="{C3380CC4-5D6E-409C-BE32-E72D297353CC}">
              <c16:uniqueId val="{00000004-10F9-4E69-A6C0-4875FB7503E8}"/>
            </c:ext>
          </c:extLst>
        </c:ser>
        <c:ser>
          <c:idx val="5"/>
          <c:order val="5"/>
          <c:tx>
            <c:strRef>
              <c:f>'Res Flat rate'!$C$57</c:f>
              <c:strCache>
                <c:ptCount val="1"/>
                <c:pt idx="0">
                  <c:v>Retail margin</c:v>
                </c:pt>
              </c:strCache>
            </c:strRef>
          </c:tx>
          <c:spPr>
            <a:solidFill>
              <a:srgbClr val="303F51"/>
            </a:solidFill>
            <a:ln>
              <a:noFill/>
            </a:ln>
            <a:effectLst/>
          </c:spPr>
          <c:invertIfNegative val="0"/>
          <c:dLbls>
            <c:dLbl>
              <c:idx val="5"/>
              <c:layout>
                <c:manualLayout>
                  <c:x val="9.134718815885719E-4"/>
                  <c:y val="-3.5299228570059592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A75910C5-8076-437B-B97C-6D4E3D804087}"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3842098662014929E-2"/>
                      <c:h val="5.6952640901750673E-2"/>
                    </c:manualLayout>
                  </c15:layout>
                  <c15:dlblFieldTable/>
                  <c15:showDataLabelsRange val="0"/>
                </c:ext>
                <c:ext xmlns:c16="http://schemas.microsoft.com/office/drawing/2014/chart" uri="{C3380CC4-5D6E-409C-BE32-E72D297353CC}">
                  <c16:uniqueId val="{00000001-A32B-4DB7-A477-F0B98BBF22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rate'!$D$57:$J$57</c:f>
              <c:numCache>
                <c:formatCode>#,##0.0</c:formatCode>
                <c:ptCount val="7"/>
                <c:pt idx="0" formatCode="#,##0">
                  <c:v>144.68178349353047</c:v>
                </c:pt>
                <c:pt idx="5">
                  <c:v>4.978874528711458</c:v>
                </c:pt>
                <c:pt idx="6" formatCode="#,##0">
                  <c:v>139.70290896481902</c:v>
                </c:pt>
              </c:numCache>
            </c:numRef>
          </c:val>
          <c:extLst>
            <c:ext xmlns:c16="http://schemas.microsoft.com/office/drawing/2014/chart" uri="{C3380CC4-5D6E-409C-BE32-E72D297353CC}">
              <c16:uniqueId val="{00000003-49B2-45E7-829C-440C2C7D1AEF}"/>
            </c:ext>
          </c:extLst>
        </c:ser>
        <c:ser>
          <c:idx val="6"/>
          <c:order val="6"/>
          <c:tx>
            <c:strRef>
              <c:f>'Res Flat rate'!$C$58</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rate'!$D$58:$J$58</c:f>
              <c:numCache>
                <c:formatCode>#,##0</c:formatCode>
                <c:ptCount val="7"/>
                <c:pt idx="0">
                  <c:v>2411</c:v>
                </c:pt>
                <c:pt idx="6">
                  <c:v>2328</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7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SAPN!$C$3</c:f>
          <c:strCache>
            <c:ptCount val="1"/>
            <c:pt idx="0">
              <c:v>SAPN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SAPN!$H$35</c:f>
              <c:strCache>
                <c:ptCount val="1"/>
                <c:pt idx="0">
                  <c:v>Wholesale cost</c:v>
                </c:pt>
              </c:strCache>
            </c:strRef>
          </c:tx>
          <c:spPr>
            <a:solidFill>
              <a:srgbClr val="89B3CE"/>
            </a:solidFill>
            <a:ln>
              <a:noFill/>
            </a:ln>
            <a:effectLst/>
          </c:spPr>
          <c:invertIfNegative val="0"/>
          <c:dLbls>
            <c:dLbl>
              <c:idx val="0"/>
              <c:tx>
                <c:strRef>
                  <c:f>SAPN!$L$35</c:f>
                  <c:strCache>
                    <c:ptCount val="1"/>
                    <c:pt idx="0">
                      <c:v>37.3%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{23EE650C-4CD7-471B-99DC-D4169494AB0D}</c15:txfldGUID>
                      <c15:f>SAPN!$L$35</c15:f>
                      <c15:dlblFieldTableCache>
                        <c:ptCount val="1"/>
                        <c:pt idx="0">
                          <c:v>37.3%</c:v>
                        </c:pt>
                      </c15:dlblFieldTableCache>
                    </c15:dlblFTEntry>
                  </c15:dlblFieldTable>
                  <c15:showDataLabelsRange val="0"/>
                </c:ext>
                <c:ext xmlns:c16="http://schemas.microsoft.com/office/drawing/2014/chart" uri="{C3380CC4-5D6E-409C-BE32-E72D297353CC}">
                  <c16:uniqueId val="{00000000-792F-4E76-80DC-23EEAB2C7FC9}"/>
                </c:ext>
              </c:extLst>
            </c:dLbl>
            <c:dLbl>
              <c:idx val="1"/>
              <c:tx>
                <c:strRef>
                  <c:f>SAPN!$Q$35</c:f>
                  <c:strCache>
                    <c:ptCount val="1"/>
                    <c:pt idx="0">
                      <c:v>36.1%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{17688208-4C55-42ED-961C-B4229FBE3DC1}</c15:txfldGUID>
                      <c15:f>SAPN!$Q$35</c15:f>
                      <c15:dlblFieldTableCache>
                        <c:ptCount val="1"/>
                        <c:pt idx="0">
                          <c:v>36.1%</c:v>
                        </c:pt>
                      </c15:dlblFieldTableCache>
                    </c15:dlblFTEntry>
                  </c15:dlblFieldTable>
                  <c15:showDataLabelsRange val="0"/>
                </c:ext>
                <c:ext xmlns:c16="http://schemas.microsoft.com/office/drawing/2014/chart" uri="{C3380CC4-5D6E-409C-BE32-E72D297353CC}">
                  <c16:uniqueId val="{00000001-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(SAPN!$K$35,SAPN!$P$35)</c:f>
              <c:numCache>
                <c:formatCode>#,##0.00</c:formatCode>
                <c:ptCount val="2"/>
                <c:pt idx="0">
                  <c:v>858.79927885285167</c:v>
                </c:pt>
                <c:pt idx="1">
                  <c:v>842.80447029760967</c:v>
                </c:pt>
              </c:numCache>
            </c:numRef>
          </c:val>
          <c:extLst>
            <c:ext xmlns:c16="http://schemas.microsoft.com/office/drawing/2014/chart" uri="{C3380CC4-5D6E-409C-BE32-E72D297353CC}">
              <c16:uniqueId val="{00000002-792F-4E76-80DC-23EEAB2C7FC9}"/>
            </c:ext>
          </c:extLst>
        </c:ser>
        <c:ser>
          <c:idx val="1"/>
          <c:order val="1"/>
          <c:tx>
            <c:strRef>
              <c:f>SAPN!$H$36</c:f>
              <c:strCache>
                <c:ptCount val="1"/>
                <c:pt idx="0">
                  <c:v>Network cost</c:v>
                </c:pt>
              </c:strCache>
            </c:strRef>
          </c:tx>
          <c:spPr>
            <a:solidFill>
              <a:srgbClr val="E06026"/>
            </a:solidFill>
            <a:ln>
              <a:noFill/>
            </a:ln>
            <a:effectLst/>
          </c:spPr>
          <c:invertIfNegative val="0"/>
          <c:dLbls>
            <c:dLbl>
              <c:idx val="0"/>
              <c:tx>
                <c:strRef>
                  <c:f>SAPN!$L$36</c:f>
                  <c:strCache>
                    <c:ptCount val="1"/>
                    <c:pt idx="0">
                      <c:v>39.0%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{2C31358D-142F-425D-AF97-F0BBF200DE77}</c15:txfldGUID>
                      <c15:f>SAPN!$L$36</c15:f>
                      <c15:dlblFieldTableCache>
                        <c:ptCount val="1"/>
                        <c:pt idx="0">
                          <c:v>39.0%</c:v>
                        </c:pt>
                      </c15:dlblFieldTableCache>
                    </c15:dlblFTEntry>
                  </c15:dlblFieldTable>
                  <c15:showDataLabelsRange val="0"/>
                </c:ext>
                <c:ext xmlns:c16="http://schemas.microsoft.com/office/drawing/2014/chart" uri="{C3380CC4-5D6E-409C-BE32-E72D297353CC}">
                  <c16:uniqueId val="{00000003-792F-4E76-80DC-23EEAB2C7FC9}"/>
                </c:ext>
              </c:extLst>
            </c:dLbl>
            <c:dLbl>
              <c:idx val="1"/>
              <c:tx>
                <c:strRef>
                  <c:f>SAPN!$Q$36</c:f>
                  <c:strCache>
                    <c:ptCount val="1"/>
                    <c:pt idx="0">
                      <c:v>41.7%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{1A3AF646-E17C-4A31-A95F-7509E3BB9D72}</c15:txfldGUID>
                      <c15:f>SAPN!$Q$36</c15:f>
                      <c15:dlblFieldTableCache>
                        <c:ptCount val="1"/>
                        <c:pt idx="0">
                          <c:v>41.7%</c:v>
                        </c:pt>
                      </c15:dlblFieldTableCache>
                    </c15:dlblFTEntry>
                  </c15:dlblFieldTable>
                  <c15:showDataLabelsRange val="0"/>
                </c:ext>
                <c:ext xmlns:c16="http://schemas.microsoft.com/office/drawing/2014/chart" uri="{C3380CC4-5D6E-409C-BE32-E72D297353CC}">
                  <c16:uniqueId val="{00000004-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(SAPN!$K$36,SAPN!$P$36)</c:f>
              <c:numCache>
                <c:formatCode>#,##0.00</c:formatCode>
                <c:ptCount val="2"/>
                <c:pt idx="0">
                  <c:v>896.99139399817057</c:v>
                </c:pt>
                <c:pt idx="1">
                  <c:v>974.34236902420878</c:v>
                </c:pt>
              </c:numCache>
            </c:numRef>
          </c:val>
          <c:extLst>
            <c:ext xmlns:c16="http://schemas.microsoft.com/office/drawing/2014/chart" uri="{C3380CC4-5D6E-409C-BE32-E72D297353CC}">
              <c16:uniqueId val="{00000005-792F-4E76-80DC-23EEAB2C7FC9}"/>
            </c:ext>
          </c:extLst>
        </c:ser>
        <c:ser>
          <c:idx val="2"/>
          <c:order val="2"/>
          <c:tx>
            <c:strRef>
              <c:f>SAPN!$H$37</c:f>
              <c:strCache>
                <c:ptCount val="1"/>
                <c:pt idx="0">
                  <c:v>Environmental cost</c:v>
                </c:pt>
              </c:strCache>
            </c:strRef>
          </c:tx>
          <c:spPr>
            <a:solidFill>
              <a:srgbClr val="5F9E88"/>
            </a:solidFill>
            <a:ln>
              <a:noFill/>
            </a:ln>
            <a:effectLst/>
          </c:spPr>
          <c:invertIfNegative val="0"/>
          <c:dLbls>
            <c:dLbl>
              <c:idx val="0"/>
              <c:tx>
                <c:strRef>
                  <c:f>SAPN!$L$37</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{BDCBC214-65B4-45AA-BE1F-5DF210A7312C}</c15:txfldGUID>
                      <c15:f>SAPN!$L$37</c15:f>
                      <c15:dlblFieldTableCache>
                        <c:ptCount val="1"/>
                        <c:pt idx="0">
                          <c:v>3.1%</c:v>
                        </c:pt>
                      </c15:dlblFieldTableCache>
                    </c15:dlblFTEntry>
                  </c15:dlblFieldTable>
                  <c15:showDataLabelsRange val="0"/>
                </c:ext>
                <c:ext xmlns:c16="http://schemas.microsoft.com/office/drawing/2014/chart" uri="{C3380CC4-5D6E-409C-BE32-E72D297353CC}">
                  <c16:uniqueId val="{00000006-792F-4E76-80DC-23EEAB2C7FC9}"/>
                </c:ext>
              </c:extLst>
            </c:dLbl>
            <c:dLbl>
              <c:idx val="1"/>
              <c:tx>
                <c:strRef>
                  <c:f>SAPN!$Q$37</c:f>
                  <c:strCache>
                    <c:ptCount val="1"/>
                    <c:pt idx="0">
                      <c:v>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{50009A5C-DB2F-43BD-8A3B-2FA00554703A}</c15:txfldGUID>
                      <c15:f>SAPN!$Q$37</c15:f>
                      <c15:dlblFieldTableCache>
                        <c:ptCount val="1"/>
                        <c:pt idx="0">
                          <c:v>2.0%</c:v>
                        </c:pt>
                      </c15:dlblFieldTableCache>
                    </c15:dlblFTEntry>
                  </c15:dlblFieldTable>
                  <c15:showDataLabelsRange val="0"/>
                </c:ext>
                <c:ext xmlns:c16="http://schemas.microsoft.com/office/drawing/2014/chart" uri="{C3380CC4-5D6E-409C-BE32-E72D297353CC}">
                  <c16:uniqueId val="{00000007-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(SAPN!$K$37,SAPN!$P$37)</c:f>
              <c:numCache>
                <c:formatCode>#,##0.00</c:formatCode>
                <c:ptCount val="2"/>
                <c:pt idx="0">
                  <c:v>72.246775704569899</c:v>
                </c:pt>
                <c:pt idx="1">
                  <c:v>46.721661594593286</c:v>
                </c:pt>
              </c:numCache>
            </c:numRef>
          </c:val>
          <c:extLst>
            <c:ext xmlns:c16="http://schemas.microsoft.com/office/drawing/2014/chart" uri="{C3380CC4-5D6E-409C-BE32-E72D297353CC}">
              <c16:uniqueId val="{00000008-792F-4E76-80DC-23EEAB2C7FC9}"/>
            </c:ext>
          </c:extLst>
        </c:ser>
        <c:ser>
          <c:idx val="3"/>
          <c:order val="3"/>
          <c:tx>
            <c:strRef>
              <c:f>SAPN!$H$38</c:f>
              <c:strCache>
                <c:ptCount val="1"/>
                <c:pt idx="0">
                  <c:v>Retail cost</c:v>
                </c:pt>
              </c:strCache>
            </c:strRef>
          </c:tx>
          <c:spPr>
            <a:solidFill>
              <a:srgbClr val="F0B9B3"/>
            </a:solidFill>
            <a:ln>
              <a:noFill/>
            </a:ln>
            <a:effectLst/>
          </c:spPr>
          <c:invertIfNegative val="0"/>
          <c:dLbls>
            <c:dLbl>
              <c:idx val="0"/>
              <c:tx>
                <c:rich>
                  <a:bodyPr/>
                  <a:lstStyle/>
                  <a:p>
                    <a:fld id="{4612FA69-5FB9-4D5F-BBF4-4925E433E7B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92F-4E76-80DC-23EEAB2C7FC9}"/>
                </c:ext>
              </c:extLst>
            </c:dLbl>
            <c:dLbl>
              <c:idx val="1"/>
              <c:tx>
                <c:rich>
                  <a:bodyPr/>
                  <a:lstStyle/>
                  <a:p>
                    <a:fld id="{5AECAD50-A1D4-4C44-8196-014CDDD9646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(SAPN!$K$38,SAPN!$P$38)</c:f>
              <c:numCache>
                <c:formatCode>#,##0.00</c:formatCode>
                <c:ptCount val="2"/>
                <c:pt idx="0">
                  <c:v>334.4739968776168</c:v>
                </c:pt>
                <c:pt idx="1">
                  <c:v>329.71517444537096</c:v>
                </c:pt>
              </c:numCache>
            </c:numRef>
          </c:val>
          <c:extLst>
            <c:ext xmlns:c15="http://schemas.microsoft.com/office/drawing/2012/chart" uri="{02D57815-91ED-43cb-92C2-25804820EDAC}">
              <c15:datalabelsRange>
                <c15:f>(SAPN!$L$38,SAPN!$Q$38)</c15:f>
                <c15:dlblRangeCache>
                  <c:ptCount val="2"/>
                  <c:pt idx="0">
                    <c:v>14.5%</c:v>
                  </c:pt>
                  <c:pt idx="1">
                    <c:v>14.1%</c:v>
                  </c:pt>
                </c15:dlblRangeCache>
              </c15:datalabelsRange>
            </c:ext>
            <c:ext xmlns:c16="http://schemas.microsoft.com/office/drawing/2014/chart" uri="{C3380CC4-5D6E-409C-BE32-E72D297353CC}">
              <c16:uniqueId val="{0000000B-792F-4E76-80DC-23EEAB2C7FC9}"/>
            </c:ext>
          </c:extLst>
        </c:ser>
        <c:ser>
          <c:idx val="5"/>
          <c:order val="4"/>
          <c:tx>
            <c:strRef>
              <c:f>SAPN!$H$39</c:f>
              <c:strCache>
                <c:ptCount val="1"/>
                <c:pt idx="0">
                  <c:v>Retail margin</c:v>
                </c:pt>
              </c:strCache>
            </c:strRef>
          </c:tx>
          <c:spPr>
            <a:solidFill>
              <a:srgbClr val="303F51"/>
            </a:solidFill>
            <a:ln>
              <a:noFill/>
            </a:ln>
            <a:effectLst/>
          </c:spPr>
          <c:invertIfNegative val="0"/>
          <c:dLbls>
            <c:dLbl>
              <c:idx val="0"/>
              <c:tx>
                <c:rich>
                  <a:bodyPr/>
                  <a:lstStyle/>
                  <a:p>
                    <a:fld id="{99BE2601-ACC4-4329-9AAF-B5963E3C06F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92F-4E76-80DC-23EEAB2C7FC9}"/>
                </c:ext>
              </c:extLst>
            </c:dLbl>
            <c:dLbl>
              <c:idx val="1"/>
              <c:tx>
                <c:rich>
                  <a:bodyPr/>
                  <a:lstStyle/>
                  <a:p>
                    <a:fld id="{B31409D3-86DB-4758-A411-FB8DDC7F0C9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(SAPN!$K$39,SAPN!$P$39)</c:f>
              <c:numCache>
                <c:formatCode>#,##0.00</c:formatCode>
                <c:ptCount val="2"/>
                <c:pt idx="0">
                  <c:v>138.0326454531837</c:v>
                </c:pt>
                <c:pt idx="1">
                  <c:v>140.01597927841158</c:v>
                </c:pt>
              </c:numCache>
            </c:numRef>
          </c:val>
          <c:extLst>
            <c:ext xmlns:c15="http://schemas.microsoft.com/office/drawing/2012/chart" uri="{02D57815-91ED-43cb-92C2-25804820EDAC}">
              <c15:datalabelsRange>
                <c15:f>(SAPN!$L$39,SAPN!$Q$39)</c15:f>
                <c15:dlblRangeCache>
                  <c:ptCount val="2"/>
                  <c:pt idx="0">
                    <c:v>6.0%</c:v>
                  </c:pt>
                  <c:pt idx="1">
                    <c:v>6.0%</c:v>
                  </c:pt>
                </c15:dlblRangeCache>
              </c15:datalabelsRange>
            </c:ext>
            <c:ext xmlns:c16="http://schemas.microsoft.com/office/drawing/2014/chart" uri="{C3380CC4-5D6E-409C-BE32-E72D297353CC}">
              <c16:uniqueId val="{0000000E-792F-4E76-80DC-23EEAB2C7FC9}"/>
            </c:ext>
          </c:extLst>
        </c:ser>
        <c:ser>
          <c:idx val="4"/>
          <c:order val="5"/>
          <c:tx>
            <c:v>DMO</c:v>
          </c:tx>
          <c:spPr>
            <a:noFill/>
            <a:ln>
              <a:noFill/>
            </a:ln>
            <a:effectLst/>
          </c:spPr>
          <c:invertIfNegative val="0"/>
          <c:dLbls>
            <c:dLbl>
              <c:idx val="0"/>
              <c:layout>
                <c:manualLayout>
                  <c:x val="8.8831275730219903E-3"/>
                  <c:y val="0.15433505255405564"/>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AC4B-4CFE-BF90-0DCCF122F552}"/>
                </c:ext>
              </c:extLst>
            </c:dLbl>
            <c:dLbl>
              <c:idx val="1"/>
              <c:layout>
                <c:manualLayout>
                  <c:x val="5.7836761644018287E-3"/>
                  <c:y val="0.16380228312039447"/>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455-44AE-BE35-45552F69177D}"/>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(SAPN!$J$34,SAPN!$J$40)</c:f>
              <c:numCache>
                <c:formatCode>#,##0</c:formatCode>
                <c:ptCount val="2"/>
                <c:pt idx="0">
                  <c:v>2301</c:v>
                </c:pt>
                <c:pt idx="1">
                  <c:v>2334</c:v>
                </c:pt>
              </c:numCache>
            </c:numRef>
          </c:val>
          <c:extLst>
            <c:ext xmlns:c16="http://schemas.microsoft.com/office/drawing/2014/chart" uri="{C3380CC4-5D6E-409C-BE32-E72D297353CC}">
              <c16:uniqueId val="{0000000F-792F-4E76-80DC-23EEAB2C7FC9}"/>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6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SAPN!$F$3</c:f>
          <c:strCache>
            <c:ptCount val="1"/>
            <c:pt idx="0">
              <c:v>SAPN Small Business Flat rate</c:v>
            </c:pt>
          </c:strCache>
        </c:strRef>
      </c:tx>
      <c:layout>
        <c:manualLayout>
          <c:xMode val="edge"/>
          <c:yMode val="edge"/>
          <c:x val="0.27947750395272303"/>
          <c:y val="4.50035037176614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7960850519928629E-2"/>
          <c:y val="0.14294558017312567"/>
          <c:w val="0.69585401089569698"/>
          <c:h val="0.76135203087237857"/>
        </c:manualLayout>
      </c:layout>
      <c:barChart>
        <c:barDir val="col"/>
        <c:grouping val="stacked"/>
        <c:varyColors val="0"/>
        <c:ser>
          <c:idx val="0"/>
          <c:order val="0"/>
          <c:tx>
            <c:strRef>
              <c:f>SAPN!$H$35</c:f>
              <c:strCache>
                <c:ptCount val="1"/>
                <c:pt idx="0">
                  <c:v>Wholesale cost</c:v>
                </c:pt>
              </c:strCache>
            </c:strRef>
          </c:tx>
          <c:spPr>
            <a:solidFill>
              <a:srgbClr val="89B3CE"/>
            </a:solidFill>
            <a:ln>
              <a:noFill/>
            </a:ln>
            <a:effectLst/>
          </c:spPr>
          <c:invertIfNegative val="0"/>
          <c:dLbls>
            <c:dLbl>
              <c:idx val="0"/>
              <c:tx>
                <c:strRef>
                  <c:f>SAPN!$AD$35</c:f>
                  <c:strCache>
                    <c:ptCount val="1"/>
                    <c:pt idx="0">
                      <c:v>38.3%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{AAD00409-C6B2-45B6-B72C-7E6E0F354EA3}</c15:txfldGUID>
                      <c15:f>SAPN!$AD$35</c15:f>
                      <c15:dlblFieldTableCache>
                        <c:ptCount val="1"/>
                        <c:pt idx="0">
                          <c:v>38.3%</c:v>
                        </c:pt>
                      </c15:dlblFieldTableCache>
                    </c15:dlblFTEntry>
                  </c15:dlblFieldTable>
                  <c15:showDataLabelsRange val="0"/>
                </c:ext>
                <c:ext xmlns:c16="http://schemas.microsoft.com/office/drawing/2014/chart" uri="{C3380CC4-5D6E-409C-BE32-E72D297353CC}">
                  <c16:uniqueId val="{00000000-AC80-4290-B641-BD4014284EA8}"/>
                </c:ext>
              </c:extLst>
            </c:dLbl>
            <c:dLbl>
              <c:idx val="1"/>
              <c:tx>
                <c:strRef>
                  <c:f>SAPN!$AI$35</c:f>
                  <c:strCache>
                    <c:ptCount val="1"/>
                    <c:pt idx="0">
                      <c:v>40.4%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{555F3F3E-4321-4D69-850C-A5677A12DAE7}</c15:txfldGUID>
                      <c15:f>SAPN!$AI$35</c15:f>
                      <c15:dlblFieldTableCache>
                        <c:ptCount val="1"/>
                        <c:pt idx="0">
                          <c:v>40.4%</c:v>
                        </c:pt>
                      </c15:dlblFieldTableCache>
                    </c15:dlblFTEntry>
                  </c15:dlblFieldTable>
                  <c15:showDataLabelsRange val="0"/>
                </c:ext>
                <c:ext xmlns:c16="http://schemas.microsoft.com/office/drawing/2014/chart" uri="{C3380CC4-5D6E-409C-BE32-E72D297353CC}">
                  <c16:uniqueId val="{00000001-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(SAPN!$AC$35,SAPN!$AH$35)</c:f>
              <c:numCache>
                <c:formatCode>#,##0.00</c:formatCode>
                <c:ptCount val="2"/>
                <c:pt idx="0">
                  <c:v>2124.1700443102077</c:v>
                </c:pt>
                <c:pt idx="1">
                  <c:v>2085.3542657440239</c:v>
                </c:pt>
              </c:numCache>
            </c:numRef>
          </c:val>
          <c:extLst>
            <c:ext xmlns:c16="http://schemas.microsoft.com/office/drawing/2014/chart" uri="{C3380CC4-5D6E-409C-BE32-E72D297353CC}">
              <c16:uniqueId val="{00000002-AC80-4290-B641-BD4014284EA8}"/>
            </c:ext>
          </c:extLst>
        </c:ser>
        <c:ser>
          <c:idx val="1"/>
          <c:order val="1"/>
          <c:tx>
            <c:strRef>
              <c:f>SAPN!$H$36</c:f>
              <c:strCache>
                <c:ptCount val="1"/>
                <c:pt idx="0">
                  <c:v>Network cost</c:v>
                </c:pt>
              </c:strCache>
            </c:strRef>
          </c:tx>
          <c:spPr>
            <a:solidFill>
              <a:srgbClr val="E06026"/>
            </a:solidFill>
            <a:ln>
              <a:noFill/>
            </a:ln>
            <a:effectLst/>
          </c:spPr>
          <c:invertIfNegative val="0"/>
          <c:dLbls>
            <c:dLbl>
              <c:idx val="0"/>
              <c:tx>
                <c:strRef>
                  <c:f>SAPN!$AD$36</c:f>
                  <c:strCache>
                    <c:ptCount val="1"/>
                    <c:pt idx="0">
                      <c:v>41.2%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{256594B7-D1E2-486E-B004-462050648668}</c15:txfldGUID>
                      <c15:f>SAPN!$AD$36</c15:f>
                      <c15:dlblFieldTableCache>
                        <c:ptCount val="1"/>
                        <c:pt idx="0">
                          <c:v>41.2%</c:v>
                        </c:pt>
                      </c15:dlblFieldTableCache>
                    </c15:dlblFTEntry>
                  </c15:dlblFieldTable>
                  <c15:showDataLabelsRange val="0"/>
                </c:ext>
                <c:ext xmlns:c16="http://schemas.microsoft.com/office/drawing/2014/chart" uri="{C3380CC4-5D6E-409C-BE32-E72D297353CC}">
                  <c16:uniqueId val="{00000003-AC80-4290-B641-BD4014284EA8}"/>
                </c:ext>
              </c:extLst>
            </c:dLbl>
            <c:dLbl>
              <c:idx val="1"/>
              <c:tx>
                <c:strRef>
                  <c:f>SAPN!$AI$36</c:f>
                  <c:strCache>
                    <c:ptCount val="1"/>
                    <c:pt idx="0">
                      <c:v>44.7%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{E0F11E09-1247-4580-9A83-69608BC7BF7C}</c15:txfldGUID>
                      <c15:f>SAPN!$AI$36</c15:f>
                      <c15:dlblFieldTableCache>
                        <c:ptCount val="1"/>
                        <c:pt idx="0">
                          <c:v>44.7%</c:v>
                        </c:pt>
                      </c15:dlblFieldTableCache>
                    </c15:dlblFTEntry>
                  </c15:dlblFieldTable>
                  <c15:showDataLabelsRange val="0"/>
                </c:ext>
                <c:ext xmlns:c16="http://schemas.microsoft.com/office/drawing/2014/chart" uri="{C3380CC4-5D6E-409C-BE32-E72D297353CC}">
                  <c16:uniqueId val="{00000004-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(SAPN!$AC$36,SAPN!$AH$36)</c:f>
              <c:numCache>
                <c:formatCode>#,##0.00</c:formatCode>
                <c:ptCount val="2"/>
                <c:pt idx="0">
                  <c:v>2281.9764034447339</c:v>
                </c:pt>
                <c:pt idx="1">
                  <c:v>2305.0250266391299</c:v>
                </c:pt>
              </c:numCache>
            </c:numRef>
          </c:val>
          <c:extLst>
            <c:ext xmlns:c16="http://schemas.microsoft.com/office/drawing/2014/chart" uri="{C3380CC4-5D6E-409C-BE32-E72D297353CC}">
              <c16:uniqueId val="{00000005-AC80-4290-B641-BD4014284EA8}"/>
            </c:ext>
          </c:extLst>
        </c:ser>
        <c:ser>
          <c:idx val="2"/>
          <c:order val="2"/>
          <c:tx>
            <c:strRef>
              <c:f>SAPN!$H$37</c:f>
              <c:strCache>
                <c:ptCount val="1"/>
                <c:pt idx="0">
                  <c:v>Environmental cost</c:v>
                </c:pt>
              </c:strCache>
            </c:strRef>
          </c:tx>
          <c:spPr>
            <a:solidFill>
              <a:srgbClr val="5F9E88"/>
            </a:solidFill>
            <a:ln>
              <a:noFill/>
            </a:ln>
            <a:effectLst/>
          </c:spPr>
          <c:invertIfNegative val="0"/>
          <c:dLbls>
            <c:dLbl>
              <c:idx val="0"/>
              <c:tx>
                <c:strRef>
                  <c:f>SAPN!$AD$37</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{DA7468DC-605E-489A-98CC-23BA46C3A5DC}</c15:txfldGUID>
                      <c15:f>SAPN!$AD$37</c15:f>
                      <c15:dlblFieldTableCache>
                        <c:ptCount val="1"/>
                        <c:pt idx="0">
                          <c:v>3.3%</c:v>
                        </c:pt>
                      </c15:dlblFieldTableCache>
                    </c15:dlblFTEntry>
                  </c15:dlblFieldTable>
                  <c15:showDataLabelsRange val="0"/>
                </c:ext>
                <c:ext xmlns:c16="http://schemas.microsoft.com/office/drawing/2014/chart" uri="{C3380CC4-5D6E-409C-BE32-E72D297353CC}">
                  <c16:uniqueId val="{00000006-AC80-4290-B641-BD4014284EA8}"/>
                </c:ext>
              </c:extLst>
            </c:dLbl>
            <c:dLbl>
              <c:idx val="1"/>
              <c:tx>
                <c:strRef>
                  <c:f>SAPN!$AI$37</c:f>
                  <c:strCache>
                    <c:ptCount val="1"/>
                    <c:pt idx="0">
                      <c:v>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{8BDE406B-D13E-442F-9DBD-613087EBDCE9}</c15:txfldGUID>
                      <c15:f>SAPN!$AI$37</c15:f>
                      <c15:dlblFieldTableCache>
                        <c:ptCount val="1"/>
                        <c:pt idx="0">
                          <c:v>2.3%</c:v>
                        </c:pt>
                      </c15:dlblFieldTableCache>
                    </c15:dlblFTEntry>
                  </c15:dlblFieldTable>
                  <c15:showDataLabelsRange val="0"/>
                </c:ext>
                <c:ext xmlns:c16="http://schemas.microsoft.com/office/drawing/2014/chart" uri="{C3380CC4-5D6E-409C-BE32-E72D297353CC}">
                  <c16:uniqueId val="{00000007-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(SAPN!$AC$37,SAPN!$AH$37)</c:f>
              <c:numCache>
                <c:formatCode>#,##0.00</c:formatCode>
                <c:ptCount val="2"/>
                <c:pt idx="0">
                  <c:v>180.61693926142473</c:v>
                </c:pt>
                <c:pt idx="1">
                  <c:v>116.80415398648321</c:v>
                </c:pt>
              </c:numCache>
            </c:numRef>
          </c:val>
          <c:extLst>
            <c:ext xmlns:c16="http://schemas.microsoft.com/office/drawing/2014/chart" uri="{C3380CC4-5D6E-409C-BE32-E72D297353CC}">
              <c16:uniqueId val="{00000008-AC80-4290-B641-BD4014284EA8}"/>
            </c:ext>
          </c:extLst>
        </c:ser>
        <c:ser>
          <c:idx val="3"/>
          <c:order val="3"/>
          <c:tx>
            <c:strRef>
              <c:f>SAPN!$H$38</c:f>
              <c:strCache>
                <c:ptCount val="1"/>
                <c:pt idx="0">
                  <c:v>Retail cost</c:v>
                </c:pt>
              </c:strCache>
            </c:strRef>
          </c:tx>
          <c:spPr>
            <a:solidFill>
              <a:srgbClr val="F0B9B3"/>
            </a:solidFill>
            <a:ln>
              <a:noFill/>
            </a:ln>
            <a:effectLst/>
          </c:spPr>
          <c:invertIfNegative val="0"/>
          <c:dLbls>
            <c:dLbl>
              <c:idx val="0"/>
              <c:tx>
                <c:strRef>
                  <c:f>SAPN!$AD$38</c:f>
                  <c:strCache>
                    <c:ptCount val="1"/>
                    <c:pt idx="0">
                      <c:v>6.2%</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{ABAE3765-2AAB-4062-979A-9F14854F22AD}</c15:txfldGUID>
                      <c15:f>SAPN!$AD$38</c15:f>
                      <c15:dlblFieldTableCache>
                        <c:ptCount val="1"/>
                        <c:pt idx="0">
                          <c:v>6.2%</c:v>
                        </c:pt>
                      </c15:dlblFieldTableCache>
                    </c15:dlblFTEntry>
                  </c15:dlblFieldTable>
                  <c15:showDataLabelsRange val="1"/>
                </c:ext>
                <c:ext xmlns:c16="http://schemas.microsoft.com/office/drawing/2014/chart" uri="{C3380CC4-5D6E-409C-BE32-E72D297353CC}">
                  <c16:uniqueId val="{00000009-AC80-4290-B641-BD4014284EA8}"/>
                </c:ext>
              </c:extLst>
            </c:dLbl>
            <c:dLbl>
              <c:idx val="1"/>
              <c:tx>
                <c:strRef>
                  <c:f>SAPN!$AI$38</c:f>
                  <c:strCache>
                    <c:ptCount val="1"/>
                    <c:pt idx="0">
                      <c:v>6.7%</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{6AAFB2A1-F81B-4D47-B7F2-4BD8E1AE611C}</c15:txfldGUID>
                      <c15:f>SAPN!$AI$38</c15:f>
                      <c15:dlblFieldTableCache>
                        <c:ptCount val="1"/>
                        <c:pt idx="0">
                          <c:v>6.7%</c:v>
                        </c:pt>
                      </c15:dlblFieldTableCache>
                    </c15:dlblFTEntry>
                  </c15:dlblFieldTable>
                  <c15:showDataLabelsRange val="1"/>
                </c:ext>
                <c:ext xmlns:c16="http://schemas.microsoft.com/office/drawing/2014/chart" uri="{C3380CC4-5D6E-409C-BE32-E72D297353CC}">
                  <c16:uniqueId val="{0000000A-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(SAPN!$AC$38,SAPN!$AH$38)</c:f>
              <c:numCache>
                <c:formatCode>#,##0.00</c:formatCode>
                <c:ptCount val="2"/>
                <c:pt idx="0">
                  <c:v>344.72810660251821</c:v>
                </c:pt>
                <c:pt idx="1">
                  <c:v>344.96804065276632</c:v>
                </c:pt>
              </c:numCache>
            </c:numRef>
          </c:val>
          <c:extLst>
            <c:ext xmlns:c15="http://schemas.microsoft.com/office/drawing/2012/chart" uri="{02D57815-91ED-43cb-92C2-25804820EDAC}">
              <c15:datalabelsRange>
                <c15:f>(SAPN!$L$38,SAPN!$Q$38)</c15:f>
                <c15:dlblRangeCache>
                  <c:ptCount val="2"/>
                  <c:pt idx="0">
                    <c:v>14.5%</c:v>
                  </c:pt>
                  <c:pt idx="1">
                    <c:v>14.1%</c:v>
                  </c:pt>
                </c15:dlblRangeCache>
              </c15:datalabelsRange>
            </c:ext>
            <c:ext xmlns:c16="http://schemas.microsoft.com/office/drawing/2014/chart" uri="{C3380CC4-5D6E-409C-BE32-E72D297353CC}">
              <c16:uniqueId val="{0000000B-AC80-4290-B641-BD4014284EA8}"/>
            </c:ext>
          </c:extLst>
        </c:ser>
        <c:ser>
          <c:idx val="5"/>
          <c:order val="4"/>
          <c:tx>
            <c:strRef>
              <c:f>SAPN!$H$39</c:f>
              <c:strCache>
                <c:ptCount val="1"/>
                <c:pt idx="0">
                  <c:v>Retail margin</c:v>
                </c:pt>
              </c:strCache>
            </c:strRef>
          </c:tx>
          <c:spPr>
            <a:solidFill>
              <a:srgbClr val="303F51"/>
            </a:solidFill>
            <a:ln>
              <a:noFill/>
            </a:ln>
            <a:effectLst/>
          </c:spPr>
          <c:invertIfNegative val="0"/>
          <c:dLbls>
            <c:dLbl>
              <c:idx val="0"/>
              <c:tx>
                <c:strRef>
                  <c:f>SAPN!$AD$39</c:f>
                  <c:strCache>
                    <c:ptCount val="1"/>
                    <c:pt idx="0">
                      <c:v>11.0%</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{F19CD3A9-C950-41F0-A361-6EB8DFBD3C5F}</c15:txfldGUID>
                      <c15:f>SAPN!$AD$39</c15:f>
                      <c15:dlblFieldTableCache>
                        <c:ptCount val="1"/>
                        <c:pt idx="0">
                          <c:v>11.0%</c:v>
                        </c:pt>
                      </c15:dlblFieldTableCache>
                    </c15:dlblFTEntry>
                  </c15:dlblFieldTable>
                  <c15:showDataLabelsRange val="1"/>
                </c:ext>
                <c:ext xmlns:c16="http://schemas.microsoft.com/office/drawing/2014/chart" uri="{C3380CC4-5D6E-409C-BE32-E72D297353CC}">
                  <c16:uniqueId val="{0000000C-AC80-4290-B641-BD4014284EA8}"/>
                </c:ext>
              </c:extLst>
            </c:dLbl>
            <c:dLbl>
              <c:idx val="1"/>
              <c:tx>
                <c:strRef>
                  <c:f>SAPN!$AI$39</c:f>
                  <c:strCache>
                    <c:ptCount val="1"/>
                    <c:pt idx="0">
                      <c:v>6.0%</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{59E6BF0D-8245-44ED-9ADB-7D2251F0B4FD}</c15:txfldGUID>
                      <c15:f>SAPN!$AI$39</c15:f>
                      <c15:dlblFieldTableCache>
                        <c:ptCount val="1"/>
                        <c:pt idx="0">
                          <c:v>6.0%</c:v>
                        </c:pt>
                      </c15:dlblFieldTableCache>
                    </c15:dlblFTEntry>
                  </c15:dlblFieldTable>
                  <c15:showDataLabelsRange val="1"/>
                </c:ext>
                <c:ext xmlns:c16="http://schemas.microsoft.com/office/drawing/2014/chart" uri="{C3380CC4-5D6E-409C-BE32-E72D297353CC}">
                  <c16:uniqueId val="{0000000D-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(SAPN!$AC$39,SAPN!$AH$39)</c:f>
              <c:numCache>
                <c:formatCode>#,##0.00</c:formatCode>
                <c:ptCount val="2"/>
                <c:pt idx="0">
                  <c:v>609.5101846045809</c:v>
                </c:pt>
                <c:pt idx="1">
                  <c:v>309.7117970439831</c:v>
                </c:pt>
              </c:numCache>
            </c:numRef>
          </c:val>
          <c:extLst>
            <c:ext xmlns:c15="http://schemas.microsoft.com/office/drawing/2012/chart" uri="{02D57815-91ED-43cb-92C2-25804820EDAC}">
              <c15:datalabelsRange>
                <c15:f>(SAPN!$L$39,SAPN!$Q$39)</c15:f>
                <c15:dlblRangeCache>
                  <c:ptCount val="2"/>
                  <c:pt idx="0">
                    <c:v>6.0%</c:v>
                  </c:pt>
                  <c:pt idx="1">
                    <c:v>6.0%</c:v>
                  </c:pt>
                </c15:dlblRangeCache>
              </c15:datalabelsRange>
            </c:ext>
            <c:ext xmlns:c16="http://schemas.microsoft.com/office/drawing/2014/chart" uri="{C3380CC4-5D6E-409C-BE32-E72D297353CC}">
              <c16:uniqueId val="{0000000E-AC80-4290-B641-BD4014284EA8}"/>
            </c:ext>
          </c:extLst>
        </c:ser>
        <c:ser>
          <c:idx val="4"/>
          <c:order val="5"/>
          <c:tx>
            <c:v>DMO</c:v>
          </c:tx>
          <c:spPr>
            <a:noFill/>
            <a:ln>
              <a:noFill/>
            </a:ln>
            <a:effectLst/>
          </c:spPr>
          <c:invertIfNegative val="0"/>
          <c:dLbls>
            <c:dLbl>
              <c:idx val="1"/>
              <c:layout>
                <c:manualLayout>
                  <c:x val="-9.7398097596040033E-3"/>
                  <c:y val="0.2317828090749978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AC80-4290-B641-BD4014284EA8}"/>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(SAPN!$AB$34,SAPN!$AB$40)</c:f>
              <c:numCache>
                <c:formatCode>#,##0</c:formatCode>
                <c:ptCount val="2"/>
                <c:pt idx="0">
                  <c:v>5541</c:v>
                </c:pt>
                <c:pt idx="1">
                  <c:v>5162</c:v>
                </c:pt>
              </c:numCache>
            </c:numRef>
          </c:val>
          <c:extLst>
            <c:ext xmlns:c16="http://schemas.microsoft.com/office/drawing/2014/chart" uri="{C3380CC4-5D6E-409C-BE32-E72D297353CC}">
              <c16:uniqueId val="{00000010-AC80-4290-B641-BD4014284EA8}"/>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6000"/>
          <c:min val="0"/>
        </c:scaling>
        <c:delete val="1"/>
        <c:axPos val="l"/>
        <c:numFmt formatCode="#,##0.00" sourceLinked="1"/>
        <c:majorTickMark val="out"/>
        <c:minorTickMark val="none"/>
        <c:tickLblPos val="nextTo"/>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rate'!$A$59</c:f>
          <c:strCache>
            <c:ptCount val="1"/>
            <c:pt idx="0">
              <c:v>Essential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63414634146343E-2"/>
          <c:y val="0.14156862745098039"/>
          <c:w val="0.7959503744958708"/>
          <c:h val="0.748705882352941"/>
        </c:manualLayout>
      </c:layout>
      <c:barChart>
        <c:barDir val="col"/>
        <c:grouping val="stacked"/>
        <c:varyColors val="0"/>
        <c:ser>
          <c:idx val="0"/>
          <c:order val="0"/>
          <c:tx>
            <c:strRef>
              <c:f>'Res Flat rate'!$C$59</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rate'!$D$59:$J$59</c:f>
              <c:numCache>
                <c:formatCode>#,##0</c:formatCode>
                <c:ptCount val="7"/>
                <c:pt idx="0">
                  <c:v>0</c:v>
                </c:pt>
                <c:pt idx="1">
                  <c:v>2740.8138870475786</c:v>
                </c:pt>
                <c:pt idx="2">
                  <c:v>2650.7322826698846</c:v>
                </c:pt>
                <c:pt idx="3">
                  <c:v>2626.6450679797126</c:v>
                </c:pt>
                <c:pt idx="4">
                  <c:v>2612.0578859789789</c:v>
                </c:pt>
                <c:pt idx="5">
                  <c:v>2603.839417825664</c:v>
                </c:pt>
                <c:pt idx="6">
                  <c:v>0</c:v>
                </c:pt>
              </c:numCache>
            </c:numRef>
          </c:val>
          <c:extLst>
            <c:ext xmlns:c16="http://schemas.microsoft.com/office/drawing/2014/chart" uri="{C3380CC4-5D6E-409C-BE32-E72D297353CC}">
              <c16:uniqueId val="{00000000-10F9-4E69-A6C0-4875FB7503E8}"/>
            </c:ext>
          </c:extLst>
        </c:ser>
        <c:ser>
          <c:idx val="1"/>
          <c:order val="1"/>
          <c:tx>
            <c:strRef>
              <c:f>'Res Flat rate'!$C$60</c:f>
              <c:strCache>
                <c:ptCount val="1"/>
                <c:pt idx="0">
                  <c:v>Network cost</c:v>
                </c:pt>
              </c:strCache>
            </c:strRef>
          </c:tx>
          <c:spPr>
            <a:solidFill>
              <a:srgbClr val="89B3CE"/>
            </a:solidFill>
            <a:ln>
              <a:noFill/>
            </a:ln>
            <a:effectLst/>
          </c:spPr>
          <c:invertIfNegative val="0"/>
          <c:dLbls>
            <c:dLbl>
              <c:idx val="1"/>
              <c:layout>
                <c:manualLayout>
                  <c:x val="-1.927401025680891E-3"/>
                  <c:y val="-3.6614381784389957E-2"/>
                </c:manualLayout>
              </c:layout>
              <c:tx>
                <c:strRef>
                  <c:f>'Res Flat rate'!$K$60</c:f>
                  <c:strCache>
                    <c:ptCount val="1"/>
                    <c:pt idx="0">
                      <c:v>+34.0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{01829642-A6BC-42AF-A2BB-04A70FC8F13C}</c15:txfldGUID>
                      <c15:f>'Res Flat rate'!$K$60</c15:f>
                      <c15:dlblFieldTableCache>
                        <c:ptCount val="1"/>
                        <c:pt idx="0">
                          <c:v>+34.0</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rate'!$D$60:$J$60</c:f>
              <c:numCache>
                <c:formatCode>#,##0.0</c:formatCode>
                <c:ptCount val="7"/>
                <c:pt idx="0" formatCode="#,##0">
                  <c:v>1248.9808649440904</c:v>
                </c:pt>
                <c:pt idx="1">
                  <c:v>34.047090271200432</c:v>
                </c:pt>
                <c:pt idx="6" formatCode="#,##0">
                  <c:v>1283.0279552152908</c:v>
                </c:pt>
              </c:numCache>
            </c:numRef>
          </c:val>
          <c:extLst>
            <c:ext xmlns:c16="http://schemas.microsoft.com/office/drawing/2014/chart" uri="{C3380CC4-5D6E-409C-BE32-E72D297353CC}">
              <c16:uniqueId val="{00000001-10F9-4E69-A6C0-4875FB7503E8}"/>
            </c:ext>
          </c:extLst>
        </c:ser>
        <c:ser>
          <c:idx val="2"/>
          <c:order val="2"/>
          <c:tx>
            <c:strRef>
              <c:f>'Res Flat rate'!$C$61</c:f>
              <c:strCache>
                <c:ptCount val="1"/>
                <c:pt idx="0">
                  <c:v>Wholesale cost</c:v>
                </c:pt>
              </c:strCache>
            </c:strRef>
          </c:tx>
          <c:spPr>
            <a:solidFill>
              <a:srgbClr val="E06026"/>
            </a:solidFill>
            <a:ln>
              <a:noFill/>
            </a:ln>
            <a:effectLst/>
          </c:spPr>
          <c:invertIfNegative val="0"/>
          <c:dLbls>
            <c:dLbl>
              <c:idx val="2"/>
              <c:layout>
                <c:manualLayout>
                  <c:x val="-3.6813497083431306E-17"/>
                  <c:y val="-4.0841438937779875E-2"/>
                </c:manualLayout>
              </c:layout>
              <c:tx>
                <c:strRef>
                  <c:f>'Res Flat rate'!$K$61</c:f>
                  <c:strCache>
                    <c:ptCount val="1"/>
                    <c:pt idx="0">
                      <c:v>-124.1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{EE023FBE-21AE-4EA2-9EBE-B0F3A2044A21}</c15:txfldGUID>
                      <c15:f>'Res Flat rate'!$K$61</c15:f>
                      <c15:dlblFieldTableCache>
                        <c:ptCount val="1"/>
                        <c:pt idx="0">
                          <c:v>-124.1</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rate'!$D$61:$J$61</c:f>
              <c:numCache>
                <c:formatCode>#,##0.0</c:formatCode>
                <c:ptCount val="7"/>
                <c:pt idx="0" formatCode="#,##0">
                  <c:v>903.45227990993703</c:v>
                </c:pt>
                <c:pt idx="2">
                  <c:v>124.12869464889422</c:v>
                </c:pt>
                <c:pt idx="6" formatCode="#,##0">
                  <c:v>779.32358526104281</c:v>
                </c:pt>
              </c:numCache>
            </c:numRef>
          </c:val>
          <c:extLst>
            <c:ext xmlns:c16="http://schemas.microsoft.com/office/drawing/2014/chart" uri="{C3380CC4-5D6E-409C-BE32-E72D297353CC}">
              <c16:uniqueId val="{00000002-10F9-4E69-A6C0-4875FB7503E8}"/>
            </c:ext>
          </c:extLst>
        </c:ser>
        <c:ser>
          <c:idx val="3"/>
          <c:order val="3"/>
          <c:tx>
            <c:strRef>
              <c:f>'Res Flat rate'!$C$62</c:f>
              <c:strCache>
                <c:ptCount val="1"/>
                <c:pt idx="0">
                  <c:v>Environmental cost</c:v>
                </c:pt>
              </c:strCache>
            </c:strRef>
          </c:tx>
          <c:spPr>
            <a:solidFill>
              <a:srgbClr val="5F9E88"/>
            </a:solidFill>
            <a:ln>
              <a:noFill/>
            </a:ln>
            <a:effectLst/>
          </c:spPr>
          <c:invertIfNegative val="0"/>
          <c:dLbls>
            <c:dLbl>
              <c:idx val="3"/>
              <c:layout>
                <c:manualLayout>
                  <c:x val="0"/>
                  <c:y val="3.5358962482630846E-2"/>
                </c:manualLayout>
              </c:layout>
              <c:tx>
                <c:strRef>
                  <c:f>'Res Flat rate'!$K$62</c:f>
                  <c:strCache>
                    <c:ptCount val="1"/>
                    <c:pt idx="0">
                      <c:v>-24.1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{814F0CAE-5BDF-4F5D-B5A4-27C4EF099679}</c15:txfldGUID>
                      <c15:f>'Res Flat rate'!$K$62</c15:f>
                      <c15:dlblFieldTableCache>
                        <c:ptCount val="1"/>
                        <c:pt idx="0">
                          <c:v>-24.1</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rate'!$D$62:$J$62</c:f>
              <c:numCache>
                <c:formatCode>#,##0.0</c:formatCode>
                <c:ptCount val="7"/>
                <c:pt idx="0" formatCode="#,##0">
                  <c:v>80.170406567593488</c:v>
                </c:pt>
                <c:pt idx="3">
                  <c:v>24.087214690172061</c:v>
                </c:pt>
                <c:pt idx="6" formatCode="#,##0">
                  <c:v>56.083191877421427</c:v>
                </c:pt>
              </c:numCache>
            </c:numRef>
          </c:val>
          <c:extLst>
            <c:ext xmlns:c16="http://schemas.microsoft.com/office/drawing/2014/chart" uri="{C3380CC4-5D6E-409C-BE32-E72D297353CC}">
              <c16:uniqueId val="{00000003-10F9-4E69-A6C0-4875FB7503E8}"/>
            </c:ext>
          </c:extLst>
        </c:ser>
        <c:ser>
          <c:idx val="4"/>
          <c:order val="4"/>
          <c:tx>
            <c:strRef>
              <c:f>'Res Flat rate'!$C$63</c:f>
              <c:strCache>
                <c:ptCount val="1"/>
                <c:pt idx="0">
                  <c:v>Retail cost</c:v>
                </c:pt>
              </c:strCache>
            </c:strRef>
          </c:tx>
          <c:spPr>
            <a:solidFill>
              <a:srgbClr val="F0B9B3"/>
            </a:solidFill>
            <a:ln>
              <a:noFill/>
            </a:ln>
            <a:effectLst/>
          </c:spPr>
          <c:invertIfNegative val="0"/>
          <c:dLbls>
            <c:dLbl>
              <c:idx val="4"/>
              <c:layout>
                <c:manualLayout>
                  <c:x val="9.6339113680147072E-4"/>
                  <c:y val="-3.542088198727481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a:t>
                    </a:r>
                    <a:fld id="{F87EFB56-486D-4EFF-AB83-F523527E4586}" type="VALUE">
                      <a:rPr lang="en-US">
                        <a:latin typeface="Arial" panose="020B0604020202020204" pitchFamily="34" charset="0"/>
                        <a:cs typeface="Arial" panose="020B0604020202020204" pitchFamily="34" charset="0"/>
                      </a:rPr>
                      <a:pPr>
                        <a:defRPr>
                          <a:latin typeface="Arial" panose="020B0604020202020204" pitchFamily="34" charset="0"/>
                          <a:cs typeface="Arial" panose="020B0604020202020204" pitchFamily="34" charset="0"/>
                        </a:defRPr>
                      </a:pPr>
                      <a:t>[VALUE]</a:t>
                    </a:fld>
                    <a:endParaRPr lang="en-US">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644516256277214E-2"/>
                      <c:h val="4.4568716836092086E-2"/>
                    </c:manualLayout>
                  </c15:layout>
                  <c15:dlblFieldTable/>
                  <c15:showDataLabelsRange val="0"/>
                </c:ext>
                <c:ext xmlns:c16="http://schemas.microsoft.com/office/drawing/2014/chart" uri="{C3380CC4-5D6E-409C-BE32-E72D297353CC}">
                  <c16:uniqueId val="{00000000-0846-45B5-8C71-CCC3DACF62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rate'!$D$63:$J$63</c:f>
              <c:numCache>
                <c:formatCode>#,##0.0</c:formatCode>
                <c:ptCount val="7"/>
                <c:pt idx="0" formatCode="#,##0">
                  <c:v>343.7615024031029</c:v>
                </c:pt>
                <c:pt idx="4">
                  <c:v>14.587182000733719</c:v>
                </c:pt>
                <c:pt idx="6" formatCode="#,##0">
                  <c:v>329.17432040236918</c:v>
                </c:pt>
              </c:numCache>
            </c:numRef>
          </c:val>
          <c:extLst>
            <c:ext xmlns:c16="http://schemas.microsoft.com/office/drawing/2014/chart" uri="{C3380CC4-5D6E-409C-BE32-E72D297353CC}">
              <c16:uniqueId val="{00000004-10F9-4E69-A6C0-4875FB7503E8}"/>
            </c:ext>
          </c:extLst>
        </c:ser>
        <c:ser>
          <c:idx val="5"/>
          <c:order val="5"/>
          <c:tx>
            <c:strRef>
              <c:f>'Res Flat rate'!$C$64</c:f>
              <c:strCache>
                <c:ptCount val="1"/>
                <c:pt idx="0">
                  <c:v>Retail margin</c:v>
                </c:pt>
              </c:strCache>
            </c:strRef>
          </c:tx>
          <c:spPr>
            <a:solidFill>
              <a:srgbClr val="303F51"/>
            </a:solidFill>
            <a:ln>
              <a:noFill/>
            </a:ln>
            <a:effectLst/>
          </c:spPr>
          <c:invertIfNegative val="0"/>
          <c:dLbls>
            <c:dLbl>
              <c:idx val="5"/>
              <c:layout>
                <c:manualLayout>
                  <c:x val="5.6990955949782649E-3"/>
                  <c:y val="-4.3603520148216765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E60906D8-DCC9-474D-9A58-1F8D4E8F945B}"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5435264821865666E-2"/>
                      <c:h val="5.6952640901750673E-2"/>
                    </c:manualLayout>
                  </c15:layout>
                  <c15:dlblFieldTable/>
                  <c15:showDataLabelsRange val="0"/>
                </c:ext>
                <c:ext xmlns:c16="http://schemas.microsoft.com/office/drawing/2014/chart" uri="{C3380CC4-5D6E-409C-BE32-E72D297353CC}">
                  <c16:uniqueId val="{00000001-0846-45B5-8C71-CCC3DACF62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rate'!$D$64:$J$64</c:f>
              <c:numCache>
                <c:formatCode>#,##0.0</c:formatCode>
                <c:ptCount val="7"/>
                <c:pt idx="0" formatCode="#,##0">
                  <c:v>164.44883322285477</c:v>
                </c:pt>
                <c:pt idx="5">
                  <c:v>8.218468153314916</c:v>
                </c:pt>
                <c:pt idx="6" formatCode="#,##0">
                  <c:v>156.23036506953986</c:v>
                </c:pt>
              </c:numCache>
            </c:numRef>
          </c:val>
          <c:extLst>
            <c:ext xmlns:c16="http://schemas.microsoft.com/office/drawing/2014/chart" uri="{C3380CC4-5D6E-409C-BE32-E72D297353CC}">
              <c16:uniqueId val="{00000003-E328-4A15-A2B8-8D4BEE4FD5C1}"/>
            </c:ext>
          </c:extLst>
        </c:ser>
        <c:ser>
          <c:idx val="6"/>
          <c:order val="6"/>
          <c:tx>
            <c:strRef>
              <c:f>'Res Flat rate'!$C$65</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rate'!$D$65:$J$65</c:f>
              <c:numCache>
                <c:formatCode>#,##0</c:formatCode>
                <c:ptCount val="7"/>
                <c:pt idx="0">
                  <c:v>2741</c:v>
                </c:pt>
                <c:pt idx="6">
                  <c:v>2604</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31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521866717879777"/>
          <c:y val="0.39284761463640572"/>
          <c:w val="0.17478133282120223"/>
          <c:h val="0.371559363903041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rate'!$A$66</c:f>
          <c:strCache>
            <c:ptCount val="1"/>
            <c:pt idx="0">
              <c:v>Energex Residential Flat rate $</c:v>
            </c:pt>
          </c:strCache>
        </c:strRef>
      </c:tx>
      <c:layout>
        <c:manualLayout>
          <c:xMode val="edge"/>
          <c:yMode val="edge"/>
          <c:x val="0.32443204192954173"/>
          <c:y val="1.980393517332698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'Res Flat rate'!$C$66</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rate'!$D$66:$J$66</c:f>
              <c:numCache>
                <c:formatCode>#,##0</c:formatCode>
                <c:ptCount val="7"/>
                <c:pt idx="0">
                  <c:v>0</c:v>
                </c:pt>
                <c:pt idx="1">
                  <c:v>2142.5159833641424</c:v>
                </c:pt>
                <c:pt idx="2">
                  <c:v>2059.5769541519653</c:v>
                </c:pt>
                <c:pt idx="3">
                  <c:v>2040.1600243547337</c:v>
                </c:pt>
                <c:pt idx="4">
                  <c:v>1996.9716049725025</c:v>
                </c:pt>
                <c:pt idx="5">
                  <c:v>1987.6815382666532</c:v>
                </c:pt>
                <c:pt idx="6">
                  <c:v>0</c:v>
                </c:pt>
              </c:numCache>
            </c:numRef>
          </c:val>
          <c:extLst>
            <c:ext xmlns:c16="http://schemas.microsoft.com/office/drawing/2014/chart" uri="{C3380CC4-5D6E-409C-BE32-E72D297353CC}">
              <c16:uniqueId val="{00000000-10F9-4E69-A6C0-4875FB7503E8}"/>
            </c:ext>
          </c:extLst>
        </c:ser>
        <c:ser>
          <c:idx val="1"/>
          <c:order val="1"/>
          <c:tx>
            <c:strRef>
              <c:f>'Res Flat rate'!$C$67</c:f>
              <c:strCache>
                <c:ptCount val="1"/>
                <c:pt idx="0">
                  <c:v>Network cost</c:v>
                </c:pt>
              </c:strCache>
            </c:strRef>
          </c:tx>
          <c:spPr>
            <a:solidFill>
              <a:srgbClr val="89B3CE"/>
            </a:solidFill>
            <a:ln>
              <a:noFill/>
            </a:ln>
            <a:effectLst/>
          </c:spPr>
          <c:invertIfNegative val="0"/>
          <c:dLbls>
            <c:dLbl>
              <c:idx val="1"/>
              <c:layout>
                <c:manualLayout>
                  <c:x val="-3.1142292000262378E-17"/>
                  <c:y val="-4.0965434002147146E-2"/>
                </c:manualLayout>
              </c:layout>
              <c:tx>
                <c:strRef>
                  <c:f>'Res Flat rate'!$K$67</c:f>
                  <c:strCache>
                    <c:ptCount val="1"/>
                    <c:pt idx="0">
                      <c:v>+39.0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{38D3DFF0-DFB5-4027-9D63-4449CAF8C16E}</c15:txfldGUID>
                      <c15:f>'Res Flat rate'!$K$67</c15:f>
                      <c15:dlblFieldTableCache>
                        <c:ptCount val="1"/>
                        <c:pt idx="0">
                          <c:v>+39.0</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rate'!$D$67:$J$67</c:f>
              <c:numCache>
                <c:formatCode>#,##0.0</c:formatCode>
                <c:ptCount val="7"/>
                <c:pt idx="0" formatCode="#,##0">
                  <c:v>778.44943700626834</c:v>
                </c:pt>
                <c:pt idx="1">
                  <c:v>39.013934552962837</c:v>
                </c:pt>
                <c:pt idx="6" formatCode="#,##0">
                  <c:v>817.46337155923118</c:v>
                </c:pt>
              </c:numCache>
            </c:numRef>
          </c:val>
          <c:extLst>
            <c:ext xmlns:c16="http://schemas.microsoft.com/office/drawing/2014/chart" uri="{C3380CC4-5D6E-409C-BE32-E72D297353CC}">
              <c16:uniqueId val="{00000001-10F9-4E69-A6C0-4875FB7503E8}"/>
            </c:ext>
          </c:extLst>
        </c:ser>
        <c:ser>
          <c:idx val="2"/>
          <c:order val="2"/>
          <c:tx>
            <c:strRef>
              <c:f>'Res Flat rate'!$C$68</c:f>
              <c:strCache>
                <c:ptCount val="1"/>
                <c:pt idx="0">
                  <c:v>Wholesale cost</c:v>
                </c:pt>
              </c:strCache>
            </c:strRef>
          </c:tx>
          <c:spPr>
            <a:solidFill>
              <a:srgbClr val="E06026"/>
            </a:solidFill>
            <a:ln>
              <a:noFill/>
            </a:ln>
            <a:effectLst/>
          </c:spPr>
          <c:invertIfNegative val="0"/>
          <c:dLbls>
            <c:dLbl>
              <c:idx val="2"/>
              <c:layout>
                <c:manualLayout>
                  <c:x val="1.5858411629871201E-4"/>
                  <c:y val="-4.1255210745715608E-2"/>
                </c:manualLayout>
              </c:layout>
              <c:tx>
                <c:strRef>
                  <c:f>'Res Flat rate'!$K$68</c:f>
                  <c:strCache>
                    <c:ptCount val="1"/>
                    <c:pt idx="0">
                      <c:v>-122.0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{83636977-A29E-412C-982D-39C39CA1AF40}</c15:txfldGUID>
                      <c15:f>'Res Flat rate'!$K$68</c15:f>
                      <c15:dlblFieldTableCache>
                        <c:ptCount val="1"/>
                        <c:pt idx="0">
                          <c:v>-122.0</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rate'!$D$68:$J$68</c:f>
              <c:numCache>
                <c:formatCode>#,##0.0</c:formatCode>
                <c:ptCount val="7"/>
                <c:pt idx="0" formatCode="#,##0">
                  <c:v>847.00695816791358</c:v>
                </c:pt>
                <c:pt idx="2">
                  <c:v>121.95296376514</c:v>
                </c:pt>
                <c:pt idx="6" formatCode="#,##0">
                  <c:v>725.05399440277358</c:v>
                </c:pt>
              </c:numCache>
            </c:numRef>
          </c:val>
          <c:extLst>
            <c:ext xmlns:c16="http://schemas.microsoft.com/office/drawing/2014/chart" uri="{C3380CC4-5D6E-409C-BE32-E72D297353CC}">
              <c16:uniqueId val="{00000002-10F9-4E69-A6C0-4875FB7503E8}"/>
            </c:ext>
          </c:extLst>
        </c:ser>
        <c:ser>
          <c:idx val="3"/>
          <c:order val="3"/>
          <c:tx>
            <c:strRef>
              <c:f>'Res Flat rate'!$C$69</c:f>
              <c:strCache>
                <c:ptCount val="1"/>
                <c:pt idx="0">
                  <c:v>Environmental cost</c:v>
                </c:pt>
              </c:strCache>
            </c:strRef>
          </c:tx>
          <c:spPr>
            <a:solidFill>
              <a:srgbClr val="5F9E88"/>
            </a:solidFill>
            <a:ln>
              <a:noFill/>
            </a:ln>
            <a:effectLst/>
          </c:spPr>
          <c:invertIfNegative val="0"/>
          <c:dLbls>
            <c:dLbl>
              <c:idx val="3"/>
              <c:layout>
                <c:manualLayout>
                  <c:x val="-6.5062981270690413E-17"/>
                  <c:y val="3.6244557665585882E-2"/>
                </c:manualLayout>
              </c:layout>
              <c:tx>
                <c:strRef>
                  <c:f>'Res Flat rate'!$K$69</c:f>
                  <c:strCache>
                    <c:ptCount val="1"/>
                    <c:pt idx="0">
                      <c:v>-19.4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{4F55646D-7AA6-4D76-93BA-EE96779F2990}</c15:txfldGUID>
                      <c15:f>'Res Flat rate'!$K$69</c15:f>
                      <c15:dlblFieldTableCache>
                        <c:ptCount val="1"/>
                        <c:pt idx="0">
                          <c:v>-19.4</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rate'!$D$69:$J$69</c:f>
              <c:numCache>
                <c:formatCode>#,##0.0</c:formatCode>
                <c:ptCount val="7"/>
                <c:pt idx="0" formatCode="#,##0">
                  <c:v>60.305218339699209</c:v>
                </c:pt>
                <c:pt idx="3">
                  <c:v>19.416929797231695</c:v>
                </c:pt>
                <c:pt idx="6" formatCode="#,##0">
                  <c:v>40.888288542467514</c:v>
                </c:pt>
              </c:numCache>
            </c:numRef>
          </c:val>
          <c:extLst>
            <c:ext xmlns:c16="http://schemas.microsoft.com/office/drawing/2014/chart" uri="{C3380CC4-5D6E-409C-BE32-E72D297353CC}">
              <c16:uniqueId val="{00000003-10F9-4E69-A6C0-4875FB7503E8}"/>
            </c:ext>
          </c:extLst>
        </c:ser>
        <c:ser>
          <c:idx val="4"/>
          <c:order val="4"/>
          <c:tx>
            <c:strRef>
              <c:f>'Res Flat rate'!$C$70</c:f>
              <c:strCache>
                <c:ptCount val="1"/>
                <c:pt idx="0">
                  <c:v>Retail cost</c:v>
                </c:pt>
              </c:strCache>
            </c:strRef>
          </c:tx>
          <c:spPr>
            <a:solidFill>
              <a:srgbClr val="F0B9B3"/>
            </a:solidFill>
            <a:ln>
              <a:noFill/>
            </a:ln>
            <a:effectLst/>
          </c:spPr>
          <c:invertIfNegative val="0"/>
          <c:dLbls>
            <c:dLbl>
              <c:idx val="4"/>
              <c:layout>
                <c:manualLayout>
                  <c:x val="2.5533430160699848E-3"/>
                  <c:y val="-4.1668413739304258E-2"/>
                </c:manualLayout>
              </c:layout>
              <c:tx>
                <c:rich>
                  <a:bodyPr/>
                  <a:lstStyle/>
                  <a:p>
                    <a:r>
                      <a:rPr lang="en-US"/>
                      <a:t>+</a:t>
                    </a:r>
                    <a:fld id="{A334350B-EC85-4649-B6FC-C99CD54A2064}"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6.0116642494886206E-2"/>
                      <c:h val="5.6952640901750673E-2"/>
                    </c:manualLayout>
                  </c15:layout>
                  <c15:dlblFieldTable/>
                  <c15:showDataLabelsRange val="0"/>
                </c:ext>
                <c:ext xmlns:c16="http://schemas.microsoft.com/office/drawing/2014/chart" uri="{C3380CC4-5D6E-409C-BE32-E72D297353CC}">
                  <c16:uniqueId val="{00000000-3B99-4CEC-B600-FFD4544B37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rate'!$D$70:$J$70</c:f>
              <c:numCache>
                <c:formatCode>#,##0.0</c:formatCode>
                <c:ptCount val="7"/>
                <c:pt idx="0" formatCode="#,##0">
                  <c:v>328.20341084841237</c:v>
                </c:pt>
                <c:pt idx="4">
                  <c:v>43.188419382231075</c:v>
                </c:pt>
                <c:pt idx="6" formatCode="#,##0">
                  <c:v>285.0149914661813</c:v>
                </c:pt>
              </c:numCache>
            </c:numRef>
          </c:val>
          <c:extLst>
            <c:ext xmlns:c16="http://schemas.microsoft.com/office/drawing/2014/chart" uri="{C3380CC4-5D6E-409C-BE32-E72D297353CC}">
              <c16:uniqueId val="{00000004-10F9-4E69-A6C0-4875FB7503E8}"/>
            </c:ext>
          </c:extLst>
        </c:ser>
        <c:ser>
          <c:idx val="5"/>
          <c:order val="5"/>
          <c:tx>
            <c:strRef>
              <c:f>'Res Flat rate'!$C$71</c:f>
              <c:strCache>
                <c:ptCount val="1"/>
                <c:pt idx="0">
                  <c:v>Retail margin</c:v>
                </c:pt>
              </c:strCache>
            </c:strRef>
          </c:tx>
          <c:spPr>
            <a:solidFill>
              <a:srgbClr val="303F51"/>
            </a:solidFill>
            <a:ln>
              <a:noFill/>
            </a:ln>
            <a:effectLst/>
          </c:spPr>
          <c:invertIfNegative val="0"/>
          <c:dLbls>
            <c:dLbl>
              <c:idx val="5"/>
              <c:layout>
                <c:manualLayout>
                  <c:x val="3.5559868298336542E-3"/>
                  <c:y val="-4.087509649529103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01DC23F6-EA71-4B28-A1D1-58FA5AEDEF00}"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7862669332317146E-2"/>
                      <c:h val="5.6952640901750673E-2"/>
                    </c:manualLayout>
                  </c15:layout>
                  <c15:dlblFieldTable/>
                  <c15:showDataLabelsRange val="0"/>
                </c:ext>
                <c:ext xmlns:c16="http://schemas.microsoft.com/office/drawing/2014/chart" uri="{C3380CC4-5D6E-409C-BE32-E72D297353CC}">
                  <c16:uniqueId val="{00000001-3B99-4CEC-B600-FFD4544B37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rate'!$D$71:$J$71</c:f>
              <c:numCache>
                <c:formatCode>#,##0.0</c:formatCode>
                <c:ptCount val="7"/>
                <c:pt idx="0" formatCode="#,##0">
                  <c:v>128.5509590018487</c:v>
                </c:pt>
                <c:pt idx="5">
                  <c:v>9.2900667058493127</c:v>
                </c:pt>
                <c:pt idx="6" formatCode="#,##0">
                  <c:v>119.26089229599938</c:v>
                </c:pt>
              </c:numCache>
            </c:numRef>
          </c:val>
          <c:extLst>
            <c:ext xmlns:c16="http://schemas.microsoft.com/office/drawing/2014/chart" uri="{C3380CC4-5D6E-409C-BE32-E72D297353CC}">
              <c16:uniqueId val="{00000002-9079-4CA8-8EE7-B592EE55D9D2}"/>
            </c:ext>
          </c:extLst>
        </c:ser>
        <c:ser>
          <c:idx val="6"/>
          <c:order val="6"/>
          <c:tx>
            <c:strRef>
              <c:f>'Res Flat rate'!$C$72</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rate'!$D$72:$J$72</c:f>
              <c:numCache>
                <c:formatCode>#,##0</c:formatCode>
                <c:ptCount val="7"/>
                <c:pt idx="0">
                  <c:v>2143</c:v>
                </c:pt>
                <c:pt idx="6">
                  <c:v>1988</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5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rate'!$A$73</c:f>
          <c:strCache>
            <c:ptCount val="1"/>
            <c:pt idx="0">
              <c:v>SAPN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42495126705652E-2"/>
          <c:y val="0.14156862745098039"/>
          <c:w val="0.80004788875074828"/>
          <c:h val="0.748705882352941"/>
        </c:manualLayout>
      </c:layout>
      <c:barChart>
        <c:barDir val="col"/>
        <c:grouping val="stacked"/>
        <c:varyColors val="0"/>
        <c:ser>
          <c:idx val="0"/>
          <c:order val="0"/>
          <c:tx>
            <c:strRef>
              <c:f>'Res Flat rate'!$C$73</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rate'!$D$73:$J$73</c:f>
              <c:numCache>
                <c:formatCode>#,##0</c:formatCode>
                <c:ptCount val="7"/>
                <c:pt idx="0">
                  <c:v>0</c:v>
                </c:pt>
                <c:pt idx="1">
                  <c:v>2300.5440908863925</c:v>
                </c:pt>
                <c:pt idx="2">
                  <c:v>2361.9002573571888</c:v>
                </c:pt>
                <c:pt idx="3">
                  <c:v>2336.3751432472122</c:v>
                </c:pt>
                <c:pt idx="4">
                  <c:v>2331.6163208149665</c:v>
                </c:pt>
                <c:pt idx="5">
                  <c:v>2331.6163208149665</c:v>
                </c:pt>
                <c:pt idx="6">
                  <c:v>0</c:v>
                </c:pt>
              </c:numCache>
            </c:numRef>
          </c:val>
          <c:extLst>
            <c:ext xmlns:c16="http://schemas.microsoft.com/office/drawing/2014/chart" uri="{C3380CC4-5D6E-409C-BE32-E72D297353CC}">
              <c16:uniqueId val="{00000000-10F9-4E69-A6C0-4875FB7503E8}"/>
            </c:ext>
          </c:extLst>
        </c:ser>
        <c:ser>
          <c:idx val="1"/>
          <c:order val="1"/>
          <c:tx>
            <c:strRef>
              <c:f>'Res Flat rate'!$C$74</c:f>
              <c:strCache>
                <c:ptCount val="1"/>
                <c:pt idx="0">
                  <c:v>Network cost</c:v>
                </c:pt>
              </c:strCache>
            </c:strRef>
          </c:tx>
          <c:spPr>
            <a:solidFill>
              <a:srgbClr val="89B3CE"/>
            </a:solidFill>
            <a:ln>
              <a:noFill/>
            </a:ln>
            <a:effectLst/>
          </c:spPr>
          <c:invertIfNegative val="0"/>
          <c:dLbls>
            <c:dLbl>
              <c:idx val="1"/>
              <c:layout>
                <c:manualLayout>
                  <c:x val="0"/>
                  <c:y val="-4.2649226116189674E-2"/>
                </c:manualLayout>
              </c:layout>
              <c:tx>
                <c:strRef>
                  <c:f>'Res Flat rate'!$K$74</c:f>
                  <c:strCache>
                    <c:ptCount val="1"/>
                    <c:pt idx="0">
                      <c:v>+77.4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{2C150873-9B40-4E6E-9F30-AE83DBAB8672}</c15:txfldGUID>
                      <c15:f>'Res Flat rate'!$K$74</c15:f>
                      <c15:dlblFieldTableCache>
                        <c:ptCount val="1"/>
                        <c:pt idx="0">
                          <c:v>+77.4</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rate'!$D$74:$J$74</c:f>
              <c:numCache>
                <c:formatCode>#,##0.0</c:formatCode>
                <c:ptCount val="7"/>
                <c:pt idx="0" formatCode="#,##0">
                  <c:v>896.99139399817057</c:v>
                </c:pt>
                <c:pt idx="1">
                  <c:v>77.350975026038213</c:v>
                </c:pt>
                <c:pt idx="6" formatCode="#,##0">
                  <c:v>974.34236902420878</c:v>
                </c:pt>
              </c:numCache>
            </c:numRef>
          </c:val>
          <c:extLst>
            <c:ext xmlns:c16="http://schemas.microsoft.com/office/drawing/2014/chart" uri="{C3380CC4-5D6E-409C-BE32-E72D297353CC}">
              <c16:uniqueId val="{00000001-10F9-4E69-A6C0-4875FB7503E8}"/>
            </c:ext>
          </c:extLst>
        </c:ser>
        <c:ser>
          <c:idx val="2"/>
          <c:order val="2"/>
          <c:tx>
            <c:strRef>
              <c:f>'Res Flat rate'!$C$75</c:f>
              <c:strCache>
                <c:ptCount val="1"/>
                <c:pt idx="0">
                  <c:v>Wholesale cost</c:v>
                </c:pt>
              </c:strCache>
            </c:strRef>
          </c:tx>
          <c:spPr>
            <a:solidFill>
              <a:srgbClr val="E06026"/>
            </a:solidFill>
            <a:ln>
              <a:noFill/>
            </a:ln>
            <a:effectLst/>
          </c:spPr>
          <c:invertIfNegative val="0"/>
          <c:dLbls>
            <c:dLbl>
              <c:idx val="2"/>
              <c:layout>
                <c:manualLayout>
                  <c:x val="-1.8630565916102593E-3"/>
                  <c:y val="-4.6347074262775977E-2"/>
                </c:manualLayout>
              </c:layout>
              <c:tx>
                <c:strRef>
                  <c:f>'Res Flat rate'!$K$75</c:f>
                  <c:strCache>
                    <c:ptCount val="1"/>
                    <c:pt idx="0">
                      <c:v>-16.0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{5FDA888C-B146-4BDE-BAB2-32EB575FE9C8}</c15:txfldGUID>
                      <c15:f>'Res Flat rate'!$K$75</c15:f>
                      <c15:dlblFieldTableCache>
                        <c:ptCount val="1"/>
                        <c:pt idx="0">
                          <c:v>-16.0</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rate'!$D$75:$J$75</c:f>
              <c:numCache>
                <c:formatCode>#,##0.0</c:formatCode>
                <c:ptCount val="7"/>
                <c:pt idx="0" formatCode="#,##0">
                  <c:v>858.79927885285167</c:v>
                </c:pt>
                <c:pt idx="2">
                  <c:v>15.994808555242003</c:v>
                </c:pt>
                <c:pt idx="6" formatCode="#,##0">
                  <c:v>842.80447029760967</c:v>
                </c:pt>
              </c:numCache>
            </c:numRef>
          </c:val>
          <c:extLst>
            <c:ext xmlns:c16="http://schemas.microsoft.com/office/drawing/2014/chart" uri="{C3380CC4-5D6E-409C-BE32-E72D297353CC}">
              <c16:uniqueId val="{00000002-10F9-4E69-A6C0-4875FB7503E8}"/>
            </c:ext>
          </c:extLst>
        </c:ser>
        <c:ser>
          <c:idx val="3"/>
          <c:order val="3"/>
          <c:tx>
            <c:strRef>
              <c:f>'Res Flat rate'!$C$76</c:f>
              <c:strCache>
                <c:ptCount val="1"/>
                <c:pt idx="0">
                  <c:v>Environmental cost</c:v>
                </c:pt>
              </c:strCache>
            </c:strRef>
          </c:tx>
          <c:spPr>
            <a:solidFill>
              <a:srgbClr val="5F9E88"/>
            </a:solidFill>
            <a:ln>
              <a:noFill/>
            </a:ln>
            <a:effectLst/>
          </c:spPr>
          <c:invertIfNegative val="0"/>
          <c:dLbls>
            <c:dLbl>
              <c:idx val="3"/>
              <c:layout>
                <c:manualLayout>
                  <c:x val="2.0232997191140579E-3"/>
                  <c:y val="3.5477535896248261E-2"/>
                </c:manualLayout>
              </c:layout>
              <c:tx>
                <c:strRef>
                  <c:f>'Res Flat rate'!$K$76</c:f>
                  <c:strCache>
                    <c:ptCount val="1"/>
                    <c:pt idx="0">
                      <c:v>-25.5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{678D3F02-DBAA-4F35-89CF-1A7B905DB5B8}</c15:txfldGUID>
                      <c15:f>'Res Flat rate'!$K$76</c15:f>
                      <c15:dlblFieldTableCache>
                        <c:ptCount val="1"/>
                        <c:pt idx="0">
                          <c:v>-25.5</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rate'!$D$76:$J$76</c:f>
              <c:numCache>
                <c:formatCode>#,##0.0</c:formatCode>
                <c:ptCount val="7"/>
                <c:pt idx="0" formatCode="#,##0">
                  <c:v>72.246775704569899</c:v>
                </c:pt>
                <c:pt idx="3">
                  <c:v>25.525114109976613</c:v>
                </c:pt>
                <c:pt idx="6" formatCode="#,##0">
                  <c:v>46.721661594593286</c:v>
                </c:pt>
              </c:numCache>
            </c:numRef>
          </c:val>
          <c:extLst>
            <c:ext xmlns:c16="http://schemas.microsoft.com/office/drawing/2014/chart" uri="{C3380CC4-5D6E-409C-BE32-E72D297353CC}">
              <c16:uniqueId val="{00000003-10F9-4E69-A6C0-4875FB7503E8}"/>
            </c:ext>
          </c:extLst>
        </c:ser>
        <c:ser>
          <c:idx val="4"/>
          <c:order val="4"/>
          <c:tx>
            <c:strRef>
              <c:f>'Res Flat rate'!$C$77</c:f>
              <c:strCache>
                <c:ptCount val="1"/>
                <c:pt idx="0">
                  <c:v>Retail cost</c:v>
                </c:pt>
              </c:strCache>
            </c:strRef>
          </c:tx>
          <c:spPr>
            <a:solidFill>
              <a:srgbClr val="F0B9B3"/>
            </a:solidFill>
            <a:ln>
              <a:noFill/>
            </a:ln>
            <a:effectLst/>
          </c:spPr>
          <c:invertIfNegative val="0"/>
          <c:dLbls>
            <c:dLbl>
              <c:idx val="4"/>
              <c:layout>
                <c:manualLayout>
                  <c:x val="-7.3830433643051997E-8"/>
                  <c:y val="-4.1779576314570584E-2"/>
                </c:manualLayout>
              </c:layout>
              <c:tx>
                <c:rich>
                  <a:bodyPr/>
                  <a:lstStyle/>
                  <a:p>
                    <a:r>
                      <a:rPr lang="en-US"/>
                      <a:t>+</a:t>
                    </a:r>
                    <a:fld id="{0A271EDF-65B9-4F34-9460-406531696E6D}"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6.9887850467289722E-2"/>
                      <c:h val="5.6952640901750673E-2"/>
                    </c:manualLayout>
                  </c15:layout>
                  <c15:dlblFieldTable/>
                  <c15:showDataLabelsRange val="0"/>
                </c:ext>
                <c:ext xmlns:c16="http://schemas.microsoft.com/office/drawing/2014/chart" uri="{C3380CC4-5D6E-409C-BE32-E72D297353CC}">
                  <c16:uniqueId val="{00000001-45F2-4F34-8CD3-2A16F6952B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rate'!$D$77:$J$77</c:f>
              <c:numCache>
                <c:formatCode>#,##0.0</c:formatCode>
                <c:ptCount val="7"/>
                <c:pt idx="0" formatCode="#,##0">
                  <c:v>334.4739968776168</c:v>
                </c:pt>
                <c:pt idx="4">
                  <c:v>4.7588224322458359</c:v>
                </c:pt>
                <c:pt idx="6" formatCode="#,##0">
                  <c:v>329.71517444537096</c:v>
                </c:pt>
              </c:numCache>
            </c:numRef>
          </c:val>
          <c:extLst>
            <c:ext xmlns:c16="http://schemas.microsoft.com/office/drawing/2014/chart" uri="{C3380CC4-5D6E-409C-BE32-E72D297353CC}">
              <c16:uniqueId val="{00000004-10F9-4E69-A6C0-4875FB7503E8}"/>
            </c:ext>
          </c:extLst>
        </c:ser>
        <c:ser>
          <c:idx val="5"/>
          <c:order val="5"/>
          <c:tx>
            <c:strRef>
              <c:f>'Res Flat rate'!$C$78</c:f>
              <c:strCache>
                <c:ptCount val="1"/>
                <c:pt idx="0">
                  <c:v>Retail margin</c:v>
                </c:pt>
              </c:strCache>
            </c:strRef>
          </c:tx>
          <c:spPr>
            <a:solidFill>
              <a:srgbClr val="303F51"/>
            </a:solidFill>
            <a:ln>
              <a:noFill/>
            </a:ln>
            <a:effectLst/>
          </c:spPr>
          <c:invertIfNegative val="0"/>
          <c:dLbls>
            <c:dLbl>
              <c:idx val="5"/>
              <c:layout>
                <c:manualLayout>
                  <c:x val="1.3789504382126958E-3"/>
                  <c:y val="-4.4645514898872932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070524AE-F223-42BC-A7F6-45175D8D018D}"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8.2167956853494581E-2"/>
                      <c:h val="6.5208551717413035E-2"/>
                    </c:manualLayout>
                  </c15:layout>
                  <c15:dlblFieldTable/>
                  <c15:showDataLabelsRange val="0"/>
                </c:ext>
                <c:ext xmlns:c16="http://schemas.microsoft.com/office/drawing/2014/chart" uri="{C3380CC4-5D6E-409C-BE32-E72D297353CC}">
                  <c16:uniqueId val="{00000000-45F2-4F34-8CD3-2A16F6952B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rate'!$D$78:$J$78</c:f>
              <c:numCache>
                <c:formatCode>#,##0.0</c:formatCode>
                <c:ptCount val="7"/>
                <c:pt idx="0" formatCode="#,##0">
                  <c:v>138.0326454531837</c:v>
                </c:pt>
                <c:pt idx="5">
                  <c:v>1.9833338252278736</c:v>
                </c:pt>
                <c:pt idx="6" formatCode="#,##0">
                  <c:v>140.01597927841158</c:v>
                </c:pt>
              </c:numCache>
            </c:numRef>
          </c:val>
          <c:extLst>
            <c:ext xmlns:c16="http://schemas.microsoft.com/office/drawing/2014/chart" uri="{C3380CC4-5D6E-409C-BE32-E72D297353CC}">
              <c16:uniqueId val="{00000007-DDA4-47B6-AA3E-F8EE1DA41199}"/>
            </c:ext>
          </c:extLst>
        </c:ser>
        <c:ser>
          <c:idx val="6"/>
          <c:order val="6"/>
          <c:tx>
            <c:strRef>
              <c:f>'Res Flat rate'!$C$79</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rate'!$D$79:$J$79</c:f>
              <c:numCache>
                <c:formatCode>#,##0</c:formatCode>
                <c:ptCount val="7"/>
                <c:pt idx="0">
                  <c:v>2301</c:v>
                </c:pt>
                <c:pt idx="6">
                  <c:v>2334</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6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538901935503672"/>
          <c:y val="0.39284761463640572"/>
          <c:w val="0.17461098064496325"/>
          <c:h val="0.31273583449127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rate'!$A$45</c:f>
          <c:strCache>
            <c:ptCount val="1"/>
            <c:pt idx="0">
              <c:v>Ausgrid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11192214111922E-2"/>
          <c:y val="0.14156862745098039"/>
          <c:w val="0.79839331762361809"/>
          <c:h val="0.7243618959394782"/>
        </c:manualLayout>
      </c:layout>
      <c:barChart>
        <c:barDir val="col"/>
        <c:grouping val="stacked"/>
        <c:varyColors val="0"/>
        <c:ser>
          <c:idx val="0"/>
          <c:order val="0"/>
          <c:tx>
            <c:strRef>
              <c:f>'Res Flat rate'!$C$45</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rate'!$D$45:$J$45</c:f>
              <c:numCache>
                <c:formatCode>#,##0</c:formatCode>
                <c:ptCount val="7"/>
                <c:pt idx="0">
                  <c:v>0</c:v>
                </c:pt>
                <c:pt idx="1">
                  <c:v>1964.6187750787888</c:v>
                </c:pt>
                <c:pt idx="2">
                  <c:v>1930.7365965213751</c:v>
                </c:pt>
                <c:pt idx="3">
                  <c:v>1909.9789330332944</c:v>
                </c:pt>
                <c:pt idx="4">
                  <c:v>1903.0182719965851</c:v>
                </c:pt>
                <c:pt idx="5">
                  <c:v>1899.0863249913382</c:v>
                </c:pt>
                <c:pt idx="6">
                  <c:v>0</c:v>
                </c:pt>
              </c:numCache>
            </c:numRef>
          </c:val>
          <c:extLst>
            <c:ext xmlns:c16="http://schemas.microsoft.com/office/drawing/2014/chart" uri="{C3380CC4-5D6E-409C-BE32-E72D297353CC}">
              <c16:uniqueId val="{00000000-628D-4496-88F5-CD2DC0185002}"/>
            </c:ext>
          </c:extLst>
        </c:ser>
        <c:ser>
          <c:idx val="1"/>
          <c:order val="1"/>
          <c:tx>
            <c:strRef>
              <c:f>'Res Flat rate'!$C$46</c:f>
              <c:strCache>
                <c:ptCount val="1"/>
                <c:pt idx="0">
                  <c:v>Network cost</c:v>
                </c:pt>
              </c:strCache>
            </c:strRef>
          </c:tx>
          <c:spPr>
            <a:solidFill>
              <a:srgbClr val="89B3CE"/>
            </a:solidFill>
            <a:ln>
              <a:noFill/>
            </a:ln>
            <a:effectLst/>
          </c:spPr>
          <c:invertIfNegative val="0"/>
          <c:dLbls>
            <c:dLbl>
              <c:idx val="1"/>
              <c:layout>
                <c:manualLayout>
                  <c:x val="-3.4090514165155828E-17"/>
                  <c:y val="-4.554607965994522E-2"/>
                </c:manualLayout>
              </c:layout>
              <c:tx>
                <c:strRef>
                  <c:f>'Res Flat rate'!$K$46</c:f>
                  <c:strCache>
                    <c:ptCount val="1"/>
                    <c:pt idx="0">
                      <c:v>+66.3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{15C3649C-7F7B-400F-A193-E3461902A3F2}</c15:txfldGUID>
                      <c15:f>'Res Flat rate'!$K$46</c15:f>
                      <c15:dlblFieldTableCache>
                        <c:ptCount val="1"/>
                        <c:pt idx="0">
                          <c:v>+66.3</c:v>
                        </c:pt>
                      </c15:dlblFieldTableCache>
                    </c15:dlblFTEntry>
                  </c15:dlblFieldTable>
                  <c15:showDataLabelsRange val="0"/>
                </c:ext>
                <c:ext xmlns:c16="http://schemas.microsoft.com/office/drawing/2014/chart" uri="{C3380CC4-5D6E-409C-BE32-E72D297353CC}">
                  <c16:uniqueId val="{00000001-628D-4496-88F5-CD2DC01850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rate'!$D$46:$J$46</c:f>
              <c:numCache>
                <c:formatCode>#,##0.0</c:formatCode>
                <c:ptCount val="7"/>
                <c:pt idx="0" formatCode="#,##0">
                  <c:v>711.92496176013196</c:v>
                </c:pt>
                <c:pt idx="1">
                  <c:v>66.305297622654166</c:v>
                </c:pt>
                <c:pt idx="6" formatCode="#,##0">
                  <c:v>778.23025938278613</c:v>
                </c:pt>
              </c:numCache>
            </c:numRef>
          </c:val>
          <c:extLst>
            <c:ext xmlns:c16="http://schemas.microsoft.com/office/drawing/2014/chart" uri="{C3380CC4-5D6E-409C-BE32-E72D297353CC}">
              <c16:uniqueId val="{00000002-628D-4496-88F5-CD2DC0185002}"/>
            </c:ext>
          </c:extLst>
        </c:ser>
        <c:ser>
          <c:idx val="2"/>
          <c:order val="2"/>
          <c:tx>
            <c:strRef>
              <c:f>'Res Flat rate'!$C$47</c:f>
              <c:strCache>
                <c:ptCount val="1"/>
                <c:pt idx="0">
                  <c:v>Wholesale cost</c:v>
                </c:pt>
              </c:strCache>
            </c:strRef>
          </c:tx>
          <c:spPr>
            <a:solidFill>
              <a:srgbClr val="E06026"/>
            </a:solidFill>
            <a:ln>
              <a:noFill/>
            </a:ln>
            <a:effectLst/>
          </c:spPr>
          <c:invertIfNegative val="0"/>
          <c:dLbls>
            <c:dLbl>
              <c:idx val="2"/>
              <c:layout>
                <c:manualLayout>
                  <c:x val="-1.7726689273329884E-3"/>
                  <c:y val="-4.1784776902887136E-2"/>
                </c:manualLayout>
              </c:layout>
              <c:tx>
                <c:strRef>
                  <c:f>'Res Flat rate'!$K$47</c:f>
                  <c:strCache>
                    <c:ptCount val="1"/>
                    <c:pt idx="0">
                      <c:v>-100.2</c:v>
                    </c:pt>
                  </c:strCache>
                </c:strRef>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{1E6886FA-AA19-4EC9-B504-3BEF4ED096F9}</c15:txfldGUID>
                      <c15:f>'Res Flat rate'!$K$47</c15:f>
                      <c15:dlblFieldTableCache>
                        <c:ptCount val="1"/>
                        <c:pt idx="0">
                          <c:v>-100.2</c:v>
                        </c:pt>
                      </c15:dlblFieldTableCache>
                    </c15:dlblFTEntry>
                  </c15:dlblFieldTable>
                  <c15:showDataLabelsRange val="0"/>
                </c:ext>
                <c:ext xmlns:c16="http://schemas.microsoft.com/office/drawing/2014/chart" uri="{C3380CC4-5D6E-409C-BE32-E72D297353CC}">
                  <c16:uniqueId val="{00000003-628D-4496-88F5-CD2DC01850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rate'!$D$47:$J$47</c:f>
              <c:numCache>
                <c:formatCode>#,##0.0</c:formatCode>
                <c:ptCount val="7"/>
                <c:pt idx="0" formatCode="#,##0">
                  <c:v>753.97249122143467</c:v>
                </c:pt>
                <c:pt idx="2">
                  <c:v>100.18747618006796</c:v>
                </c:pt>
                <c:pt idx="6" formatCode="#,##0">
                  <c:v>653.78501504136671</c:v>
                </c:pt>
              </c:numCache>
            </c:numRef>
          </c:val>
          <c:extLst>
            <c:ext xmlns:c16="http://schemas.microsoft.com/office/drawing/2014/chart" uri="{C3380CC4-5D6E-409C-BE32-E72D297353CC}">
              <c16:uniqueId val="{00000004-628D-4496-88F5-CD2DC0185002}"/>
            </c:ext>
          </c:extLst>
        </c:ser>
        <c:ser>
          <c:idx val="3"/>
          <c:order val="3"/>
          <c:tx>
            <c:strRef>
              <c:f>'Res Flat rate'!$C$48</c:f>
              <c:strCache>
                <c:ptCount val="1"/>
                <c:pt idx="0">
                  <c:v>Environmental cost</c:v>
                </c:pt>
              </c:strCache>
            </c:strRef>
          </c:tx>
          <c:spPr>
            <a:solidFill>
              <a:srgbClr val="5F9E88"/>
            </a:solidFill>
            <a:ln>
              <a:noFill/>
            </a:ln>
            <a:effectLst/>
          </c:spPr>
          <c:invertIfNegative val="0"/>
          <c:dLbls>
            <c:dLbl>
              <c:idx val="3"/>
              <c:layout>
                <c:manualLayout>
                  <c:x val="-1.8596701386352681E-3"/>
                  <c:y val="3.5224161888486046E-2"/>
                </c:manualLayout>
              </c:layout>
              <c:tx>
                <c:strRef>
                  <c:f>'Res Flat rate'!$K$48</c:f>
                  <c:strCache>
                    <c:ptCount val="1"/>
                    <c:pt idx="0">
                      <c:v>-20.8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{22E6F929-712D-4FDC-90D7-9D97FBEEF3A7}</c15:txfldGUID>
                      <c15:f>'Res Flat rate'!$K$48</c15:f>
                      <c15:dlblFieldTableCache>
                        <c:ptCount val="1"/>
                        <c:pt idx="0">
                          <c:v>-20.8</c:v>
                        </c:pt>
                      </c15:dlblFieldTableCache>
                    </c15:dlblFTEntry>
                  </c15:dlblFieldTable>
                  <c15:showDataLabelsRange val="0"/>
                </c:ext>
                <c:ext xmlns:c16="http://schemas.microsoft.com/office/drawing/2014/chart" uri="{C3380CC4-5D6E-409C-BE32-E72D297353CC}">
                  <c16:uniqueId val="{00000005-628D-4496-88F5-CD2DC01850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rate'!$D$48:$J$48</c:f>
              <c:numCache>
                <c:formatCode>#,##0.0</c:formatCode>
                <c:ptCount val="7"/>
                <c:pt idx="0" formatCode="#,##0">
                  <c:v>68.331519303463324</c:v>
                </c:pt>
                <c:pt idx="3">
                  <c:v>20.757663488080645</c:v>
                </c:pt>
                <c:pt idx="6" formatCode="#,##0">
                  <c:v>47.573855815382679</c:v>
                </c:pt>
              </c:numCache>
            </c:numRef>
          </c:val>
          <c:extLst>
            <c:ext xmlns:c16="http://schemas.microsoft.com/office/drawing/2014/chart" uri="{C3380CC4-5D6E-409C-BE32-E72D297353CC}">
              <c16:uniqueId val="{00000006-628D-4496-88F5-CD2DC0185002}"/>
            </c:ext>
          </c:extLst>
        </c:ser>
        <c:ser>
          <c:idx val="4"/>
          <c:order val="4"/>
          <c:tx>
            <c:strRef>
              <c:f>'Res Flat rate'!$C$49</c:f>
              <c:strCache>
                <c:ptCount val="1"/>
                <c:pt idx="0">
                  <c:v>Retail cost</c:v>
                </c:pt>
              </c:strCache>
            </c:strRef>
          </c:tx>
          <c:spPr>
            <a:solidFill>
              <a:srgbClr val="F0B9B3"/>
            </a:solidFill>
            <a:ln>
              <a:noFill/>
            </a:ln>
            <a:effectLst/>
          </c:spPr>
          <c:invertIfNegative val="0"/>
          <c:dLbls>
            <c:dLbl>
              <c:idx val="4"/>
              <c:layout>
                <c:manualLayout>
                  <c:x val="0"/>
                  <c:y val="-4.0271421954608616E-2"/>
                </c:manualLayout>
              </c:layout>
              <c:tx>
                <c:rich>
                  <a:bodyPr/>
                  <a:lstStyle/>
                  <a:p>
                    <a:r>
                      <a:rPr lang="en-US"/>
                      <a:t>+</a:t>
                    </a:r>
                    <a:fld id="{96756394-253C-444A-B29C-855FD5D790A6}"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5.8369832811549657E-2"/>
                      <c:h val="5.6952640901750673E-2"/>
                    </c:manualLayout>
                  </c15:layout>
                  <c15:dlblFieldTable/>
                  <c15:showDataLabelsRange val="0"/>
                </c:ext>
                <c:ext xmlns:c16="http://schemas.microsoft.com/office/drawing/2014/chart" uri="{C3380CC4-5D6E-409C-BE32-E72D297353CC}">
                  <c16:uniqueId val="{00000000-CFAA-4784-B45A-EB5B5E9545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rate'!$D$49:$J$49</c:f>
              <c:numCache>
                <c:formatCode>#,##0.0</c:formatCode>
                <c:ptCount val="7"/>
                <c:pt idx="0" formatCode="#,##0">
                  <c:v>312.51267628903128</c:v>
                </c:pt>
                <c:pt idx="4">
                  <c:v>6.9606610367093822</c:v>
                </c:pt>
                <c:pt idx="6" formatCode="#,##0">
                  <c:v>305.55201525232189</c:v>
                </c:pt>
              </c:numCache>
            </c:numRef>
          </c:val>
          <c:extLst>
            <c:ext xmlns:c16="http://schemas.microsoft.com/office/drawing/2014/chart" uri="{C3380CC4-5D6E-409C-BE32-E72D297353CC}">
              <c16:uniqueId val="{00000008-628D-4496-88F5-CD2DC0185002}"/>
            </c:ext>
          </c:extLst>
        </c:ser>
        <c:ser>
          <c:idx val="5"/>
          <c:order val="5"/>
          <c:tx>
            <c:strRef>
              <c:f>'Res Flat rate'!$C$50</c:f>
              <c:strCache>
                <c:ptCount val="1"/>
                <c:pt idx="0">
                  <c:v>Retail margin</c:v>
                </c:pt>
              </c:strCache>
            </c:strRef>
          </c:tx>
          <c:spPr>
            <a:solidFill>
              <a:srgbClr val="303F5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1-3C47-469A-85B1-35B06069AFDD}"/>
                </c:ext>
              </c:extLst>
            </c:dLbl>
            <c:dLbl>
              <c:idx val="5"/>
              <c:layout>
                <c:manualLayout>
                  <c:x val="1.8592318817290015E-3"/>
                  <c:y val="-3.5354809857692758E-2"/>
                </c:manualLayout>
              </c:layout>
              <c:tx>
                <c:rich>
                  <a:bodyPr/>
                  <a:lstStyle/>
                  <a:p>
                    <a:r>
                      <a:rPr lang="en-US"/>
                      <a:t>+</a:t>
                    </a:r>
                    <a:fld id="{10DF00AC-1B57-4FB7-A78A-E57510DDE607}"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5.9411155091717474E-2"/>
                      <c:h val="5.6952640901750673E-2"/>
                    </c:manualLayout>
                  </c15:layout>
                  <c15:dlblFieldTable/>
                  <c15:showDataLabelsRange val="0"/>
                </c:ext>
                <c:ext xmlns:c16="http://schemas.microsoft.com/office/drawing/2014/chart" uri="{C3380CC4-5D6E-409C-BE32-E72D297353CC}">
                  <c16:uniqueId val="{00000001-CFAA-4784-B45A-EB5B5E954513}"/>
                </c:ext>
              </c:extLst>
            </c:dLbl>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C47-469A-85B1-35B06069AF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rate'!$D$50:$J$50</c:f>
              <c:numCache>
                <c:formatCode>#,##0.0</c:formatCode>
                <c:ptCount val="7"/>
                <c:pt idx="0" formatCode="#,##0">
                  <c:v>117.87712650472736</c:v>
                </c:pt>
                <c:pt idx="5">
                  <c:v>3.9319470052469114</c:v>
                </c:pt>
                <c:pt idx="6" formatCode="#,##0">
                  <c:v>113.94517949948045</c:v>
                </c:pt>
              </c:numCache>
            </c:numRef>
          </c:val>
          <c:extLst>
            <c:ext xmlns:c16="http://schemas.microsoft.com/office/drawing/2014/chart" uri="{C3380CC4-5D6E-409C-BE32-E72D297353CC}">
              <c16:uniqueId val="{00000003-C53E-437C-B209-E19DE64A2471}"/>
            </c:ext>
          </c:extLst>
        </c:ser>
        <c:ser>
          <c:idx val="6"/>
          <c:order val="6"/>
          <c:tx>
            <c:strRef>
              <c:f>'Res Flat rate'!$C$51</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rate'!$D$51:$J$51</c:f>
              <c:numCache>
                <c:formatCode>#,##0</c:formatCode>
                <c:ptCount val="7"/>
                <c:pt idx="0">
                  <c:v>1965</c:v>
                </c:pt>
                <c:pt idx="6">
                  <c:v>1899</c:v>
                </c:pt>
              </c:numCache>
            </c:numRef>
          </c:val>
          <c:extLst>
            <c:ext xmlns:c16="http://schemas.microsoft.com/office/drawing/2014/chart" uri="{C3380CC4-5D6E-409C-BE32-E72D297353CC}">
              <c16:uniqueId val="{00000009-628D-4496-88F5-CD2DC0185002}"/>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2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36974538766596"/>
          <c:y val="0.39284761463640572"/>
          <c:w val="0.17435607410387571"/>
          <c:h val="0.379402501157943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rate'!$A$52</c:f>
          <c:strCache>
            <c:ptCount val="1"/>
            <c:pt idx="0">
              <c:v>Endeavour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'SB Flat rate'!$C$52</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rate'!$D$52:$J$52</c:f>
              <c:numCache>
                <c:formatCode>#,##0</c:formatCode>
                <c:ptCount val="7"/>
                <c:pt idx="0">
                  <c:v>0</c:v>
                </c:pt>
                <c:pt idx="1">
                  <c:v>4775.2370500773122</c:v>
                </c:pt>
                <c:pt idx="2">
                  <c:v>4688.6331031184745</c:v>
                </c:pt>
                <c:pt idx="3">
                  <c:v>4633.7729035602088</c:v>
                </c:pt>
                <c:pt idx="4">
                  <c:v>4607.7694551182158</c:v>
                </c:pt>
                <c:pt idx="5">
                  <c:v>4343.0780634145867</c:v>
                </c:pt>
                <c:pt idx="6">
                  <c:v>0</c:v>
                </c:pt>
              </c:numCache>
            </c:numRef>
          </c:val>
          <c:extLst>
            <c:ext xmlns:c16="http://schemas.microsoft.com/office/drawing/2014/chart" uri="{C3380CC4-5D6E-409C-BE32-E72D297353CC}">
              <c16:uniqueId val="{00000000-0F9A-4E45-A3FE-46BA45C6790F}"/>
            </c:ext>
          </c:extLst>
        </c:ser>
        <c:ser>
          <c:idx val="1"/>
          <c:order val="1"/>
          <c:tx>
            <c:strRef>
              <c:f>'SB Flat rate'!$C$53</c:f>
              <c:strCache>
                <c:ptCount val="1"/>
                <c:pt idx="0">
                  <c:v>Network cost</c:v>
                </c:pt>
              </c:strCache>
            </c:strRef>
          </c:tx>
          <c:spPr>
            <a:solidFill>
              <a:srgbClr val="89B3CE"/>
            </a:solidFill>
            <a:ln>
              <a:noFill/>
            </a:ln>
            <a:effectLst/>
          </c:spPr>
          <c:invertIfNegative val="0"/>
          <c:dLbls>
            <c:dLbl>
              <c:idx val="1"/>
              <c:layout>
                <c:manualLayout>
                  <c:x val="-1.8103642067903484E-3"/>
                  <c:y val="-3.9691167761430252E-2"/>
                </c:manualLayout>
              </c:layout>
              <c:tx>
                <c:strRef>
                  <c:f>'SB Flat rate'!$K$53</c:f>
                  <c:strCache>
                    <c:ptCount val="1"/>
                    <c:pt idx="0">
                      <c:v>+169.4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{79D5719B-9C49-4995-BFF0-C8647C31625F}</c15:txfldGUID>
                      <c15:f>'SB Flat rate'!$K$53</c15:f>
                      <c15:dlblFieldTableCache>
                        <c:ptCount val="1"/>
                        <c:pt idx="0">
                          <c:v>+169.4</c:v>
                        </c:pt>
                      </c15:dlblFieldTableCache>
                    </c15:dlblFTEntry>
                  </c15:dlblFieldTable>
                  <c15:showDataLabelsRange val="0"/>
                </c:ext>
                <c:ext xmlns:c16="http://schemas.microsoft.com/office/drawing/2014/chart" uri="{C3380CC4-5D6E-409C-BE32-E72D297353CC}">
                  <c16:uniqueId val="{00000001-0F9A-4E45-A3FE-46BA45C6790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rate'!$D$53:$J$53</c:f>
              <c:numCache>
                <c:formatCode>#,##0.0</c:formatCode>
                <c:ptCount val="7"/>
                <c:pt idx="0" formatCode="#,##0">
                  <c:v>1597.5537049999998</c:v>
                </c:pt>
                <c:pt idx="1">
                  <c:v>169.38487110840265</c:v>
                </c:pt>
                <c:pt idx="6" formatCode="#,##0">
                  <c:v>1766.9385761084025</c:v>
                </c:pt>
              </c:numCache>
            </c:numRef>
          </c:val>
          <c:extLst>
            <c:ext xmlns:c16="http://schemas.microsoft.com/office/drawing/2014/chart" uri="{C3380CC4-5D6E-409C-BE32-E72D297353CC}">
              <c16:uniqueId val="{00000002-0F9A-4E45-A3FE-46BA45C6790F}"/>
            </c:ext>
          </c:extLst>
        </c:ser>
        <c:ser>
          <c:idx val="2"/>
          <c:order val="2"/>
          <c:tx>
            <c:strRef>
              <c:f>'SB Flat rate'!$C$54</c:f>
              <c:strCache>
                <c:ptCount val="1"/>
                <c:pt idx="0">
                  <c:v>Wholesale cost</c:v>
                </c:pt>
              </c:strCache>
            </c:strRef>
          </c:tx>
          <c:spPr>
            <a:solidFill>
              <a:srgbClr val="E06026"/>
            </a:solidFill>
            <a:ln>
              <a:noFill/>
            </a:ln>
            <a:effectLst/>
          </c:spPr>
          <c:invertIfNegative val="0"/>
          <c:dLbls>
            <c:dLbl>
              <c:idx val="2"/>
              <c:layout>
                <c:manualLayout>
                  <c:x val="-3.6231673032336106E-3"/>
                  <c:y val="-3.1411455920951077E-2"/>
                </c:manualLayout>
              </c:layout>
              <c:tx>
                <c:strRef>
                  <c:f>'SB Flat rate'!$K$54</c:f>
                  <c:strCache>
                    <c:ptCount val="1"/>
                    <c:pt idx="0">
                      <c:v>-256.0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{42D5B3E5-80B1-4046-A52D-F7D01D28C701}</c15:txfldGUID>
                      <c15:f>'SB Flat rate'!$K$54</c15:f>
                      <c15:dlblFieldTableCache>
                        <c:ptCount val="1"/>
                        <c:pt idx="0">
                          <c:v>-256.0</c:v>
                        </c:pt>
                      </c15:dlblFieldTableCache>
                    </c15:dlblFTEntry>
                  </c15:dlblFieldTable>
                  <c15:showDataLabelsRange val="0"/>
                </c:ext>
                <c:ext xmlns:c16="http://schemas.microsoft.com/office/drawing/2014/chart" uri="{C3380CC4-5D6E-409C-BE32-E72D297353CC}">
                  <c16:uniqueId val="{00000003-0F9A-4E45-A3FE-46BA45C6790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rate'!$D$54:$J$54</c:f>
              <c:numCache>
                <c:formatCode>#,##0.0</c:formatCode>
                <c:ptCount val="7"/>
                <c:pt idx="0" formatCode="#,##0">
                  <c:v>2021.8353909019456</c:v>
                </c:pt>
                <c:pt idx="2">
                  <c:v>255.9888180672408</c:v>
                </c:pt>
                <c:pt idx="6" formatCode="#,##0">
                  <c:v>1765.8465728347048</c:v>
                </c:pt>
              </c:numCache>
            </c:numRef>
          </c:val>
          <c:extLst>
            <c:ext xmlns:c16="http://schemas.microsoft.com/office/drawing/2014/chart" uri="{C3380CC4-5D6E-409C-BE32-E72D297353CC}">
              <c16:uniqueId val="{00000004-0F9A-4E45-A3FE-46BA45C6790F}"/>
            </c:ext>
          </c:extLst>
        </c:ser>
        <c:ser>
          <c:idx val="3"/>
          <c:order val="3"/>
          <c:tx>
            <c:strRef>
              <c:f>'SB Flat rate'!$C$55</c:f>
              <c:strCache>
                <c:ptCount val="1"/>
                <c:pt idx="0">
                  <c:v>Environmental cost</c:v>
                </c:pt>
              </c:strCache>
            </c:strRef>
          </c:tx>
          <c:spPr>
            <a:solidFill>
              <a:srgbClr val="5F9E88"/>
            </a:solidFill>
            <a:ln>
              <a:noFill/>
            </a:ln>
            <a:effectLst/>
          </c:spPr>
          <c:invertIfNegative val="0"/>
          <c:dLbls>
            <c:dLbl>
              <c:idx val="3"/>
              <c:layout>
                <c:manualLayout>
                  <c:x val="0"/>
                  <c:y val="2.8532962791415744E-2"/>
                </c:manualLayout>
              </c:layout>
              <c:tx>
                <c:strRef>
                  <c:f>'SB Flat rate'!$K$55</c:f>
                  <c:strCache>
                    <c:ptCount val="1"/>
                    <c:pt idx="0">
                      <c:v>-54.9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{2541CEDE-CD6A-46BE-8406-FE2B4A2A4748}</c15:txfldGUID>
                      <c15:f>'SB Flat rate'!$K$55</c15:f>
                      <c15:dlblFieldTableCache>
                        <c:ptCount val="1"/>
                        <c:pt idx="0">
                          <c:v>-54.9</c:v>
                        </c:pt>
                      </c15:dlblFieldTableCache>
                    </c15:dlblFTEntry>
                  </c15:dlblFieldTable>
                  <c15:showDataLabelsRange val="0"/>
                </c:ext>
                <c:ext xmlns:c16="http://schemas.microsoft.com/office/drawing/2014/chart" uri="{C3380CC4-5D6E-409C-BE32-E72D297353CC}">
                  <c16:uniqueId val="{00000005-0F9A-4E45-A3FE-46BA45C6790F}"/>
                </c:ext>
              </c:extLst>
            </c:dLbl>
            <c:dLbl>
              <c:idx val="5"/>
              <c:delete val="1"/>
              <c:extLst>
                <c:ext xmlns:c15="http://schemas.microsoft.com/office/drawing/2012/chart" uri="{CE6537A1-D6FC-4f65-9D91-7224C49458BB}"/>
                <c:ext xmlns:c16="http://schemas.microsoft.com/office/drawing/2014/chart" uri="{C3380CC4-5D6E-409C-BE32-E72D297353CC}">
                  <c16:uniqueId val="{00000000-7B79-4C1D-8B4A-49DA7C528C4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rate'!$D$55:$J$55</c:f>
              <c:numCache>
                <c:formatCode>#,##0.0</c:formatCode>
                <c:ptCount val="7"/>
                <c:pt idx="0" formatCode="#,##0">
                  <c:v>178.38229594380428</c:v>
                </c:pt>
                <c:pt idx="3">
                  <c:v>54.860199558266103</c:v>
                </c:pt>
                <c:pt idx="5">
                  <c:v>0</c:v>
                </c:pt>
                <c:pt idx="6" formatCode="#,##0">
                  <c:v>123.52209638553818</c:v>
                </c:pt>
              </c:numCache>
            </c:numRef>
          </c:val>
          <c:extLst>
            <c:ext xmlns:c16="http://schemas.microsoft.com/office/drawing/2014/chart" uri="{C3380CC4-5D6E-409C-BE32-E72D297353CC}">
              <c16:uniqueId val="{00000006-0F9A-4E45-A3FE-46BA45C6790F}"/>
            </c:ext>
          </c:extLst>
        </c:ser>
        <c:ser>
          <c:idx val="4"/>
          <c:order val="4"/>
          <c:tx>
            <c:strRef>
              <c:f>'SB Flat rate'!$C$56</c:f>
              <c:strCache>
                <c:ptCount val="1"/>
                <c:pt idx="0">
                  <c:v>Retail cost</c:v>
                </c:pt>
              </c:strCache>
            </c:strRef>
          </c:tx>
          <c:spPr>
            <a:solidFill>
              <a:srgbClr val="F0B9B3"/>
            </a:solidFill>
            <a:ln>
              <a:noFill/>
            </a:ln>
            <a:effectLst/>
          </c:spPr>
          <c:invertIfNegative val="0"/>
          <c:dLbls>
            <c:dLbl>
              <c:idx val="4"/>
              <c:layout>
                <c:manualLayout>
                  <c:x val="5.9031002561389058E-3"/>
                  <c:y val="-4.3671221743942917E-2"/>
                </c:manualLayout>
              </c:layout>
              <c:tx>
                <c:strRef>
                  <c:f>'SB Flat rate'!$K$56</c:f>
                  <c:strCache>
                    <c:ptCount val="1"/>
                    <c:pt idx="0">
                      <c:v>-26.0</c:v>
                    </c:pt>
                  </c:strCache>
                </c:strRef>
              </c:tx>
              <c:showLegendKey val="0"/>
              <c:showVal val="1"/>
              <c:showCatName val="0"/>
              <c:showSerName val="0"/>
              <c:showPercent val="0"/>
              <c:showBubbleSize val="0"/>
              <c:extLst>
                <c:ext xmlns:c15="http://schemas.microsoft.com/office/drawing/2012/chart" uri="{CE6537A1-D6FC-4f65-9D91-7224C49458BB}">
                  <c15:layout>
                    <c:manualLayout>
                      <c:w val="7.3273074151648535E-2"/>
                      <c:h val="6.1490504863362667E-2"/>
                    </c:manualLayout>
                  </c15:layout>
                  <c15:dlblFieldTable>
                    <c15:dlblFTEntry>
                      <c15:txfldGUID>{9D5FA194-2691-4020-8277-43242BE76C5C}</c15:txfldGUID>
                      <c15:f>'SB Flat rate'!$K$56</c15:f>
                      <c15:dlblFieldTableCache>
                        <c:ptCount val="1"/>
                        <c:pt idx="0">
                          <c:v>-26.0</c:v>
                        </c:pt>
                      </c15:dlblFieldTableCache>
                    </c15:dlblFTEntry>
                  </c15:dlblFieldTable>
                  <c15:showDataLabelsRange val="0"/>
                </c:ext>
                <c:ext xmlns:c16="http://schemas.microsoft.com/office/drawing/2014/chart" uri="{C3380CC4-5D6E-409C-BE32-E72D297353CC}">
                  <c16:uniqueId val="{00000000-44FF-4477-A557-3CA7B8C4D69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rate'!$D$56:$J$56</c:f>
              <c:numCache>
                <c:formatCode>#,##0.0</c:formatCode>
                <c:ptCount val="7"/>
                <c:pt idx="0" formatCode="#,##0">
                  <c:v>452.18958272305747</c:v>
                </c:pt>
                <c:pt idx="4">
                  <c:v>26.003448441992987</c:v>
                </c:pt>
                <c:pt idx="6" formatCode="#,##0">
                  <c:v>426.18613428106448</c:v>
                </c:pt>
              </c:numCache>
            </c:numRef>
          </c:val>
          <c:extLst>
            <c:ext xmlns:c16="http://schemas.microsoft.com/office/drawing/2014/chart" uri="{C3380CC4-5D6E-409C-BE32-E72D297353CC}">
              <c16:uniqueId val="{00000007-0F9A-4E45-A3FE-46BA45C6790F}"/>
            </c:ext>
          </c:extLst>
        </c:ser>
        <c:ser>
          <c:idx val="5"/>
          <c:order val="5"/>
          <c:tx>
            <c:strRef>
              <c:f>'SB Flat rate'!$C$57</c:f>
              <c:strCache>
                <c:ptCount val="1"/>
                <c:pt idx="0">
                  <c:v>Retail margin</c:v>
                </c:pt>
              </c:strCache>
            </c:strRef>
          </c:tx>
          <c:spPr>
            <a:solidFill>
              <a:srgbClr val="303F51"/>
            </a:solidFill>
            <a:ln>
              <a:noFill/>
            </a:ln>
            <a:effectLst/>
          </c:spPr>
          <c:invertIfNegative val="0"/>
          <c:dLbls>
            <c:dLbl>
              <c:idx val="5"/>
              <c:layout>
                <c:manualLayout>
                  <c:x val="9.8946771527257528E-4"/>
                  <c:y val="-4.3020013123359582E-2"/>
                </c:manualLayout>
              </c:layout>
              <c:tx>
                <c:strRef>
                  <c:f>'SB Flat rate'!$K$57</c:f>
                  <c:strCache>
                    <c:ptCount val="1"/>
                    <c:pt idx="0">
                      <c:v>-264.7</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8779955494693604E-2"/>
                      <c:h val="7.7759846582644648E-2"/>
                    </c:manualLayout>
                  </c15:layout>
                  <c15:dlblFieldTable>
                    <c15:dlblFTEntry>
                      <c15:txfldGUID>{A116D3A2-B905-423B-82CF-DABFC991402E}</c15:txfldGUID>
                      <c15:f>'SB Flat rate'!$K$57</c15:f>
                      <c15:dlblFieldTableCache>
                        <c:ptCount val="1"/>
                        <c:pt idx="0">
                          <c:v>-264.7</c:v>
                        </c:pt>
                      </c15:dlblFieldTableCache>
                    </c15:dlblFTEntry>
                  </c15:dlblFieldTable>
                  <c15:showDataLabelsRange val="0"/>
                </c:ext>
                <c:ext xmlns:c16="http://schemas.microsoft.com/office/drawing/2014/chart" uri="{C3380CC4-5D6E-409C-BE32-E72D297353CC}">
                  <c16:uniqueId val="{00000001-44FF-4477-A557-3CA7B8C4D69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'SB Flat rate'!$D$57:$J$57</c:f>
              <c:numCache>
                <c:formatCode>#,##0.0</c:formatCode>
                <c:ptCount val="7"/>
                <c:pt idx="0" formatCode="#,##0">
                  <c:v>525.27607550850462</c:v>
                </c:pt>
                <c:pt idx="5">
                  <c:v>264.69139170362951</c:v>
                </c:pt>
                <c:pt idx="6" formatCode="#,##0">
                  <c:v>260.58468380487511</c:v>
                </c:pt>
              </c:numCache>
            </c:numRef>
          </c:val>
          <c:extLst>
            <c:ext xmlns:c16="http://schemas.microsoft.com/office/drawing/2014/chart" uri="{C3380CC4-5D6E-409C-BE32-E72D297353CC}">
              <c16:uniqueId val="{00000008-0F9A-4E45-A3FE-46BA45C6790F}"/>
            </c:ext>
          </c:extLst>
        </c:ser>
        <c:ser>
          <c:idx val="6"/>
          <c:order val="6"/>
          <c:tx>
            <c:strRef>
              <c:f>'SB Flat rate'!$C$58</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rate'!$D$58:$J$58</c:f>
              <c:numCache>
                <c:formatCode>#,##0</c:formatCode>
                <c:ptCount val="7"/>
                <c:pt idx="0">
                  <c:v>4775</c:v>
                </c:pt>
                <c:pt idx="6">
                  <c:v>4343</c:v>
                </c:pt>
              </c:numCache>
            </c:numRef>
          </c:val>
          <c:extLst>
            <c:ext xmlns:c16="http://schemas.microsoft.com/office/drawing/2014/chart" uri="{C3380CC4-5D6E-409C-BE32-E72D297353CC}">
              <c16:uniqueId val="{00000009-0F9A-4E45-A3FE-46BA45C6790F}"/>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54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rate'!$A$59</c:f>
          <c:strCache>
            <c:ptCount val="1"/>
            <c:pt idx="0">
              <c:v>Essential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547502448579822E-2"/>
          <c:y val="0.14156862745098039"/>
          <c:w val="0.78927437204531603"/>
          <c:h val="0.74478431372549014"/>
        </c:manualLayout>
      </c:layout>
      <c:barChart>
        <c:barDir val="col"/>
        <c:grouping val="stacked"/>
        <c:varyColors val="0"/>
        <c:ser>
          <c:idx val="0"/>
          <c:order val="0"/>
          <c:tx>
            <c:strRef>
              <c:f>'SB Flat rate'!$C$59</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rate'!$D$59:$J$59</c:f>
              <c:numCache>
                <c:formatCode>#,##0</c:formatCode>
                <c:ptCount val="7"/>
                <c:pt idx="0">
                  <c:v>0</c:v>
                </c:pt>
                <c:pt idx="1">
                  <c:v>6222.0618242391993</c:v>
                </c:pt>
                <c:pt idx="2">
                  <c:v>5958.6604663480121</c:v>
                </c:pt>
                <c:pt idx="3">
                  <c:v>5906.2969561519858</c:v>
                </c:pt>
                <c:pt idx="4">
                  <c:v>5870.6928980094881</c:v>
                </c:pt>
                <c:pt idx="5">
                  <c:v>5517.30435887572</c:v>
                </c:pt>
                <c:pt idx="6">
                  <c:v>0</c:v>
                </c:pt>
              </c:numCache>
            </c:numRef>
          </c:val>
          <c:extLst>
            <c:ext xmlns:c16="http://schemas.microsoft.com/office/drawing/2014/chart" uri="{C3380CC4-5D6E-409C-BE32-E72D297353CC}">
              <c16:uniqueId val="{00000000-CFFF-44EE-879C-561E9E6ED10C}"/>
            </c:ext>
          </c:extLst>
        </c:ser>
        <c:ser>
          <c:idx val="1"/>
          <c:order val="1"/>
          <c:tx>
            <c:strRef>
              <c:f>'SB Flat rate'!$C$60</c:f>
              <c:strCache>
                <c:ptCount val="1"/>
                <c:pt idx="0">
                  <c:v>Network cost</c:v>
                </c:pt>
              </c:strCache>
            </c:strRef>
          </c:tx>
          <c:spPr>
            <a:solidFill>
              <a:srgbClr val="89B3CE"/>
            </a:solidFill>
            <a:ln>
              <a:noFill/>
            </a:ln>
            <a:effectLst/>
          </c:spPr>
          <c:invertIfNegative val="0"/>
          <c:dLbls>
            <c:dLbl>
              <c:idx val="1"/>
              <c:layout>
                <c:manualLayout>
                  <c:x val="0"/>
                  <c:y val="-6.3534612353022435E-2"/>
                </c:manualLayout>
              </c:layout>
              <c:tx>
                <c:strRef>
                  <c:f>'SB Flat rate'!$K$60</c:f>
                  <c:strCache>
                    <c:ptCount val="1"/>
                    <c:pt idx="0">
                      <c:v>+5.5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{470911C5-C518-4F27-A7BA-7EFE2ABB3D66}</c15:txfldGUID>
                      <c15:f>'SB Flat rate'!$K$60</c15:f>
                      <c15:dlblFieldTableCache>
                        <c:ptCount val="1"/>
                        <c:pt idx="0">
                          <c:v>+5.5</c:v>
                        </c:pt>
                      </c15:dlblFieldTableCache>
                    </c15:dlblFTEntry>
                  </c15:dlblFieldTable>
                  <c15:showDataLabelsRange val="0"/>
                </c:ext>
                <c:ext xmlns:c16="http://schemas.microsoft.com/office/drawing/2014/chart" uri="{C3380CC4-5D6E-409C-BE32-E72D297353CC}">
                  <c16:uniqueId val="{00000001-CFFF-44EE-879C-561E9E6ED1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rate'!$D$60:$J$60</c:f>
              <c:numCache>
                <c:formatCode>#,##0.0</c:formatCode>
                <c:ptCount val="7"/>
                <c:pt idx="0" formatCode="#,##0">
                  <c:v>2959.1444552068538</c:v>
                </c:pt>
                <c:pt idx="1">
                  <c:v>5.5270056588178704</c:v>
                </c:pt>
                <c:pt idx="6" formatCode="#,##0">
                  <c:v>2964.6714608656716</c:v>
                </c:pt>
              </c:numCache>
            </c:numRef>
          </c:val>
          <c:extLst>
            <c:ext xmlns:c16="http://schemas.microsoft.com/office/drawing/2014/chart" uri="{C3380CC4-5D6E-409C-BE32-E72D297353CC}">
              <c16:uniqueId val="{00000002-CFFF-44EE-879C-561E9E6ED10C}"/>
            </c:ext>
          </c:extLst>
        </c:ser>
        <c:ser>
          <c:idx val="2"/>
          <c:order val="2"/>
          <c:tx>
            <c:strRef>
              <c:f>'SB Flat rate'!$C$61</c:f>
              <c:strCache>
                <c:ptCount val="1"/>
                <c:pt idx="0">
                  <c:v>Wholesale cost</c:v>
                </c:pt>
              </c:strCache>
            </c:strRef>
          </c:tx>
          <c:spPr>
            <a:solidFill>
              <a:srgbClr val="E06026"/>
            </a:solidFill>
            <a:ln>
              <a:noFill/>
            </a:ln>
            <a:effectLst/>
          </c:spPr>
          <c:invertIfNegative val="0"/>
          <c:dLbls>
            <c:dLbl>
              <c:idx val="2"/>
              <c:layout>
                <c:manualLayout>
                  <c:x val="2.0924643455712613E-3"/>
                  <c:y val="-3.1438320209973718E-2"/>
                </c:manualLayout>
              </c:layout>
              <c:tx>
                <c:strRef>
                  <c:f>'SB Flat rate'!$K$61</c:f>
                  <c:strCache>
                    <c:ptCount val="1"/>
                    <c:pt idx="0">
                      <c:v>-268.9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{6D47D677-2273-47EC-95A9-92888213DDE5}</c15:txfldGUID>
                      <c15:f>'SB Flat rate'!$K$61</c15:f>
                      <c15:dlblFieldTableCache>
                        <c:ptCount val="1"/>
                        <c:pt idx="0">
                          <c:v>-268.9</c:v>
                        </c:pt>
                      </c15:dlblFieldTableCache>
                    </c15:dlblFTEntry>
                  </c15:dlblFieldTable>
                  <c15:showDataLabelsRange val="0"/>
                </c:ext>
                <c:ext xmlns:c16="http://schemas.microsoft.com/office/drawing/2014/chart" uri="{C3380CC4-5D6E-409C-BE32-E72D297353CC}">
                  <c16:uniqueId val="{00000003-CFFF-44EE-879C-561E9E6ED1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rate'!$D$61:$J$61</c:f>
              <c:numCache>
                <c:formatCode>#,##0.0</c:formatCode>
                <c:ptCount val="7"/>
                <c:pt idx="0" formatCode="#,##0">
                  <c:v>1946.1611845522723</c:v>
                </c:pt>
                <c:pt idx="2">
                  <c:v>268.92836355000554</c:v>
                </c:pt>
                <c:pt idx="6" formatCode="#,##0">
                  <c:v>1677.2328210022667</c:v>
                </c:pt>
              </c:numCache>
            </c:numRef>
          </c:val>
          <c:extLst>
            <c:ext xmlns:c16="http://schemas.microsoft.com/office/drawing/2014/chart" uri="{C3380CC4-5D6E-409C-BE32-E72D297353CC}">
              <c16:uniqueId val="{00000004-CFFF-44EE-879C-561E9E6ED10C}"/>
            </c:ext>
          </c:extLst>
        </c:ser>
        <c:ser>
          <c:idx val="3"/>
          <c:order val="3"/>
          <c:tx>
            <c:strRef>
              <c:f>'SB Flat rate'!$C$62</c:f>
              <c:strCache>
                <c:ptCount val="1"/>
                <c:pt idx="0">
                  <c:v>Environmental cost</c:v>
                </c:pt>
              </c:strCache>
            </c:strRef>
          </c:tx>
          <c:spPr>
            <a:solidFill>
              <a:srgbClr val="5F9E88"/>
            </a:solidFill>
            <a:ln>
              <a:noFill/>
            </a:ln>
            <a:effectLst/>
          </c:spPr>
          <c:invertIfNegative val="0"/>
          <c:dLbls>
            <c:dLbl>
              <c:idx val="3"/>
              <c:layout>
                <c:manualLayout>
                  <c:x val="0"/>
                  <c:y val="2.8622201636560134E-2"/>
                </c:manualLayout>
              </c:layout>
              <c:tx>
                <c:strRef>
                  <c:f>'SB Flat rate'!$K$62</c:f>
                  <c:strCache>
                    <c:ptCount val="1"/>
                    <c:pt idx="0">
                      <c:v>-52.4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{B62F227E-AC20-49E9-BAEA-53F6E647E59B}</c15:txfldGUID>
                      <c15:f>'SB Flat rate'!$K$62</c15:f>
                      <c15:dlblFieldTableCache>
                        <c:ptCount val="1"/>
                        <c:pt idx="0">
                          <c:v>-52.4</c:v>
                        </c:pt>
                      </c15:dlblFieldTableCache>
                    </c15:dlblFTEntry>
                  </c15:dlblFieldTable>
                  <c15:showDataLabelsRange val="0"/>
                </c:ext>
                <c:ext xmlns:c16="http://schemas.microsoft.com/office/drawing/2014/chart" uri="{C3380CC4-5D6E-409C-BE32-E72D297353CC}">
                  <c16:uniqueId val="{00000005-CFFF-44EE-879C-561E9E6ED1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rate'!$D$62:$J$62</c:f>
              <c:numCache>
                <c:formatCode>#,##0.0</c:formatCode>
                <c:ptCount val="7"/>
                <c:pt idx="0" formatCode="#,##0">
                  <c:v>174.28349253824669</c:v>
                </c:pt>
                <c:pt idx="3">
                  <c:v>52.363510196026198</c:v>
                </c:pt>
                <c:pt idx="6" formatCode="#,##0">
                  <c:v>121.91998234222049</c:v>
                </c:pt>
              </c:numCache>
            </c:numRef>
          </c:val>
          <c:extLst>
            <c:ext xmlns:c16="http://schemas.microsoft.com/office/drawing/2014/chart" uri="{C3380CC4-5D6E-409C-BE32-E72D297353CC}">
              <c16:uniqueId val="{00000006-CFFF-44EE-879C-561E9E6ED10C}"/>
            </c:ext>
          </c:extLst>
        </c:ser>
        <c:ser>
          <c:idx val="4"/>
          <c:order val="4"/>
          <c:tx>
            <c:strRef>
              <c:f>'SB Flat rate'!$C$63</c:f>
              <c:strCache>
                <c:ptCount val="1"/>
                <c:pt idx="0">
                  <c:v>Retail cost</c:v>
                </c:pt>
              </c:strCache>
            </c:strRef>
          </c:tx>
          <c:spPr>
            <a:solidFill>
              <a:srgbClr val="F0B9B3"/>
            </a:solidFill>
            <a:ln>
              <a:noFill/>
            </a:ln>
            <a:effectLst/>
          </c:spPr>
          <c:invertIfNegative val="0"/>
          <c:dLbls>
            <c:dLbl>
              <c:idx val="4"/>
              <c:layout>
                <c:manualLayout>
                  <c:x val="2.8612522846984969E-3"/>
                  <c:y val="-4.1930368997992899E-2"/>
                </c:manualLayout>
              </c:layout>
              <c:tx>
                <c:strRef>
                  <c:f>'SB Flat rate'!$K$63</c:f>
                  <c:strCache>
                    <c:ptCount val="1"/>
                    <c:pt idx="0">
                      <c:v>-35.6</c:v>
                    </c:pt>
                  </c:strCache>
                </c:strRef>
              </c:tx>
              <c:showLegendKey val="0"/>
              <c:showVal val="1"/>
              <c:showCatName val="0"/>
              <c:showSerName val="0"/>
              <c:showPercent val="0"/>
              <c:showBubbleSize val="0"/>
              <c:extLst>
                <c:ext xmlns:c15="http://schemas.microsoft.com/office/drawing/2012/chart" uri="{CE6537A1-D6FC-4f65-9D91-7224C49458BB}">
                  <c15:layout>
                    <c:manualLayout>
                      <c:w val="7.5156516307156015E-2"/>
                      <c:h val="4.9555040914003388E-2"/>
                    </c:manualLayout>
                  </c15:layout>
                  <c15:dlblFieldTable>
                    <c15:dlblFTEntry>
                      <c15:txfldGUID>{81456237-7347-4BD6-9592-FA6A67134491}</c15:txfldGUID>
                      <c15:f>'SB Flat rate'!$K$63</c15:f>
                      <c15:dlblFieldTableCache>
                        <c:ptCount val="1"/>
                        <c:pt idx="0">
                          <c:v>-35.6</c:v>
                        </c:pt>
                      </c15:dlblFieldTableCache>
                    </c15:dlblFTEntry>
                  </c15:dlblFieldTable>
                  <c15:showDataLabelsRange val="0"/>
                </c:ext>
                <c:ext xmlns:c16="http://schemas.microsoft.com/office/drawing/2014/chart" uri="{C3380CC4-5D6E-409C-BE32-E72D297353CC}">
                  <c16:uniqueId val="{00000000-16D7-40CC-8B01-4F348D6769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rate'!$D$63:$J$63</c:f>
              <c:numCache>
                <c:formatCode>#,##0.0</c:formatCode>
                <c:ptCount val="7"/>
                <c:pt idx="0" formatCode="#,##0">
                  <c:v>458.04589127551509</c:v>
                </c:pt>
                <c:pt idx="4">
                  <c:v>35.604058142497536</c:v>
                </c:pt>
                <c:pt idx="6" formatCode="#,##0">
                  <c:v>422.44183313301755</c:v>
                </c:pt>
              </c:numCache>
            </c:numRef>
          </c:val>
          <c:extLst>
            <c:ext xmlns:c16="http://schemas.microsoft.com/office/drawing/2014/chart" uri="{C3380CC4-5D6E-409C-BE32-E72D297353CC}">
              <c16:uniqueId val="{00000007-CFFF-44EE-879C-561E9E6ED10C}"/>
            </c:ext>
          </c:extLst>
        </c:ser>
        <c:ser>
          <c:idx val="5"/>
          <c:order val="5"/>
          <c:tx>
            <c:strRef>
              <c:f>'SB Flat rate'!$C$64</c:f>
              <c:strCache>
                <c:ptCount val="1"/>
                <c:pt idx="0">
                  <c:v>Retail margin</c:v>
                </c:pt>
              </c:strCache>
            </c:strRef>
          </c:tx>
          <c:spPr>
            <a:solidFill>
              <a:srgbClr val="303F51"/>
            </a:solidFill>
            <a:ln>
              <a:noFill/>
            </a:ln>
            <a:effectLst/>
          </c:spPr>
          <c:invertIfNegative val="0"/>
          <c:dLbls>
            <c:dLbl>
              <c:idx val="5"/>
              <c:layout>
                <c:manualLayout>
                  <c:x val="2.8820534290187804E-3"/>
                  <c:y val="-5.8673064304461946E-2"/>
                </c:manualLayout>
              </c:layout>
              <c:tx>
                <c:strRef>
                  <c:f>'SB Flat rate'!$K$64</c:f>
                  <c:strCache>
                    <c:ptCount val="1"/>
                    <c:pt idx="0">
                      <c:v>-353.4</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338061554162093E-2"/>
                      <c:h val="6.1319864078758536E-2"/>
                    </c:manualLayout>
                  </c15:layout>
                  <c15:dlblFieldTable>
                    <c15:dlblFTEntry>
                      <c15:txfldGUID>{49F17D17-B610-466F-B9FF-6003502E4A25}</c15:txfldGUID>
                      <c15:f>'SB Flat rate'!$K$64</c15:f>
                      <c15:dlblFieldTableCache>
                        <c:ptCount val="1"/>
                        <c:pt idx="0">
                          <c:v>-353.4</c:v>
                        </c:pt>
                      </c15:dlblFieldTableCache>
                    </c15:dlblFTEntry>
                  </c15:dlblFieldTable>
                  <c15:showDataLabelsRange val="0"/>
                </c:ext>
                <c:ext xmlns:c16="http://schemas.microsoft.com/office/drawing/2014/chart" uri="{C3380CC4-5D6E-409C-BE32-E72D297353CC}">
                  <c16:uniqueId val="{00000001-16D7-40CC-8B01-4F348D6769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'SB Flat rate'!$D$64:$J$64</c:f>
              <c:numCache>
                <c:formatCode>#,##0.0</c:formatCode>
                <c:ptCount val="7"/>
                <c:pt idx="0" formatCode="#,##0">
                  <c:v>684.42680066631146</c:v>
                </c:pt>
                <c:pt idx="5">
                  <c:v>353.38853913376806</c:v>
                </c:pt>
                <c:pt idx="6" formatCode="#,##0">
                  <c:v>331.0382615325434</c:v>
                </c:pt>
              </c:numCache>
            </c:numRef>
          </c:val>
          <c:extLst>
            <c:ext xmlns:c16="http://schemas.microsoft.com/office/drawing/2014/chart" uri="{C3380CC4-5D6E-409C-BE32-E72D297353CC}">
              <c16:uniqueId val="{00000008-CFFF-44EE-879C-561E9E6ED10C}"/>
            </c:ext>
          </c:extLst>
        </c:ser>
        <c:ser>
          <c:idx val="6"/>
          <c:order val="6"/>
          <c:tx>
            <c:strRef>
              <c:f>'SB Flat rate'!$C$65</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rate'!$D$65:$J$65</c:f>
              <c:numCache>
                <c:formatCode>#,##0</c:formatCode>
                <c:ptCount val="7"/>
                <c:pt idx="0">
                  <c:v>6222</c:v>
                </c:pt>
                <c:pt idx="6">
                  <c:v>5517</c:v>
                </c:pt>
              </c:numCache>
            </c:numRef>
          </c:val>
          <c:extLst>
            <c:ext xmlns:c16="http://schemas.microsoft.com/office/drawing/2014/chart" uri="{C3380CC4-5D6E-409C-BE32-E72D297353CC}">
              <c16:uniqueId val="{00000009-CFFF-44EE-879C-561E9E6ED10C}"/>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69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rate'!$A$66</c:f>
          <c:strCache>
            <c:ptCount val="1"/>
            <c:pt idx="0">
              <c:v>Energex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'SB Flat rate'!$C$66</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rate'!$D$66:$J$66</c:f>
              <c:numCache>
                <c:formatCode>#,##0</c:formatCode>
                <c:ptCount val="7"/>
                <c:pt idx="0">
                  <c:v>0</c:v>
                </c:pt>
                <c:pt idx="1">
                  <c:v>4293.9125229439123</c:v>
                </c:pt>
                <c:pt idx="2">
                  <c:v>4149.9532364220977</c:v>
                </c:pt>
                <c:pt idx="3">
                  <c:v>4107.7425194715943</c:v>
                </c:pt>
                <c:pt idx="4">
                  <c:v>4089.9454638677548</c:v>
                </c:pt>
                <c:pt idx="5">
                  <c:v>3848.52668759992</c:v>
                </c:pt>
                <c:pt idx="6">
                  <c:v>0</c:v>
                </c:pt>
              </c:numCache>
            </c:numRef>
          </c:val>
          <c:extLst>
            <c:ext xmlns:c16="http://schemas.microsoft.com/office/drawing/2014/chart" uri="{C3380CC4-5D6E-409C-BE32-E72D297353CC}">
              <c16:uniqueId val="{00000000-EA6F-4454-B3AB-F1F31AA20D84}"/>
            </c:ext>
          </c:extLst>
        </c:ser>
        <c:ser>
          <c:idx val="1"/>
          <c:order val="1"/>
          <c:tx>
            <c:strRef>
              <c:f>'SB Flat rate'!$C$67</c:f>
              <c:strCache>
                <c:ptCount val="1"/>
                <c:pt idx="0">
                  <c:v>Network cost</c:v>
                </c:pt>
              </c:strCache>
            </c:strRef>
          </c:tx>
          <c:spPr>
            <a:solidFill>
              <a:srgbClr val="89B3CE"/>
            </a:solidFill>
            <a:ln>
              <a:noFill/>
            </a:ln>
            <a:effectLst/>
          </c:spPr>
          <c:invertIfNegative val="0"/>
          <c:dLbls>
            <c:dLbl>
              <c:idx val="1"/>
              <c:layout>
                <c:manualLayout>
                  <c:x val="-1.6812373907195697E-3"/>
                  <c:y val="-4.6107665965751651E-2"/>
                </c:manualLayout>
              </c:layout>
              <c:tx>
                <c:strRef>
                  <c:f>'SB Flat rate'!$K$67</c:f>
                  <c:strCache>
                    <c:ptCount val="1"/>
                    <c:pt idx="0">
                      <c:v>+120.2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{59CD8507-2057-4C81-9E39-A73C27454C5B}</c15:txfldGUID>
                      <c15:f>'SB Flat rate'!$K$67</c15:f>
                      <c15:dlblFieldTableCache>
                        <c:ptCount val="1"/>
                        <c:pt idx="0">
                          <c:v>+120.2</c:v>
                        </c:pt>
                      </c15:dlblFieldTableCache>
                    </c15:dlblFTEntry>
                  </c15:dlblFieldTable>
                  <c15:showDataLabelsRange val="0"/>
                </c:ext>
                <c:ext xmlns:c16="http://schemas.microsoft.com/office/drawing/2014/chart" uri="{C3380CC4-5D6E-409C-BE32-E72D297353CC}">
                  <c16:uniqueId val="{00000001-EA6F-4454-B3AB-F1F31AA20D8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rate'!$D$67:$J$67</c:f>
              <c:numCache>
                <c:formatCode>#,##0.0</c:formatCode>
                <c:ptCount val="7"/>
                <c:pt idx="0" formatCode="#,##0">
                  <c:v>1506.3711370062686</c:v>
                </c:pt>
                <c:pt idx="1">
                  <c:v>120.23922728089906</c:v>
                </c:pt>
                <c:pt idx="6" formatCode="#,##0">
                  <c:v>1626.6103642871676</c:v>
                </c:pt>
              </c:numCache>
            </c:numRef>
          </c:val>
          <c:extLst>
            <c:ext xmlns:c16="http://schemas.microsoft.com/office/drawing/2014/chart" uri="{C3380CC4-5D6E-409C-BE32-E72D297353CC}">
              <c16:uniqueId val="{00000002-EA6F-4454-B3AB-F1F31AA20D84}"/>
            </c:ext>
          </c:extLst>
        </c:ser>
        <c:ser>
          <c:idx val="2"/>
          <c:order val="2"/>
          <c:tx>
            <c:strRef>
              <c:f>'SB Flat rate'!$C$68</c:f>
              <c:strCache>
                <c:ptCount val="1"/>
                <c:pt idx="0">
                  <c:v>Wholesale cost</c:v>
                </c:pt>
              </c:strCache>
            </c:strRef>
          </c:tx>
          <c:spPr>
            <a:solidFill>
              <a:srgbClr val="E06026"/>
            </a:solidFill>
            <a:ln>
              <a:noFill/>
            </a:ln>
            <a:effectLst/>
          </c:spPr>
          <c:invertIfNegative val="0"/>
          <c:dLbls>
            <c:dLbl>
              <c:idx val="2"/>
              <c:layout>
                <c:manualLayout>
                  <c:x val="1.9180134830650789E-3"/>
                  <c:y val="-3.5146209664968349E-2"/>
                </c:manualLayout>
              </c:layout>
              <c:tx>
                <c:strRef>
                  <c:f>'SB Flat rate'!$K$68</c:f>
                  <c:strCache>
                    <c:ptCount val="1"/>
                    <c:pt idx="0">
                      <c:v>-264.2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{D9BFBE05-E1EA-4095-9FB2-D3CE17CA6E4C}</c15:txfldGUID>
                      <c15:f>'SB Flat rate'!$K$68</c15:f>
                      <c15:dlblFieldTableCache>
                        <c:ptCount val="1"/>
                        <c:pt idx="0">
                          <c:v>-264.2</c:v>
                        </c:pt>
                      </c15:dlblFieldTableCache>
                    </c15:dlblFTEntry>
                  </c15:dlblFieldTable>
                  <c15:showDataLabelsRange val="0"/>
                </c:ext>
                <c:ext xmlns:c16="http://schemas.microsoft.com/office/drawing/2014/chart" uri="{C3380CC4-5D6E-409C-BE32-E72D297353CC}">
                  <c16:uniqueId val="{00000003-EA6F-4454-B3AB-F1F31AA20D8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rate'!$D$68:$J$68</c:f>
              <c:numCache>
                <c:formatCode>#,##0.0</c:formatCode>
                <c:ptCount val="7"/>
                <c:pt idx="0" formatCode="#,##0">
                  <c:v>1823.4539633739607</c:v>
                </c:pt>
                <c:pt idx="2">
                  <c:v>264.19851380271348</c:v>
                </c:pt>
                <c:pt idx="6" formatCode="#,##0">
                  <c:v>1559.2554495712473</c:v>
                </c:pt>
              </c:numCache>
            </c:numRef>
          </c:val>
          <c:extLst>
            <c:ext xmlns:c16="http://schemas.microsoft.com/office/drawing/2014/chart" uri="{C3380CC4-5D6E-409C-BE32-E72D297353CC}">
              <c16:uniqueId val="{00000004-EA6F-4454-B3AB-F1F31AA20D84}"/>
            </c:ext>
          </c:extLst>
        </c:ser>
        <c:ser>
          <c:idx val="3"/>
          <c:order val="3"/>
          <c:tx>
            <c:strRef>
              <c:f>'SB Flat rate'!$C$69</c:f>
              <c:strCache>
                <c:ptCount val="1"/>
                <c:pt idx="0">
                  <c:v>Environmental cost</c:v>
                </c:pt>
              </c:strCache>
            </c:strRef>
          </c:tx>
          <c:spPr>
            <a:solidFill>
              <a:srgbClr val="5F9E88"/>
            </a:solidFill>
            <a:ln>
              <a:noFill/>
            </a:ln>
            <a:effectLst/>
          </c:spPr>
          <c:invertIfNegative val="0"/>
          <c:dLbls>
            <c:dLbl>
              <c:idx val="3"/>
              <c:layout>
                <c:manualLayout>
                  <c:x val="-3.4416677582584988E-3"/>
                  <c:y val="3.1681333950903195E-2"/>
                </c:manualLayout>
              </c:layout>
              <c:tx>
                <c:strRef>
                  <c:f>'SB Flat rate'!$K$69</c:f>
                  <c:strCache>
                    <c:ptCount val="1"/>
                    <c:pt idx="0">
                      <c:v>-42.2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{32516D51-DD67-49FE-8688-D38BF5642A8B}</c15:txfldGUID>
                      <c15:f>'SB Flat rate'!$K$69</c15:f>
                      <c15:dlblFieldTableCache>
                        <c:ptCount val="1"/>
                        <c:pt idx="0">
                          <c:v>-42.2</c:v>
                        </c:pt>
                      </c15:dlblFieldTableCache>
                    </c15:dlblFTEntry>
                  </c15:dlblFieldTable>
                  <c15:showDataLabelsRange val="0"/>
                </c:ext>
                <c:ext xmlns:c16="http://schemas.microsoft.com/office/drawing/2014/chart" uri="{C3380CC4-5D6E-409C-BE32-E72D297353CC}">
                  <c16:uniqueId val="{00000005-EA6F-4454-B3AB-F1F31AA20D8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rate'!$D$69:$J$69</c:f>
              <c:numCache>
                <c:formatCode>#,##0.0</c:formatCode>
                <c:ptCount val="7"/>
                <c:pt idx="0" formatCode="#,##0">
                  <c:v>131.09830073847655</c:v>
                </c:pt>
                <c:pt idx="3">
                  <c:v>42.210716950503695</c:v>
                </c:pt>
                <c:pt idx="6" formatCode="#,##0">
                  <c:v>88.887583787972858</c:v>
                </c:pt>
              </c:numCache>
            </c:numRef>
          </c:val>
          <c:extLst>
            <c:ext xmlns:c16="http://schemas.microsoft.com/office/drawing/2014/chart" uri="{C3380CC4-5D6E-409C-BE32-E72D297353CC}">
              <c16:uniqueId val="{00000006-EA6F-4454-B3AB-F1F31AA20D84}"/>
            </c:ext>
          </c:extLst>
        </c:ser>
        <c:ser>
          <c:idx val="4"/>
          <c:order val="4"/>
          <c:tx>
            <c:strRef>
              <c:f>'SB Flat rate'!$C$70</c:f>
              <c:strCache>
                <c:ptCount val="1"/>
                <c:pt idx="0">
                  <c:v>Retail cost</c:v>
                </c:pt>
              </c:strCache>
            </c:strRef>
          </c:tx>
          <c:spPr>
            <a:solidFill>
              <a:srgbClr val="F0B9B3"/>
            </a:solidFill>
            <a:ln>
              <a:noFill/>
            </a:ln>
            <a:effectLst/>
          </c:spPr>
          <c:invertIfNegative val="0"/>
          <c:dLbls>
            <c:dLbl>
              <c:idx val="4"/>
              <c:layout>
                <c:manualLayout>
                  <c:x val="1.7216752958889279E-6"/>
                  <c:y val="-5.1994181841820857E-2"/>
                </c:manualLayout>
              </c:layout>
              <c:tx>
                <c:strRef>
                  <c:f>'SB Flat rate'!$K$70</c:f>
                  <c:strCache>
                    <c:ptCount val="1"/>
                    <c:pt idx="0">
                      <c:v>-17.8</c:v>
                    </c:pt>
                  </c:strCache>
                </c:strRef>
              </c:tx>
              <c:showLegendKey val="0"/>
              <c:showVal val="1"/>
              <c:showCatName val="0"/>
              <c:showSerName val="0"/>
              <c:showPercent val="0"/>
              <c:showBubbleSize val="0"/>
              <c:extLst>
                <c:ext xmlns:c15="http://schemas.microsoft.com/office/drawing/2012/chart" uri="{CE6537A1-D6FC-4f65-9D91-7224C49458BB}">
                  <c15:layout>
                    <c:manualLayout>
                      <c:w val="5.6144228712643782E-2"/>
                      <c:h val="6.1355890885156382E-2"/>
                    </c:manualLayout>
                  </c15:layout>
                  <c15:dlblFieldTable>
                    <c15:dlblFTEntry>
                      <c15:txfldGUID>{4772A19D-EC7B-4E7B-8083-C3C02D540633}</c15:txfldGUID>
                      <c15:f>'SB Flat rate'!$K$70</c15:f>
                      <c15:dlblFieldTableCache>
                        <c:ptCount val="1"/>
                        <c:pt idx="0">
                          <c:v>-17.8</c:v>
                        </c:pt>
                      </c15:dlblFieldTableCache>
                    </c15:dlblFTEntry>
                  </c15:dlblFieldTable>
                  <c15:showDataLabelsRange val="0"/>
                </c:ext>
                <c:ext xmlns:c16="http://schemas.microsoft.com/office/drawing/2014/chart" uri="{C3380CC4-5D6E-409C-BE32-E72D297353CC}">
                  <c16:uniqueId val="{00000000-F3A6-424C-870B-2C4D7540DE2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rate'!$D$70:$J$70</c:f>
              <c:numCache>
                <c:formatCode>#,##0.0</c:formatCode>
                <c:ptCount val="7"/>
                <c:pt idx="0" formatCode="#,##0">
                  <c:v>360.65874430137626</c:v>
                </c:pt>
                <c:pt idx="4">
                  <c:v>17.79705560383951</c:v>
                </c:pt>
                <c:pt idx="6" formatCode="#,##0">
                  <c:v>342.86168869753675</c:v>
                </c:pt>
              </c:numCache>
            </c:numRef>
          </c:val>
          <c:extLst>
            <c:ext xmlns:c16="http://schemas.microsoft.com/office/drawing/2014/chart" uri="{C3380CC4-5D6E-409C-BE32-E72D297353CC}">
              <c16:uniqueId val="{00000007-EA6F-4454-B3AB-F1F31AA20D84}"/>
            </c:ext>
          </c:extLst>
        </c:ser>
        <c:ser>
          <c:idx val="5"/>
          <c:order val="5"/>
          <c:tx>
            <c:strRef>
              <c:f>'SB Flat rate'!$C$71</c:f>
              <c:strCache>
                <c:ptCount val="1"/>
                <c:pt idx="0">
                  <c:v>Retail margin</c:v>
                </c:pt>
              </c:strCache>
            </c:strRef>
          </c:tx>
          <c:spPr>
            <a:solidFill>
              <a:srgbClr val="303F51"/>
            </a:solidFill>
            <a:ln>
              <a:noFill/>
            </a:ln>
            <a:effectLst/>
          </c:spPr>
          <c:invertIfNegative val="0"/>
          <c:dLbls>
            <c:dLbl>
              <c:idx val="5"/>
              <c:layout>
                <c:manualLayout>
                  <c:x val="1.7604142495434934E-3"/>
                  <c:y val="-5.9743766404199476E-2"/>
                </c:manualLayout>
              </c:layout>
              <c:tx>
                <c:strRef>
                  <c:f>'SB Flat rate'!$K$71</c:f>
                  <c:strCache>
                    <c:ptCount val="1"/>
                    <c:pt idx="0">
                      <c:v>-241.4</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3715534633490249E-2"/>
                      <c:h val="6.9504008619773017E-2"/>
                    </c:manualLayout>
                  </c15:layout>
                  <c15:dlblFieldTable>
                    <c15:dlblFTEntry>
                      <c15:txfldGUID>{2534CCC2-0DF2-4D61-923A-794069ACCA48}</c15:txfldGUID>
                      <c15:f>'SB Flat rate'!$K$71</c15:f>
                      <c15:dlblFieldTableCache>
                        <c:ptCount val="1"/>
                        <c:pt idx="0">
                          <c:v>-241.4</c:v>
                        </c:pt>
                      </c15:dlblFieldTableCache>
                    </c15:dlblFTEntry>
                  </c15:dlblFieldTable>
                  <c15:showDataLabelsRange val="0"/>
                </c:ext>
                <c:ext xmlns:c16="http://schemas.microsoft.com/office/drawing/2014/chart" uri="{C3380CC4-5D6E-409C-BE32-E72D297353CC}">
                  <c16:uniqueId val="{00000001-F3A6-424C-870B-2C4D7540DE2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'SB Flat rate'!$D$71:$J$71</c:f>
              <c:numCache>
                <c:formatCode>#,##0.0</c:formatCode>
                <c:ptCount val="7"/>
                <c:pt idx="0" formatCode="#,##0">
                  <c:v>472.33037752383007</c:v>
                </c:pt>
                <c:pt idx="5">
                  <c:v>241.4187762678348</c:v>
                </c:pt>
                <c:pt idx="6" formatCode="#,##0">
                  <c:v>230.91160125599527</c:v>
                </c:pt>
              </c:numCache>
            </c:numRef>
          </c:val>
          <c:extLst>
            <c:ext xmlns:c16="http://schemas.microsoft.com/office/drawing/2014/chart" uri="{C3380CC4-5D6E-409C-BE32-E72D297353CC}">
              <c16:uniqueId val="{00000008-EA6F-4454-B3AB-F1F31AA20D84}"/>
            </c:ext>
          </c:extLst>
        </c:ser>
        <c:ser>
          <c:idx val="6"/>
          <c:order val="6"/>
          <c:tx>
            <c:strRef>
              <c:f>'SB Flat rate'!$C$72</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rate'!$D$72:$J$72</c:f>
              <c:numCache>
                <c:formatCode>#,##0</c:formatCode>
                <c:ptCount val="7"/>
                <c:pt idx="0">
                  <c:v>4294</c:v>
                </c:pt>
                <c:pt idx="6">
                  <c:v>3849</c:v>
                </c:pt>
              </c:numCache>
            </c:numRef>
          </c:val>
          <c:extLst>
            <c:ext xmlns:c16="http://schemas.microsoft.com/office/drawing/2014/chart" uri="{C3380CC4-5D6E-409C-BE32-E72D297353CC}">
              <c16:uniqueId val="{00000009-EA6F-4454-B3AB-F1F31AA20D84}"/>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50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Energex!A1"/><Relationship Id="rId13" Type="http://schemas.openxmlformats.org/officeDocument/2006/relationships/hyperlink" Target="#'SB Flat rate'!A1"/><Relationship Id="rId3" Type="http://schemas.openxmlformats.org/officeDocument/2006/relationships/hyperlink" Target="#'Wholesale cost'!A1"/><Relationship Id="rId7" Type="http://schemas.openxmlformats.org/officeDocument/2006/relationships/hyperlink" Target="#Essential!A1"/><Relationship Id="rId12" Type="http://schemas.openxmlformats.org/officeDocument/2006/relationships/hyperlink" Target="#SSO!A1"/><Relationship Id="rId17" Type="http://schemas.openxmlformats.org/officeDocument/2006/relationships/hyperlink" Target="#'Controlled load'!A1"/><Relationship Id="rId2" Type="http://schemas.openxmlformats.org/officeDocument/2006/relationships/hyperlink" Target="#'Network cost'!A1"/><Relationship Id="rId16" Type="http://schemas.openxmlformats.org/officeDocument/2006/relationships/hyperlink" Target="#'Summary Chart'!A1"/><Relationship Id="rId1" Type="http://schemas.openxmlformats.org/officeDocument/2006/relationships/hyperlink" Target="#'Detail inputs'!A1"/><Relationship Id="rId6" Type="http://schemas.openxmlformats.org/officeDocument/2006/relationships/hyperlink" Target="#Endeavour!A1"/><Relationship Id="rId11" Type="http://schemas.openxmlformats.org/officeDocument/2006/relationships/hyperlink" Target="#'Res Flat rate'!A1"/><Relationship Id="rId5" Type="http://schemas.openxmlformats.org/officeDocument/2006/relationships/hyperlink" Target="#Ausgrid!A1"/><Relationship Id="rId15" Type="http://schemas.openxmlformats.org/officeDocument/2006/relationships/hyperlink" Target="#'Summary Detailed'!A1"/><Relationship Id="rId10" Type="http://schemas.openxmlformats.org/officeDocument/2006/relationships/hyperlink" Target="#Summary!A1"/><Relationship Id="rId4" Type="http://schemas.openxmlformats.org/officeDocument/2006/relationships/hyperlink" Target="#'Environmental cost'!A1"/><Relationship Id="rId9" Type="http://schemas.openxmlformats.org/officeDocument/2006/relationships/hyperlink" Target="#SAPN!A1"/><Relationship Id="rId14" Type="http://schemas.openxmlformats.org/officeDocument/2006/relationships/hyperlink" Target="#'Retail cost'!A1"/></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259987</xdr:colOff>
      <xdr:row>4</xdr:row>
      <xdr:rowOff>8504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350883</xdr:colOff>
      <xdr:row>5</xdr:row>
      <xdr:rowOff>36830</xdr:rowOff>
    </xdr:from>
    <xdr:to>
      <xdr:col>18</xdr:col>
      <xdr:colOff>38100</xdr:colOff>
      <xdr:row>22</xdr:row>
      <xdr:rowOff>20501</xdr:rowOff>
    </xdr:to>
    <xdr:graphicFrame macro="">
      <xdr:nvGraphicFramePr>
        <xdr:cNvPr id="3" name="Chart 2">
          <a:extLst>
            <a:ext uri="{FF2B5EF4-FFF2-40B4-BE49-F238E27FC236}">
              <a16:creationId xmlns:a16="http://schemas.microsoft.com/office/drawing/2014/main" id="{D5586164-1CF8-4514-B60B-BC85232E0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19958</xdr:colOff>
      <xdr:row>4</xdr:row>
      <xdr:rowOff>29633</xdr:rowOff>
    </xdr:from>
    <xdr:to>
      <xdr:col>33</xdr:col>
      <xdr:colOff>547310</xdr:colOff>
      <xdr:row>21</xdr:row>
      <xdr:rowOff>137585</xdr:rowOff>
    </xdr:to>
    <xdr:graphicFrame macro="">
      <xdr:nvGraphicFramePr>
        <xdr:cNvPr id="4" name="Chart 3">
          <a:extLst>
            <a:ext uri="{FF2B5EF4-FFF2-40B4-BE49-F238E27FC236}">
              <a16:creationId xmlns:a16="http://schemas.microsoft.com/office/drawing/2014/main" id="{2812B7D6-94E3-444D-BAAD-650D36AF5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396240</xdr:colOff>
      <xdr:row>4</xdr:row>
      <xdr:rowOff>30480</xdr:rowOff>
    </xdr:from>
    <xdr:to>
      <xdr:col>17</xdr:col>
      <xdr:colOff>0</xdr:colOff>
      <xdr:row>21</xdr:row>
      <xdr:rowOff>144780</xdr:rowOff>
    </xdr:to>
    <xdr:graphicFrame macro="">
      <xdr:nvGraphicFramePr>
        <xdr:cNvPr id="3" name="Chart 2">
          <a:extLst>
            <a:ext uri="{FF2B5EF4-FFF2-40B4-BE49-F238E27FC236}">
              <a16:creationId xmlns:a16="http://schemas.microsoft.com/office/drawing/2014/main" id="{901C3D5E-7D28-45A4-A35D-F1F916306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140516</xdr:colOff>
      <xdr:row>4</xdr:row>
      <xdr:rowOff>30843</xdr:rowOff>
    </xdr:from>
    <xdr:to>
      <xdr:col>31</xdr:col>
      <xdr:colOff>500288</xdr:colOff>
      <xdr:row>21</xdr:row>
      <xdr:rowOff>145143</xdr:rowOff>
    </xdr:to>
    <xdr:graphicFrame macro="">
      <xdr:nvGraphicFramePr>
        <xdr:cNvPr id="4" name="Chart 3">
          <a:extLst>
            <a:ext uri="{FF2B5EF4-FFF2-40B4-BE49-F238E27FC236}">
              <a16:creationId xmlns:a16="http://schemas.microsoft.com/office/drawing/2014/main" id="{443D036B-EA6A-4078-9F8F-A0A1D8636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386715</xdr:colOff>
      <xdr:row>4</xdr:row>
      <xdr:rowOff>30480</xdr:rowOff>
    </xdr:from>
    <xdr:to>
      <xdr:col>17</xdr:col>
      <xdr:colOff>0</xdr:colOff>
      <xdr:row>21</xdr:row>
      <xdr:rowOff>144780</xdr:rowOff>
    </xdr:to>
    <xdr:graphicFrame macro="">
      <xdr:nvGraphicFramePr>
        <xdr:cNvPr id="3" name="Chart 2">
          <a:extLst>
            <a:ext uri="{FF2B5EF4-FFF2-40B4-BE49-F238E27FC236}">
              <a16:creationId xmlns:a16="http://schemas.microsoft.com/office/drawing/2014/main" id="{EE350E1C-DE8B-4B75-9C10-7D640044A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166193</xdr:colOff>
      <xdr:row>4</xdr:row>
      <xdr:rowOff>50504</xdr:rowOff>
    </xdr:from>
    <xdr:to>
      <xdr:col>34</xdr:col>
      <xdr:colOff>590433</xdr:colOff>
      <xdr:row>21</xdr:row>
      <xdr:rowOff>168393</xdr:rowOff>
    </xdr:to>
    <xdr:graphicFrame macro="">
      <xdr:nvGraphicFramePr>
        <xdr:cNvPr id="4" name="Chart 3">
          <a:extLst>
            <a:ext uri="{FF2B5EF4-FFF2-40B4-BE49-F238E27FC236}">
              <a16:creationId xmlns:a16="http://schemas.microsoft.com/office/drawing/2014/main" id="{B41D1BFE-66CA-4AEB-B0A1-93690BC92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386715</xdr:colOff>
      <xdr:row>4</xdr:row>
      <xdr:rowOff>30480</xdr:rowOff>
    </xdr:from>
    <xdr:to>
      <xdr:col>17</xdr:col>
      <xdr:colOff>0</xdr:colOff>
      <xdr:row>21</xdr:row>
      <xdr:rowOff>144780</xdr:rowOff>
    </xdr:to>
    <xdr:graphicFrame macro="">
      <xdr:nvGraphicFramePr>
        <xdr:cNvPr id="3" name="Chart 2">
          <a:extLst>
            <a:ext uri="{FF2B5EF4-FFF2-40B4-BE49-F238E27FC236}">
              <a16:creationId xmlns:a16="http://schemas.microsoft.com/office/drawing/2014/main" id="{1E30DB34-FEA8-46CA-9436-71DC457C8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701595</xdr:colOff>
      <xdr:row>4</xdr:row>
      <xdr:rowOff>907</xdr:rowOff>
    </xdr:from>
    <xdr:to>
      <xdr:col>25</xdr:col>
      <xdr:colOff>755364</xdr:colOff>
      <xdr:row>21</xdr:row>
      <xdr:rowOff>115192</xdr:rowOff>
    </xdr:to>
    <xdr:graphicFrame macro="">
      <xdr:nvGraphicFramePr>
        <xdr:cNvPr id="2" name="Chart 1">
          <a:extLst>
            <a:ext uri="{FF2B5EF4-FFF2-40B4-BE49-F238E27FC236}">
              <a16:creationId xmlns:a16="http://schemas.microsoft.com/office/drawing/2014/main" id="{3388911F-5D3E-4ECC-A381-79C49CA73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341086</xdr:colOff>
      <xdr:row>1</xdr:row>
      <xdr:rowOff>58964</xdr:rowOff>
    </xdr:from>
    <xdr:to>
      <xdr:col>3</xdr:col>
      <xdr:colOff>426902</xdr:colOff>
      <xdr:row>4</xdr:row>
      <xdr:rowOff>179953</xdr:rowOff>
    </xdr:to>
    <xdr:pic>
      <xdr:nvPicPr>
        <xdr:cNvPr id="2" name="Picture 1">
          <a:extLst>
            <a:ext uri="{FF2B5EF4-FFF2-40B4-BE49-F238E27FC236}">
              <a16:creationId xmlns:a16="http://schemas.microsoft.com/office/drawing/2014/main" id="{F429D0CD-1074-41A2-B262-2F3979EF51E4}"/>
            </a:ext>
          </a:extLst>
        </xdr:cNvPr>
        <xdr:cNvPicPr>
          <a:picLocks noChangeAspect="1"/>
        </xdr:cNvPicPr>
      </xdr:nvPicPr>
      <xdr:blipFill>
        <a:blip xmlns:r="http://schemas.openxmlformats.org/officeDocument/2006/relationships" r:embed="rId1"/>
        <a:stretch>
          <a:fillRect/>
        </a:stretch>
      </xdr:blipFill>
      <xdr:spPr>
        <a:xfrm>
          <a:off x="341086" y="244021"/>
          <a:ext cx="1917337" cy="672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11</xdr:row>
      <xdr:rowOff>230937</xdr:rowOff>
    </xdr:from>
    <xdr:to>
      <xdr:col>3</xdr:col>
      <xdr:colOff>182977</xdr:colOff>
      <xdr:row>13</xdr:row>
      <xdr:rowOff>172248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587500" y="3112250"/>
          <a:ext cx="1175165" cy="576311"/>
        </a:xfrm>
        <a:prstGeom prst="rect">
          <a:avLst/>
        </a:prstGeom>
        <a:solidFill>
          <a:schemeClr val="bg1">
            <a:lumMod val="85000"/>
          </a:scheme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ysClr val="windowText" lastClr="000000">
                  <a:lumMod val="65000"/>
                  <a:lumOff val="35000"/>
                </a:sysClr>
              </a:solidFill>
              <a:effectLst/>
              <a:uLnTx/>
              <a:uFillTx/>
              <a:latin typeface="Arial" panose="020B0604020202020204" pitchFamily="34" charset="0"/>
              <a:ea typeface="+mn-ea"/>
              <a:cs typeface="Arial" panose="020B0604020202020204" pitchFamily="34" charset="0"/>
            </a:rPr>
            <a:t>Detail inputs</a:t>
          </a:r>
        </a:p>
      </xdr:txBody>
    </xdr:sp>
    <xdr:clientData/>
  </xdr:twoCellAnchor>
  <xdr:twoCellAnchor>
    <xdr:from>
      <xdr:col>3</xdr:col>
      <xdr:colOff>1221609</xdr:colOff>
      <xdr:row>10</xdr:row>
      <xdr:rowOff>274493</xdr:rowOff>
    </xdr:from>
    <xdr:to>
      <xdr:col>4</xdr:col>
      <xdr:colOff>942851</xdr:colOff>
      <xdr:row>12</xdr:row>
      <xdr:rowOff>215803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3801523" y="2772764"/>
          <a:ext cx="1174485" cy="578125"/>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Calibri" panose="020F0502020204030204"/>
              <a:ea typeface="+mn-ea"/>
              <a:cs typeface="+mn-cs"/>
            </a:rPr>
            <a:t>Network </a:t>
          </a: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cost</a:t>
          </a:r>
        </a:p>
      </xdr:txBody>
    </xdr:sp>
    <xdr:clientData/>
  </xdr:twoCellAnchor>
  <xdr:twoCellAnchor>
    <xdr:from>
      <xdr:col>3</xdr:col>
      <xdr:colOff>1208003</xdr:colOff>
      <xdr:row>8</xdr:row>
      <xdr:rowOff>234110</xdr:rowOff>
    </xdr:from>
    <xdr:to>
      <xdr:col>4</xdr:col>
      <xdr:colOff>929245</xdr:colOff>
      <xdr:row>10</xdr:row>
      <xdr:rowOff>170433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3787917" y="2095567"/>
          <a:ext cx="1174485" cy="573137"/>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200" b="1" kern="0">
              <a:solidFill>
                <a:schemeClr val="bg1"/>
              </a:solidFill>
              <a:latin typeface="Arial" panose="020B0604020202020204" pitchFamily="34" charset="0"/>
              <a:cs typeface="Arial" panose="020B0604020202020204" pitchFamily="34" charset="0"/>
            </a:rPr>
            <a:t>Wholesale</a:t>
          </a:r>
          <a:r>
            <a:rPr lang="en-AU" sz="1200" b="1" kern="0">
              <a:solidFill>
                <a:schemeClr val="bg1"/>
              </a:solidFill>
              <a:latin typeface="Calibri" panose="020F0502020204030204"/>
            </a:rPr>
            <a:t> cost</a:t>
          </a:r>
          <a:endParaRPr kumimoji="0" lang="en-AU" sz="1200" b="1" i="0" u="none" strike="noStrike" kern="0" cap="none" spc="0" normalizeH="0" baseline="0">
            <a:ln>
              <a:noFill/>
            </a:ln>
            <a:solidFill>
              <a:schemeClr val="bg1"/>
            </a:solidFill>
            <a:effectLst/>
            <a:uLnTx/>
            <a:uFillTx/>
            <a:latin typeface="Calibri" panose="020F0502020204030204"/>
          </a:endParaRPr>
        </a:p>
      </xdr:txBody>
    </xdr:sp>
    <xdr:clientData/>
  </xdr:twoCellAnchor>
  <xdr:twoCellAnchor>
    <xdr:from>
      <xdr:col>3</xdr:col>
      <xdr:colOff>1199839</xdr:colOff>
      <xdr:row>12</xdr:row>
      <xdr:rowOff>335246</xdr:rowOff>
    </xdr:from>
    <xdr:to>
      <xdr:col>4</xdr:col>
      <xdr:colOff>925616</xdr:colOff>
      <xdr:row>15</xdr:row>
      <xdr:rowOff>102567</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3779527" y="3470559"/>
          <a:ext cx="1186277" cy="584883"/>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Calibri" panose="020F0502020204030204"/>
              <a:ea typeface="+mn-ea"/>
              <a:cs typeface="+mn-cs"/>
            </a:rPr>
            <a:t>Environmental cost</a:t>
          </a:r>
        </a:p>
      </xdr:txBody>
    </xdr:sp>
    <xdr:clientData/>
  </xdr:twoCellAnchor>
  <xdr:twoCellAnchor>
    <xdr:from>
      <xdr:col>5</xdr:col>
      <xdr:colOff>578115</xdr:colOff>
      <xdr:row>7</xdr:row>
      <xdr:rowOff>102234</xdr:rowOff>
    </xdr:from>
    <xdr:to>
      <xdr:col>6</xdr:col>
      <xdr:colOff>303892</xdr:colOff>
      <xdr:row>9</xdr:row>
      <xdr:rowOff>55610</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400-000006000000}"/>
            </a:ext>
          </a:extLst>
        </xdr:cNvPr>
        <xdr:cNvSpPr/>
      </xdr:nvSpPr>
      <xdr:spPr>
        <a:xfrm>
          <a:off x="6064515" y="1711959"/>
          <a:ext cx="1183102" cy="591551"/>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Ausgrid</a:t>
          </a:r>
        </a:p>
      </xdr:txBody>
    </xdr:sp>
    <xdr:clientData/>
  </xdr:twoCellAnchor>
  <xdr:twoCellAnchor>
    <xdr:from>
      <xdr:col>5</xdr:col>
      <xdr:colOff>581290</xdr:colOff>
      <xdr:row>9</xdr:row>
      <xdr:rowOff>163195</xdr:rowOff>
    </xdr:from>
    <xdr:to>
      <xdr:col>6</xdr:col>
      <xdr:colOff>303892</xdr:colOff>
      <xdr:row>11</xdr:row>
      <xdr:rowOff>104506</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400-000007000000}"/>
            </a:ext>
          </a:extLst>
        </xdr:cNvPr>
        <xdr:cNvSpPr/>
      </xdr:nvSpPr>
      <xdr:spPr>
        <a:xfrm>
          <a:off x="6067690" y="2411095"/>
          <a:ext cx="1179927" cy="579486"/>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Endeavour</a:t>
          </a:r>
        </a:p>
      </xdr:txBody>
    </xdr:sp>
    <xdr:clientData/>
  </xdr:twoCellAnchor>
  <xdr:twoCellAnchor>
    <xdr:from>
      <xdr:col>5</xdr:col>
      <xdr:colOff>578115</xdr:colOff>
      <xdr:row>11</xdr:row>
      <xdr:rowOff>197282</xdr:rowOff>
    </xdr:from>
    <xdr:to>
      <xdr:col>6</xdr:col>
      <xdr:colOff>303892</xdr:colOff>
      <xdr:row>13</xdr:row>
      <xdr:rowOff>144943</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400-000008000000}"/>
            </a:ext>
          </a:extLst>
        </xdr:cNvPr>
        <xdr:cNvSpPr/>
      </xdr:nvSpPr>
      <xdr:spPr>
        <a:xfrm>
          <a:off x="6064515" y="3083357"/>
          <a:ext cx="1183102" cy="585836"/>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Essential</a:t>
          </a:r>
        </a:p>
      </xdr:txBody>
    </xdr:sp>
    <xdr:clientData/>
  </xdr:twoCellAnchor>
  <xdr:twoCellAnchor>
    <xdr:from>
      <xdr:col>5</xdr:col>
      <xdr:colOff>578115</xdr:colOff>
      <xdr:row>13</xdr:row>
      <xdr:rowOff>239084</xdr:rowOff>
    </xdr:from>
    <xdr:to>
      <xdr:col>6</xdr:col>
      <xdr:colOff>303892</xdr:colOff>
      <xdr:row>17</xdr:row>
      <xdr:rowOff>15930</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00000000-0008-0000-0400-000009000000}"/>
            </a:ext>
          </a:extLst>
        </xdr:cNvPr>
        <xdr:cNvSpPr/>
      </xdr:nvSpPr>
      <xdr:spPr>
        <a:xfrm>
          <a:off x="6064515" y="3763334"/>
          <a:ext cx="1183102" cy="576946"/>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Energex</a:t>
          </a:r>
        </a:p>
      </xdr:txBody>
    </xdr:sp>
    <xdr:clientData/>
  </xdr:twoCellAnchor>
  <xdr:twoCellAnchor>
    <xdr:from>
      <xdr:col>5</xdr:col>
      <xdr:colOff>578115</xdr:colOff>
      <xdr:row>17</xdr:row>
      <xdr:rowOff>113611</xdr:rowOff>
    </xdr:from>
    <xdr:to>
      <xdr:col>6</xdr:col>
      <xdr:colOff>303892</xdr:colOff>
      <xdr:row>20</xdr:row>
      <xdr:rowOff>141917</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00000000-0008-0000-0400-00000A000000}"/>
            </a:ext>
          </a:extLst>
        </xdr:cNvPr>
        <xdr:cNvSpPr/>
      </xdr:nvSpPr>
      <xdr:spPr>
        <a:xfrm>
          <a:off x="6064515" y="4437961"/>
          <a:ext cx="1183102" cy="571231"/>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SAPN</a:t>
          </a:r>
        </a:p>
      </xdr:txBody>
    </xdr:sp>
    <xdr:clientData/>
  </xdr:twoCellAnchor>
  <xdr:twoCellAnchor>
    <xdr:from>
      <xdr:col>3</xdr:col>
      <xdr:colOff>183884</xdr:colOff>
      <xdr:row>11</xdr:row>
      <xdr:rowOff>183009</xdr:rowOff>
    </xdr:from>
    <xdr:to>
      <xdr:col>3</xdr:col>
      <xdr:colOff>1221609</xdr:colOff>
      <xdr:row>12</xdr:row>
      <xdr:rowOff>265546</xdr:rowOff>
    </xdr:to>
    <xdr:cxnSp macro="">
      <xdr:nvCxnSpPr>
        <xdr:cNvPr id="11" name="Elbow Connector 10">
          <a:extLst>
            <a:ext uri="{FF2B5EF4-FFF2-40B4-BE49-F238E27FC236}">
              <a16:creationId xmlns:a16="http://schemas.microsoft.com/office/drawing/2014/main" id="{00000000-0008-0000-0400-00000B000000}"/>
            </a:ext>
          </a:extLst>
        </xdr:cNvPr>
        <xdr:cNvCxnSpPr>
          <a:stCxn id="2" idx="3"/>
          <a:endCxn id="3" idx="1"/>
        </xdr:cNvCxnSpPr>
      </xdr:nvCxnSpPr>
      <xdr:spPr>
        <a:xfrm flipV="1">
          <a:off x="2763798" y="3062280"/>
          <a:ext cx="1037725" cy="338352"/>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179802</xdr:colOff>
      <xdr:row>12</xdr:row>
      <xdr:rowOff>265093</xdr:rowOff>
    </xdr:from>
    <xdr:to>
      <xdr:col>3</xdr:col>
      <xdr:colOff>1199839</xdr:colOff>
      <xdr:row>13</xdr:row>
      <xdr:rowOff>246688</xdr:rowOff>
    </xdr:to>
    <xdr:cxnSp macro="">
      <xdr:nvCxnSpPr>
        <xdr:cNvPr id="12" name="Elbow Connector 11">
          <a:extLst>
            <a:ext uri="{FF2B5EF4-FFF2-40B4-BE49-F238E27FC236}">
              <a16:creationId xmlns:a16="http://schemas.microsoft.com/office/drawing/2014/main" id="{00000000-0008-0000-0400-00000C000000}"/>
            </a:ext>
          </a:extLst>
        </xdr:cNvPr>
        <xdr:cNvCxnSpPr>
          <a:stCxn id="2" idx="3"/>
          <a:endCxn id="5" idx="1"/>
        </xdr:cNvCxnSpPr>
      </xdr:nvCxnSpPr>
      <xdr:spPr>
        <a:xfrm>
          <a:off x="2759490" y="3400406"/>
          <a:ext cx="1020037" cy="362595"/>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183884</xdr:colOff>
      <xdr:row>9</xdr:row>
      <xdr:rowOff>140586</xdr:rowOff>
    </xdr:from>
    <xdr:to>
      <xdr:col>3</xdr:col>
      <xdr:colOff>1209817</xdr:colOff>
      <xdr:row>12</xdr:row>
      <xdr:rowOff>265546</xdr:rowOff>
    </xdr:to>
    <xdr:cxnSp macro="">
      <xdr:nvCxnSpPr>
        <xdr:cNvPr id="13" name="Elbow Connector 12">
          <a:extLst>
            <a:ext uri="{FF2B5EF4-FFF2-40B4-BE49-F238E27FC236}">
              <a16:creationId xmlns:a16="http://schemas.microsoft.com/office/drawing/2014/main" id="{00000000-0008-0000-0400-00000D000000}"/>
            </a:ext>
          </a:extLst>
        </xdr:cNvPr>
        <xdr:cNvCxnSpPr>
          <a:stCxn id="2" idx="3"/>
          <a:endCxn id="4" idx="1"/>
        </xdr:cNvCxnSpPr>
      </xdr:nvCxnSpPr>
      <xdr:spPr>
        <a:xfrm flipV="1">
          <a:off x="2763798" y="2383043"/>
          <a:ext cx="1025933" cy="1017589"/>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927431</xdr:colOff>
      <xdr:row>9</xdr:row>
      <xdr:rowOff>140586</xdr:rowOff>
    </xdr:from>
    <xdr:to>
      <xdr:col>5</xdr:col>
      <xdr:colOff>577208</xdr:colOff>
      <xdr:row>19</xdr:row>
      <xdr:rowOff>38865</xdr:rowOff>
    </xdr:to>
    <xdr:cxnSp macro="">
      <xdr:nvCxnSpPr>
        <xdr:cNvPr id="14" name="Elbow Connector 13">
          <a:extLst>
            <a:ext uri="{FF2B5EF4-FFF2-40B4-BE49-F238E27FC236}">
              <a16:creationId xmlns:a16="http://schemas.microsoft.com/office/drawing/2014/main" id="{00000000-0008-0000-0400-00000E000000}"/>
            </a:ext>
          </a:extLst>
        </xdr:cNvPr>
        <xdr:cNvCxnSpPr>
          <a:stCxn id="4" idx="3"/>
          <a:endCxn id="10" idx="1"/>
        </xdr:cNvCxnSpPr>
      </xdr:nvCxnSpPr>
      <xdr:spPr>
        <a:xfrm>
          <a:off x="4960588" y="2383043"/>
          <a:ext cx="1103020" cy="2325793"/>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927431</xdr:colOff>
      <xdr:row>9</xdr:row>
      <xdr:rowOff>140586</xdr:rowOff>
    </xdr:from>
    <xdr:to>
      <xdr:col>5</xdr:col>
      <xdr:colOff>577208</xdr:colOff>
      <xdr:row>15</xdr:row>
      <xdr:rowOff>89861</xdr:rowOff>
    </xdr:to>
    <xdr:cxnSp macro="">
      <xdr:nvCxnSpPr>
        <xdr:cNvPr id="15" name="Elbow Connector 14">
          <a:extLst>
            <a:ext uri="{FF2B5EF4-FFF2-40B4-BE49-F238E27FC236}">
              <a16:creationId xmlns:a16="http://schemas.microsoft.com/office/drawing/2014/main" id="{00000000-0008-0000-0400-00000F000000}"/>
            </a:ext>
          </a:extLst>
        </xdr:cNvPr>
        <xdr:cNvCxnSpPr>
          <a:stCxn id="4" idx="3"/>
          <a:endCxn id="9" idx="1"/>
        </xdr:cNvCxnSpPr>
      </xdr:nvCxnSpPr>
      <xdr:spPr>
        <a:xfrm>
          <a:off x="4960588" y="2383043"/>
          <a:ext cx="1103020" cy="1658332"/>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927431</xdr:colOff>
      <xdr:row>8</xdr:row>
      <xdr:rowOff>143783</xdr:rowOff>
    </xdr:from>
    <xdr:to>
      <xdr:col>5</xdr:col>
      <xdr:colOff>577208</xdr:colOff>
      <xdr:row>9</xdr:row>
      <xdr:rowOff>140586</xdr:rowOff>
    </xdr:to>
    <xdr:cxnSp macro="">
      <xdr:nvCxnSpPr>
        <xdr:cNvPr id="16" name="Elbow Connector 15">
          <a:extLst>
            <a:ext uri="{FF2B5EF4-FFF2-40B4-BE49-F238E27FC236}">
              <a16:creationId xmlns:a16="http://schemas.microsoft.com/office/drawing/2014/main" id="{00000000-0008-0000-0400-000010000000}"/>
            </a:ext>
          </a:extLst>
        </xdr:cNvPr>
        <xdr:cNvCxnSpPr>
          <a:stCxn id="4" idx="3"/>
          <a:endCxn id="6" idx="1"/>
        </xdr:cNvCxnSpPr>
      </xdr:nvCxnSpPr>
      <xdr:spPr>
        <a:xfrm flipV="1">
          <a:off x="4960588" y="2005240"/>
          <a:ext cx="1103020" cy="377803"/>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927431</xdr:colOff>
      <xdr:row>9</xdr:row>
      <xdr:rowOff>140586</xdr:rowOff>
    </xdr:from>
    <xdr:to>
      <xdr:col>5</xdr:col>
      <xdr:colOff>579476</xdr:colOff>
      <xdr:row>10</xdr:row>
      <xdr:rowOff>196444</xdr:rowOff>
    </xdr:to>
    <xdr:cxnSp macro="">
      <xdr:nvCxnSpPr>
        <xdr:cNvPr id="17" name="Elbow Connector 16">
          <a:extLst>
            <a:ext uri="{FF2B5EF4-FFF2-40B4-BE49-F238E27FC236}">
              <a16:creationId xmlns:a16="http://schemas.microsoft.com/office/drawing/2014/main" id="{00000000-0008-0000-0400-000011000000}"/>
            </a:ext>
          </a:extLst>
        </xdr:cNvPr>
        <xdr:cNvCxnSpPr>
          <a:stCxn id="4" idx="3"/>
          <a:endCxn id="7" idx="1"/>
        </xdr:cNvCxnSpPr>
      </xdr:nvCxnSpPr>
      <xdr:spPr>
        <a:xfrm>
          <a:off x="4960588" y="2383043"/>
          <a:ext cx="1105288" cy="311672"/>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13</xdr:row>
      <xdr:rowOff>246688</xdr:rowOff>
    </xdr:from>
    <xdr:to>
      <xdr:col>5</xdr:col>
      <xdr:colOff>581290</xdr:colOff>
      <xdr:row>15</xdr:row>
      <xdr:rowOff>90201</xdr:rowOff>
    </xdr:to>
    <xdr:cxnSp macro="">
      <xdr:nvCxnSpPr>
        <xdr:cNvPr id="18" name="Elbow Connector 17">
          <a:extLst>
            <a:ext uri="{FF2B5EF4-FFF2-40B4-BE49-F238E27FC236}">
              <a16:creationId xmlns:a16="http://schemas.microsoft.com/office/drawing/2014/main" id="{00000000-0008-0000-0400-000012000000}"/>
            </a:ext>
          </a:extLst>
        </xdr:cNvPr>
        <xdr:cNvCxnSpPr>
          <a:stCxn id="5" idx="3"/>
          <a:endCxn id="9" idx="1"/>
        </xdr:cNvCxnSpPr>
      </xdr:nvCxnSpPr>
      <xdr:spPr>
        <a:xfrm>
          <a:off x="4962629" y="3763001"/>
          <a:ext cx="1119349" cy="280075"/>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944665</xdr:colOff>
      <xdr:row>11</xdr:row>
      <xdr:rowOff>183009</xdr:rowOff>
    </xdr:from>
    <xdr:to>
      <xdr:col>5</xdr:col>
      <xdr:colOff>577208</xdr:colOff>
      <xdr:row>12</xdr:row>
      <xdr:rowOff>233705</xdr:rowOff>
    </xdr:to>
    <xdr:cxnSp macro="">
      <xdr:nvCxnSpPr>
        <xdr:cNvPr id="19" name="Elbow Connector 18">
          <a:extLst>
            <a:ext uri="{FF2B5EF4-FFF2-40B4-BE49-F238E27FC236}">
              <a16:creationId xmlns:a16="http://schemas.microsoft.com/office/drawing/2014/main" id="{00000000-0008-0000-0400-000013000000}"/>
            </a:ext>
          </a:extLst>
        </xdr:cNvPr>
        <xdr:cNvCxnSpPr>
          <a:stCxn id="3" idx="3"/>
          <a:endCxn id="8" idx="1"/>
        </xdr:cNvCxnSpPr>
      </xdr:nvCxnSpPr>
      <xdr:spPr>
        <a:xfrm>
          <a:off x="4977822" y="3062280"/>
          <a:ext cx="1085786" cy="306511"/>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303892</xdr:colOff>
      <xdr:row>16</xdr:row>
      <xdr:rowOff>83656</xdr:rowOff>
    </xdr:from>
    <xdr:to>
      <xdr:col>7</xdr:col>
      <xdr:colOff>569293</xdr:colOff>
      <xdr:row>19</xdr:row>
      <xdr:rowOff>37956</xdr:rowOff>
    </xdr:to>
    <xdr:cxnSp macro="">
      <xdr:nvCxnSpPr>
        <xdr:cNvPr id="20" name="Elbow Connector 19">
          <a:extLst>
            <a:ext uri="{FF2B5EF4-FFF2-40B4-BE49-F238E27FC236}">
              <a16:creationId xmlns:a16="http://schemas.microsoft.com/office/drawing/2014/main" id="{00000000-0008-0000-0400-000014000000}"/>
            </a:ext>
          </a:extLst>
        </xdr:cNvPr>
        <xdr:cNvCxnSpPr>
          <a:stCxn id="10" idx="3"/>
          <a:endCxn id="36" idx="1"/>
        </xdr:cNvCxnSpPr>
      </xdr:nvCxnSpPr>
      <xdr:spPr>
        <a:xfrm flipV="1">
          <a:off x="7240511" y="4214179"/>
          <a:ext cx="1106020" cy="498587"/>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303892</xdr:colOff>
      <xdr:row>8</xdr:row>
      <xdr:rowOff>144690</xdr:rowOff>
    </xdr:from>
    <xdr:to>
      <xdr:col>7</xdr:col>
      <xdr:colOff>567026</xdr:colOff>
      <xdr:row>12</xdr:row>
      <xdr:rowOff>343669</xdr:rowOff>
    </xdr:to>
    <xdr:cxnSp macro="">
      <xdr:nvCxnSpPr>
        <xdr:cNvPr id="21" name="Elbow Connector 20">
          <a:extLst>
            <a:ext uri="{FF2B5EF4-FFF2-40B4-BE49-F238E27FC236}">
              <a16:creationId xmlns:a16="http://schemas.microsoft.com/office/drawing/2014/main" id="{00000000-0008-0000-0400-000015000000}"/>
            </a:ext>
          </a:extLst>
        </xdr:cNvPr>
        <xdr:cNvCxnSpPr>
          <a:stCxn id="6" idx="3"/>
          <a:endCxn id="37" idx="1"/>
        </xdr:cNvCxnSpPr>
      </xdr:nvCxnSpPr>
      <xdr:spPr>
        <a:xfrm>
          <a:off x="7240511" y="2007357"/>
          <a:ext cx="1103753" cy="1468979"/>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303892</xdr:colOff>
      <xdr:row>10</xdr:row>
      <xdr:rowOff>197351</xdr:rowOff>
    </xdr:from>
    <xdr:to>
      <xdr:col>7</xdr:col>
      <xdr:colOff>569293</xdr:colOff>
      <xdr:row>16</xdr:row>
      <xdr:rowOff>83656</xdr:rowOff>
    </xdr:to>
    <xdr:cxnSp macro="">
      <xdr:nvCxnSpPr>
        <xdr:cNvPr id="23" name="Elbow Connector 22">
          <a:extLst>
            <a:ext uri="{FF2B5EF4-FFF2-40B4-BE49-F238E27FC236}">
              <a16:creationId xmlns:a16="http://schemas.microsoft.com/office/drawing/2014/main" id="{00000000-0008-0000-0400-000017000000}"/>
            </a:ext>
          </a:extLst>
        </xdr:cNvPr>
        <xdr:cNvCxnSpPr>
          <a:stCxn id="7" idx="3"/>
          <a:endCxn id="36" idx="1"/>
        </xdr:cNvCxnSpPr>
      </xdr:nvCxnSpPr>
      <xdr:spPr>
        <a:xfrm>
          <a:off x="7240511" y="2695018"/>
          <a:ext cx="1106020" cy="1519161"/>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656792</xdr:colOff>
      <xdr:row>10</xdr:row>
      <xdr:rowOff>20083</xdr:rowOff>
    </xdr:from>
    <xdr:to>
      <xdr:col>3</xdr:col>
      <xdr:colOff>656792</xdr:colOff>
      <xdr:row>10</xdr:row>
      <xdr:rowOff>20083</xdr:rowOff>
    </xdr:to>
    <xdr:sp macro="" textlink="">
      <xdr:nvSpPr>
        <xdr:cNvPr id="26" name="Oval 25">
          <a:extLst>
            <a:ext uri="{FF2B5EF4-FFF2-40B4-BE49-F238E27FC236}">
              <a16:creationId xmlns:a16="http://schemas.microsoft.com/office/drawing/2014/main" id="{00000000-0008-0000-0400-00001A000000}"/>
            </a:ext>
          </a:extLst>
        </xdr:cNvPr>
        <xdr:cNvSpPr/>
      </xdr:nvSpPr>
      <xdr:spPr>
        <a:xfrm>
          <a:off x="2820872" y="2511823"/>
          <a:ext cx="0" cy="0"/>
        </a:xfrm>
        <a:prstGeom prst="ellipse">
          <a:avLst/>
        </a:prstGeom>
        <a:solidFill>
          <a:schemeClr val="accent5">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sz="1600">
            <a:solidFill>
              <a:schemeClr val="bg1">
                <a:lumMod val="50000"/>
              </a:schemeClr>
            </a:solidFill>
          </a:endParaRPr>
        </a:p>
      </xdr:txBody>
    </xdr:sp>
    <xdr:clientData/>
  </xdr:twoCellAnchor>
  <xdr:twoCellAnchor>
    <xdr:from>
      <xdr:col>6</xdr:col>
      <xdr:colOff>303892</xdr:colOff>
      <xdr:row>10</xdr:row>
      <xdr:rowOff>195763</xdr:rowOff>
    </xdr:from>
    <xdr:to>
      <xdr:col>7</xdr:col>
      <xdr:colOff>582296</xdr:colOff>
      <xdr:row>12</xdr:row>
      <xdr:rowOff>233025</xdr:rowOff>
    </xdr:to>
    <xdr:cxnSp macro="">
      <xdr:nvCxnSpPr>
        <xdr:cNvPr id="27" name="Elbow Connector 26">
          <a:extLst>
            <a:ext uri="{FF2B5EF4-FFF2-40B4-BE49-F238E27FC236}">
              <a16:creationId xmlns:a16="http://schemas.microsoft.com/office/drawing/2014/main" id="{00000000-0008-0000-0400-00001B000000}"/>
            </a:ext>
          </a:extLst>
        </xdr:cNvPr>
        <xdr:cNvCxnSpPr>
          <a:stCxn id="8" idx="3"/>
          <a:endCxn id="35" idx="1"/>
        </xdr:cNvCxnSpPr>
      </xdr:nvCxnSpPr>
      <xdr:spPr>
        <a:xfrm flipV="1">
          <a:off x="7247617" y="2700838"/>
          <a:ext cx="1116604" cy="675437"/>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12</xdr:row>
      <xdr:rowOff>68580</xdr:rowOff>
    </xdr:from>
    <xdr:to>
      <xdr:col>3</xdr:col>
      <xdr:colOff>731520</xdr:colOff>
      <xdr:row>13</xdr:row>
      <xdr:rowOff>22860</xdr:rowOff>
    </xdr:to>
    <xdr:sp macro="" textlink="">
      <xdr:nvSpPr>
        <xdr:cNvPr id="28" name="Rectangle 27">
          <a:extLst>
            <a:ext uri="{FF2B5EF4-FFF2-40B4-BE49-F238E27FC236}">
              <a16:creationId xmlns:a16="http://schemas.microsoft.com/office/drawing/2014/main" id="{00000000-0008-0000-0400-00001C000000}"/>
            </a:ext>
          </a:extLst>
        </xdr:cNvPr>
        <xdr:cNvSpPr/>
      </xdr:nvSpPr>
      <xdr:spPr>
        <a:xfrm>
          <a:off x="2316480" y="3192780"/>
          <a:ext cx="579120" cy="33528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inputs</a:t>
          </a:r>
        </a:p>
      </xdr:txBody>
    </xdr:sp>
    <xdr:clientData/>
  </xdr:twoCellAnchor>
  <xdr:twoCellAnchor>
    <xdr:from>
      <xdr:col>4</xdr:col>
      <xdr:colOff>1028699</xdr:colOff>
      <xdr:row>10</xdr:row>
      <xdr:rowOff>171450</xdr:rowOff>
    </xdr:from>
    <xdr:to>
      <xdr:col>5</xdr:col>
      <xdr:colOff>428625</xdr:colOff>
      <xdr:row>13</xdr:row>
      <xdr:rowOff>0</xdr:rowOff>
    </xdr:to>
    <xdr:sp macro="" textlink="">
      <xdr:nvSpPr>
        <xdr:cNvPr id="29" name="Rectangle 28">
          <a:extLst>
            <a:ext uri="{FF2B5EF4-FFF2-40B4-BE49-F238E27FC236}">
              <a16:creationId xmlns:a16="http://schemas.microsoft.com/office/drawing/2014/main" id="{00000000-0008-0000-0400-00001D000000}"/>
            </a:ext>
          </a:extLst>
        </xdr:cNvPr>
        <xdr:cNvSpPr/>
      </xdr:nvSpPr>
      <xdr:spPr>
        <a:xfrm>
          <a:off x="4876799" y="2667000"/>
          <a:ext cx="790576" cy="838200"/>
        </a:xfrm>
        <a:prstGeom prst="rect">
          <a:avLst/>
        </a:prstGeom>
        <a:solidFill>
          <a:srgbClr val="FFFFFF">
            <a:alpha val="50196"/>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components and % change for each region</a:t>
          </a:r>
        </a:p>
      </xdr:txBody>
    </xdr:sp>
    <xdr:clientData/>
  </xdr:twoCellAnchor>
  <xdr:twoCellAnchor>
    <xdr:from>
      <xdr:col>6</xdr:col>
      <xdr:colOff>337185</xdr:colOff>
      <xdr:row>10</xdr:row>
      <xdr:rowOff>344805</xdr:rowOff>
    </xdr:from>
    <xdr:to>
      <xdr:col>7</xdr:col>
      <xdr:colOff>577281</xdr:colOff>
      <xdr:row>12</xdr:row>
      <xdr:rowOff>144393</xdr:rowOff>
    </xdr:to>
    <xdr:sp macro="" textlink="">
      <xdr:nvSpPr>
        <xdr:cNvPr id="30" name="Rectangle 29">
          <a:extLst>
            <a:ext uri="{FF2B5EF4-FFF2-40B4-BE49-F238E27FC236}">
              <a16:creationId xmlns:a16="http://schemas.microsoft.com/office/drawing/2014/main" id="{00000000-0008-0000-0400-00001E000000}"/>
            </a:ext>
          </a:extLst>
        </xdr:cNvPr>
        <xdr:cNvSpPr/>
      </xdr:nvSpPr>
      <xdr:spPr>
        <a:xfrm>
          <a:off x="6966585" y="2840355"/>
          <a:ext cx="1040196" cy="428238"/>
        </a:xfrm>
        <a:prstGeom prst="rect">
          <a:avLst/>
        </a:prstGeom>
        <a:solidFill>
          <a:srgbClr val="FFFFFF">
            <a:alpha val="50196"/>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stacks and changes in underlying costs</a:t>
          </a:r>
        </a:p>
      </xdr:txBody>
    </xdr:sp>
    <xdr:clientData/>
  </xdr:twoCellAnchor>
  <xdr:twoCellAnchor>
    <xdr:from>
      <xdr:col>3</xdr:col>
      <xdr:colOff>1150727</xdr:colOff>
      <xdr:row>5</xdr:row>
      <xdr:rowOff>67560</xdr:rowOff>
    </xdr:from>
    <xdr:to>
      <xdr:col>4</xdr:col>
      <xdr:colOff>869314</xdr:colOff>
      <xdr:row>6</xdr:row>
      <xdr:rowOff>152400</xdr:rowOff>
    </xdr:to>
    <xdr:sp macro="" textlink="">
      <xdr:nvSpPr>
        <xdr:cNvPr id="32" name="Rectangle 31">
          <a:extLst>
            <a:ext uri="{FF2B5EF4-FFF2-40B4-BE49-F238E27FC236}">
              <a16:creationId xmlns:a16="http://schemas.microsoft.com/office/drawing/2014/main" id="{00000000-0008-0000-0400-000020000000}"/>
            </a:ext>
          </a:extLst>
        </xdr:cNvPr>
        <xdr:cNvSpPr/>
      </xdr:nvSpPr>
      <xdr:spPr>
        <a:xfrm>
          <a:off x="3722477" y="1039110"/>
          <a:ext cx="1175912" cy="342015"/>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calculations for DMO prices</a:t>
          </a:r>
        </a:p>
      </xdr:txBody>
    </xdr:sp>
    <xdr:clientData/>
  </xdr:twoCellAnchor>
  <xdr:twoCellAnchor>
    <xdr:from>
      <xdr:col>5</xdr:col>
      <xdr:colOff>347799</xdr:colOff>
      <xdr:row>3</xdr:row>
      <xdr:rowOff>88900</xdr:rowOff>
    </xdr:from>
    <xdr:to>
      <xdr:col>6</xdr:col>
      <xdr:colOff>490401</xdr:colOff>
      <xdr:row>6</xdr:row>
      <xdr:rowOff>272143</xdr:rowOff>
    </xdr:to>
    <xdr:sp macro="" textlink="">
      <xdr:nvSpPr>
        <xdr:cNvPr id="33" name="Rectangle 32">
          <a:extLst>
            <a:ext uri="{FF2B5EF4-FFF2-40B4-BE49-F238E27FC236}">
              <a16:creationId xmlns:a16="http://schemas.microsoft.com/office/drawing/2014/main" id="{00000000-0008-0000-0400-000021000000}"/>
            </a:ext>
          </a:extLst>
        </xdr:cNvPr>
        <xdr:cNvSpPr/>
      </xdr:nvSpPr>
      <xdr:spPr>
        <a:xfrm>
          <a:off x="5832989" y="693662"/>
          <a:ext cx="1594031" cy="818243"/>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rgbClr val="8064A2">
                  <a:lumMod val="75000"/>
                </a:srgbClr>
              </a:solidFill>
              <a:effectLst/>
              <a:uLnTx/>
              <a:uFillTx/>
              <a:latin typeface="Arial" panose="020B0604020202020204" pitchFamily="34" charset="0"/>
              <a:ea typeface="+mn-ea"/>
              <a:cs typeface="Arial" panose="020B0604020202020204" pitchFamily="34" charset="0"/>
            </a:rPr>
            <a:t>Regional cost assessment to determine DMO prices and tariff prices</a:t>
          </a:r>
        </a:p>
      </xdr:txBody>
    </xdr:sp>
    <xdr:clientData/>
  </xdr:twoCellAnchor>
  <xdr:twoCellAnchor>
    <xdr:from>
      <xdr:col>10</xdr:col>
      <xdr:colOff>579816</xdr:colOff>
      <xdr:row>10</xdr:row>
      <xdr:rowOff>17084</xdr:rowOff>
    </xdr:from>
    <xdr:to>
      <xdr:col>12</xdr:col>
      <xdr:colOff>527325</xdr:colOff>
      <xdr:row>11</xdr:row>
      <xdr:rowOff>210490</xdr:rowOff>
    </xdr:to>
    <xdr:sp macro="" textlink="">
      <xdr:nvSpPr>
        <xdr:cNvPr id="34" name="Rectangle 33">
          <a:hlinkClick xmlns:r="http://schemas.openxmlformats.org/officeDocument/2006/relationships" r:id="rId10"/>
          <a:extLst>
            <a:ext uri="{FF2B5EF4-FFF2-40B4-BE49-F238E27FC236}">
              <a16:creationId xmlns:a16="http://schemas.microsoft.com/office/drawing/2014/main" id="{00000000-0008-0000-0400-000022000000}"/>
            </a:ext>
          </a:extLst>
        </xdr:cNvPr>
        <xdr:cNvSpPr/>
      </xdr:nvSpPr>
      <xdr:spPr>
        <a:xfrm>
          <a:off x="10655149" y="2514751"/>
          <a:ext cx="1181224" cy="574406"/>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Overall summary</a:t>
          </a:r>
        </a:p>
      </xdr:txBody>
    </xdr:sp>
    <xdr:clientData/>
  </xdr:twoCellAnchor>
  <xdr:twoCellAnchor>
    <xdr:from>
      <xdr:col>7</xdr:col>
      <xdr:colOff>579121</xdr:colOff>
      <xdr:row>9</xdr:row>
      <xdr:rowOff>163195</xdr:rowOff>
    </xdr:from>
    <xdr:to>
      <xdr:col>9</xdr:col>
      <xdr:colOff>87093</xdr:colOff>
      <xdr:row>11</xdr:row>
      <xdr:rowOff>104506</xdr:rowOff>
    </xdr:to>
    <xdr:sp macro="" textlink="">
      <xdr:nvSpPr>
        <xdr:cNvPr id="35" name="Rectangle 34">
          <a:hlinkClick xmlns:r="http://schemas.openxmlformats.org/officeDocument/2006/relationships" r:id="rId11"/>
          <a:extLst>
            <a:ext uri="{FF2B5EF4-FFF2-40B4-BE49-F238E27FC236}">
              <a16:creationId xmlns:a16="http://schemas.microsoft.com/office/drawing/2014/main" id="{00000000-0008-0000-0400-000023000000}"/>
            </a:ext>
          </a:extLst>
        </xdr:cNvPr>
        <xdr:cNvSpPr/>
      </xdr:nvSpPr>
      <xdr:spPr>
        <a:xfrm>
          <a:off x="8361046" y="2411095"/>
          <a:ext cx="1184372" cy="579486"/>
        </a:xfrm>
        <a:prstGeom prst="rect">
          <a:avLst/>
        </a:prstGeom>
        <a:solidFill>
          <a:srgbClr val="70303C">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ysClr val="window" lastClr="FFFFFF"/>
              </a:solidFill>
              <a:effectLst/>
              <a:uLnTx/>
              <a:uFillTx/>
              <a:latin typeface="Arial" panose="020B0604020202020204" pitchFamily="34" charset="0"/>
              <a:cs typeface="Arial" panose="020B0604020202020204" pitchFamily="34" charset="0"/>
            </a:rPr>
            <a:t>Residential      </a:t>
          </a:r>
          <a:r>
            <a:rPr kumimoji="0" lang="en-AU" sz="1200" b="1" i="0" u="none" strike="noStrike" kern="0" cap="none" spc="0" normalizeH="0">
              <a:ln>
                <a:noFill/>
              </a:ln>
              <a:solidFill>
                <a:sysClr val="window" lastClr="FFFFFF"/>
              </a:solidFill>
              <a:effectLst/>
              <a:uLnTx/>
              <a:uFillTx/>
              <a:latin typeface="Arial" panose="020B0604020202020204" pitchFamily="34" charset="0"/>
              <a:cs typeface="Arial" panose="020B0604020202020204" pitchFamily="34" charset="0"/>
            </a:rPr>
            <a:t>Flat</a:t>
          </a:r>
          <a:r>
            <a:rPr kumimoji="0" lang="en-AU" sz="1200" b="1" i="0" u="none" strike="noStrike" kern="0" cap="none" spc="0" normalizeH="0" baseline="0">
              <a:ln>
                <a:noFill/>
              </a:ln>
              <a:solidFill>
                <a:sysClr val="window" lastClr="FFFFFF"/>
              </a:solidFill>
              <a:effectLst/>
              <a:uLnTx/>
              <a:uFillTx/>
              <a:latin typeface="Arial" panose="020B0604020202020204" pitchFamily="34" charset="0"/>
              <a:cs typeface="Arial" panose="020B0604020202020204" pitchFamily="34" charset="0"/>
            </a:rPr>
            <a:t> Rate</a:t>
          </a:r>
        </a:p>
      </xdr:txBody>
    </xdr:sp>
    <xdr:clientData/>
  </xdr:twoCellAnchor>
  <xdr:twoCellAnchor>
    <xdr:from>
      <xdr:col>7</xdr:col>
      <xdr:colOff>569293</xdr:colOff>
      <xdr:row>14</xdr:row>
      <xdr:rowOff>160170</xdr:rowOff>
    </xdr:from>
    <xdr:to>
      <xdr:col>9</xdr:col>
      <xdr:colOff>72729</xdr:colOff>
      <xdr:row>18</xdr:row>
      <xdr:rowOff>9860</xdr:rowOff>
    </xdr:to>
    <xdr:sp macro="" textlink="">
      <xdr:nvSpPr>
        <xdr:cNvPr id="36" name="Rectangle 35">
          <a:hlinkClick xmlns:r="http://schemas.openxmlformats.org/officeDocument/2006/relationships" r:id="rId12"/>
          <a:extLst>
            <a:ext uri="{FF2B5EF4-FFF2-40B4-BE49-F238E27FC236}">
              <a16:creationId xmlns:a16="http://schemas.microsoft.com/office/drawing/2014/main" id="{00000000-0008-0000-0400-000024000000}"/>
            </a:ext>
          </a:extLst>
        </xdr:cNvPr>
        <xdr:cNvSpPr/>
      </xdr:nvSpPr>
      <xdr:spPr>
        <a:xfrm>
          <a:off x="8346531" y="3927837"/>
          <a:ext cx="1184675" cy="575404"/>
        </a:xfrm>
        <a:prstGeom prst="rect">
          <a:avLst/>
        </a:prstGeom>
        <a:solidFill>
          <a:srgbClr val="70303C">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Calibri" panose="020F0502020204030204"/>
            </a:rPr>
            <a:t>Solar Sharer Offer</a:t>
          </a:r>
        </a:p>
      </xdr:txBody>
    </xdr:sp>
    <xdr:clientData/>
  </xdr:twoCellAnchor>
  <xdr:twoCellAnchor>
    <xdr:from>
      <xdr:col>7</xdr:col>
      <xdr:colOff>566119</xdr:colOff>
      <xdr:row>12</xdr:row>
      <xdr:rowOff>55423</xdr:rowOff>
    </xdr:from>
    <xdr:to>
      <xdr:col>9</xdr:col>
      <xdr:colOff>67741</xdr:colOff>
      <xdr:row>13</xdr:row>
      <xdr:rowOff>245472</xdr:rowOff>
    </xdr:to>
    <xdr:sp macro="" textlink="">
      <xdr:nvSpPr>
        <xdr:cNvPr id="37" name="Rectangle 36">
          <a:hlinkClick xmlns:r="http://schemas.openxmlformats.org/officeDocument/2006/relationships" r:id="rId13"/>
          <a:extLst>
            <a:ext uri="{FF2B5EF4-FFF2-40B4-BE49-F238E27FC236}">
              <a16:creationId xmlns:a16="http://schemas.microsoft.com/office/drawing/2014/main" id="{00000000-0008-0000-0400-000025000000}"/>
            </a:ext>
          </a:extLst>
        </xdr:cNvPr>
        <xdr:cNvSpPr/>
      </xdr:nvSpPr>
      <xdr:spPr>
        <a:xfrm>
          <a:off x="8343357" y="3188090"/>
          <a:ext cx="1182861" cy="571049"/>
        </a:xfrm>
        <a:prstGeom prst="rect">
          <a:avLst/>
        </a:prstGeom>
        <a:solidFill>
          <a:srgbClr val="70303C">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ysClr val="window" lastClr="FFFFFF"/>
              </a:solidFill>
              <a:effectLst/>
              <a:uLnTx/>
              <a:uFillTx/>
              <a:latin typeface="Arial" panose="020B0604020202020204" pitchFamily="34" charset="0"/>
              <a:cs typeface="Arial" panose="020B0604020202020204" pitchFamily="34" charset="0"/>
            </a:rPr>
            <a:t>Small business  Flat rate</a:t>
          </a:r>
        </a:p>
      </xdr:txBody>
    </xdr:sp>
    <xdr:clientData/>
  </xdr:twoCellAnchor>
  <xdr:twoCellAnchor>
    <xdr:from>
      <xdr:col>2</xdr:col>
      <xdr:colOff>742</xdr:colOff>
      <xdr:row>5</xdr:row>
      <xdr:rowOff>67560</xdr:rowOff>
    </xdr:from>
    <xdr:to>
      <xdr:col>3</xdr:col>
      <xdr:colOff>175259</xdr:colOff>
      <xdr:row>6</xdr:row>
      <xdr:rowOff>152400</xdr:rowOff>
    </xdr:to>
    <xdr:sp macro="" textlink="">
      <xdr:nvSpPr>
        <xdr:cNvPr id="40" name="Rectangle 39">
          <a:extLst>
            <a:ext uri="{FF2B5EF4-FFF2-40B4-BE49-F238E27FC236}">
              <a16:creationId xmlns:a16="http://schemas.microsoft.com/office/drawing/2014/main" id="{00000000-0008-0000-0400-000028000000}"/>
            </a:ext>
          </a:extLst>
        </xdr:cNvPr>
        <xdr:cNvSpPr/>
      </xdr:nvSpPr>
      <xdr:spPr>
        <a:xfrm>
          <a:off x="1197082" y="1042920"/>
          <a:ext cx="1142257" cy="33630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Inputs and assumptions</a:t>
          </a:r>
        </a:p>
      </xdr:txBody>
    </xdr:sp>
    <xdr:clientData/>
  </xdr:twoCellAnchor>
  <xdr:twoCellAnchor>
    <xdr:from>
      <xdr:col>9</xdr:col>
      <xdr:colOff>407777</xdr:colOff>
      <xdr:row>5</xdr:row>
      <xdr:rowOff>64385</xdr:rowOff>
    </xdr:from>
    <xdr:to>
      <xdr:col>13</xdr:col>
      <xdr:colOff>85725</xdr:colOff>
      <xdr:row>6</xdr:row>
      <xdr:rowOff>152400</xdr:rowOff>
    </xdr:to>
    <xdr:sp macro="" textlink="">
      <xdr:nvSpPr>
        <xdr:cNvPr id="41" name="Rectangle 40">
          <a:extLst>
            <a:ext uri="{FF2B5EF4-FFF2-40B4-BE49-F238E27FC236}">
              <a16:creationId xmlns:a16="http://schemas.microsoft.com/office/drawing/2014/main" id="{00000000-0008-0000-0400-000029000000}"/>
            </a:ext>
          </a:extLst>
        </xdr:cNvPr>
        <xdr:cNvSpPr/>
      </xdr:nvSpPr>
      <xdr:spPr>
        <a:xfrm>
          <a:off x="9866102" y="1035935"/>
          <a:ext cx="2154448" cy="34519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Overview / Summary</a:t>
          </a:r>
        </a:p>
      </xdr:txBody>
    </xdr:sp>
    <xdr:clientData/>
  </xdr:twoCellAnchor>
  <xdr:twoCellAnchor>
    <xdr:from>
      <xdr:col>7</xdr:col>
      <xdr:colOff>335280</xdr:colOff>
      <xdr:row>5</xdr:row>
      <xdr:rowOff>67560</xdr:rowOff>
    </xdr:from>
    <xdr:to>
      <xdr:col>9</xdr:col>
      <xdr:colOff>214101</xdr:colOff>
      <xdr:row>6</xdr:row>
      <xdr:rowOff>152400</xdr:rowOff>
    </xdr:to>
    <xdr:sp macro="" textlink="">
      <xdr:nvSpPr>
        <xdr:cNvPr id="42" name="Rectangle 41">
          <a:extLst>
            <a:ext uri="{FF2B5EF4-FFF2-40B4-BE49-F238E27FC236}">
              <a16:creationId xmlns:a16="http://schemas.microsoft.com/office/drawing/2014/main" id="{00000000-0008-0000-0400-00002A000000}"/>
            </a:ext>
          </a:extLst>
        </xdr:cNvPr>
        <xdr:cNvSpPr/>
      </xdr:nvSpPr>
      <xdr:spPr>
        <a:xfrm>
          <a:off x="7574280" y="1042920"/>
          <a:ext cx="1524741" cy="33630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stacks with changes in underlying costs</a:t>
          </a:r>
        </a:p>
      </xdr:txBody>
    </xdr:sp>
    <xdr:clientData/>
  </xdr:twoCellAnchor>
  <xdr:twoCellAnchor>
    <xdr:from>
      <xdr:col>3</xdr:col>
      <xdr:colOff>480060</xdr:colOff>
      <xdr:row>5</xdr:row>
      <xdr:rowOff>99060</xdr:rowOff>
    </xdr:from>
    <xdr:to>
      <xdr:col>3</xdr:col>
      <xdr:colOff>784860</xdr:colOff>
      <xdr:row>6</xdr:row>
      <xdr:rowOff>152400</xdr:rowOff>
    </xdr:to>
    <xdr:sp macro="" textlink="">
      <xdr:nvSpPr>
        <xdr:cNvPr id="43" name="Right Arrow 42">
          <a:extLst>
            <a:ext uri="{FF2B5EF4-FFF2-40B4-BE49-F238E27FC236}">
              <a16:creationId xmlns:a16="http://schemas.microsoft.com/office/drawing/2014/main" id="{00000000-0008-0000-0400-00002B000000}"/>
            </a:ext>
          </a:extLst>
        </xdr:cNvPr>
        <xdr:cNvSpPr/>
      </xdr:nvSpPr>
      <xdr:spPr>
        <a:xfrm>
          <a:off x="264414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1242060</xdr:colOff>
      <xdr:row>5</xdr:row>
      <xdr:rowOff>99060</xdr:rowOff>
    </xdr:from>
    <xdr:to>
      <xdr:col>5</xdr:col>
      <xdr:colOff>129540</xdr:colOff>
      <xdr:row>6</xdr:row>
      <xdr:rowOff>152400</xdr:rowOff>
    </xdr:to>
    <xdr:sp macro="" textlink="">
      <xdr:nvSpPr>
        <xdr:cNvPr id="44" name="Right Arrow 43">
          <a:extLst>
            <a:ext uri="{FF2B5EF4-FFF2-40B4-BE49-F238E27FC236}">
              <a16:creationId xmlns:a16="http://schemas.microsoft.com/office/drawing/2014/main" id="{00000000-0008-0000-0400-00002C000000}"/>
            </a:ext>
          </a:extLst>
        </xdr:cNvPr>
        <xdr:cNvSpPr/>
      </xdr:nvSpPr>
      <xdr:spPr>
        <a:xfrm>
          <a:off x="482346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701040</xdr:colOff>
      <xdr:row>5</xdr:row>
      <xdr:rowOff>99060</xdr:rowOff>
    </xdr:from>
    <xdr:to>
      <xdr:col>7</xdr:col>
      <xdr:colOff>182880</xdr:colOff>
      <xdr:row>6</xdr:row>
      <xdr:rowOff>152400</xdr:rowOff>
    </xdr:to>
    <xdr:sp macro="" textlink="">
      <xdr:nvSpPr>
        <xdr:cNvPr id="45" name="Right Arrow 44">
          <a:extLst>
            <a:ext uri="{FF2B5EF4-FFF2-40B4-BE49-F238E27FC236}">
              <a16:creationId xmlns:a16="http://schemas.microsoft.com/office/drawing/2014/main" id="{00000000-0008-0000-0400-00002D000000}"/>
            </a:ext>
          </a:extLst>
        </xdr:cNvPr>
        <xdr:cNvSpPr/>
      </xdr:nvSpPr>
      <xdr:spPr>
        <a:xfrm>
          <a:off x="711708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289560</xdr:colOff>
      <xdr:row>5</xdr:row>
      <xdr:rowOff>99060</xdr:rowOff>
    </xdr:from>
    <xdr:to>
      <xdr:col>9</xdr:col>
      <xdr:colOff>594360</xdr:colOff>
      <xdr:row>6</xdr:row>
      <xdr:rowOff>152400</xdr:rowOff>
    </xdr:to>
    <xdr:sp macro="" textlink="">
      <xdr:nvSpPr>
        <xdr:cNvPr id="46" name="Right Arrow 45">
          <a:extLst>
            <a:ext uri="{FF2B5EF4-FFF2-40B4-BE49-F238E27FC236}">
              <a16:creationId xmlns:a16="http://schemas.microsoft.com/office/drawing/2014/main" id="{00000000-0008-0000-0400-00002E000000}"/>
            </a:ext>
          </a:extLst>
        </xdr:cNvPr>
        <xdr:cNvSpPr/>
      </xdr:nvSpPr>
      <xdr:spPr>
        <a:xfrm>
          <a:off x="917448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303892</xdr:colOff>
      <xdr:row>15</xdr:row>
      <xdr:rowOff>91674</xdr:rowOff>
    </xdr:from>
    <xdr:to>
      <xdr:col>7</xdr:col>
      <xdr:colOff>569293</xdr:colOff>
      <xdr:row>16</xdr:row>
      <xdr:rowOff>83656</xdr:rowOff>
    </xdr:to>
    <xdr:cxnSp macro="">
      <xdr:nvCxnSpPr>
        <xdr:cNvPr id="47" name="Elbow Connector 46">
          <a:extLst>
            <a:ext uri="{FF2B5EF4-FFF2-40B4-BE49-F238E27FC236}">
              <a16:creationId xmlns:a16="http://schemas.microsoft.com/office/drawing/2014/main" id="{00000000-0008-0000-0400-00002F000000}"/>
            </a:ext>
          </a:extLst>
        </xdr:cNvPr>
        <xdr:cNvCxnSpPr>
          <a:stCxn id="9" idx="3"/>
          <a:endCxn id="36" idx="1"/>
        </xdr:cNvCxnSpPr>
      </xdr:nvCxnSpPr>
      <xdr:spPr>
        <a:xfrm>
          <a:off x="7240511" y="4040770"/>
          <a:ext cx="1106020" cy="173409"/>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1199839</xdr:colOff>
      <xdr:row>16</xdr:row>
      <xdr:rowOff>17746</xdr:rowOff>
    </xdr:from>
    <xdr:to>
      <xdr:col>4</xdr:col>
      <xdr:colOff>925616</xdr:colOff>
      <xdr:row>19</xdr:row>
      <xdr:rowOff>39067</xdr:rowOff>
    </xdr:to>
    <xdr:sp macro="" textlink="">
      <xdr:nvSpPr>
        <xdr:cNvPr id="56" name="Rectangle 55">
          <a:hlinkClick xmlns:r="http://schemas.openxmlformats.org/officeDocument/2006/relationships" r:id="rId14"/>
          <a:extLst>
            <a:ext uri="{FF2B5EF4-FFF2-40B4-BE49-F238E27FC236}">
              <a16:creationId xmlns:a16="http://schemas.microsoft.com/office/drawing/2014/main" id="{50CA0613-344D-4691-BCB1-9A13F9F1E0E8}"/>
            </a:ext>
          </a:extLst>
        </xdr:cNvPr>
        <xdr:cNvSpPr/>
      </xdr:nvSpPr>
      <xdr:spPr>
        <a:xfrm>
          <a:off x="3779527" y="4153184"/>
          <a:ext cx="1186277" cy="569008"/>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Calibri" panose="020F0502020204030204"/>
              <a:ea typeface="+mn-ea"/>
              <a:cs typeface="+mn-cs"/>
            </a:rPr>
            <a:t>Retail </a:t>
          </a: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cost</a:t>
          </a:r>
        </a:p>
      </xdr:txBody>
    </xdr:sp>
    <xdr:clientData/>
  </xdr:twoCellAnchor>
  <xdr:twoCellAnchor>
    <xdr:from>
      <xdr:col>3</xdr:col>
      <xdr:colOff>689429</xdr:colOff>
      <xdr:row>14</xdr:row>
      <xdr:rowOff>18142</xdr:rowOff>
    </xdr:from>
    <xdr:to>
      <xdr:col>3</xdr:col>
      <xdr:colOff>1202560</xdr:colOff>
      <xdr:row>17</xdr:row>
      <xdr:rowOff>123505</xdr:rowOff>
    </xdr:to>
    <xdr:cxnSp macro="">
      <xdr:nvCxnSpPr>
        <xdr:cNvPr id="57" name="Elbow Connector 24">
          <a:extLst>
            <a:ext uri="{FF2B5EF4-FFF2-40B4-BE49-F238E27FC236}">
              <a16:creationId xmlns:a16="http://schemas.microsoft.com/office/drawing/2014/main" id="{34E6DAB8-B274-4870-A87F-4D1EFB4A5AA7}"/>
            </a:ext>
          </a:extLst>
        </xdr:cNvPr>
        <xdr:cNvCxnSpPr>
          <a:cxnSpLocks/>
          <a:endCxn id="56" idx="1"/>
        </xdr:cNvCxnSpPr>
      </xdr:nvCxnSpPr>
      <xdr:spPr>
        <a:xfrm rot="16200000" flipH="1">
          <a:off x="3194432" y="3875234"/>
          <a:ext cx="667791" cy="513131"/>
        </a:xfrm>
        <a:prstGeom prst="bentConnector2">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15</xdr:row>
      <xdr:rowOff>90201</xdr:rowOff>
    </xdr:from>
    <xdr:to>
      <xdr:col>5</xdr:col>
      <xdr:colOff>581290</xdr:colOff>
      <xdr:row>17</xdr:row>
      <xdr:rowOff>119688</xdr:rowOff>
    </xdr:to>
    <xdr:cxnSp macro="">
      <xdr:nvCxnSpPr>
        <xdr:cNvPr id="64" name="Elbow Connector 17">
          <a:extLst>
            <a:ext uri="{FF2B5EF4-FFF2-40B4-BE49-F238E27FC236}">
              <a16:creationId xmlns:a16="http://schemas.microsoft.com/office/drawing/2014/main" id="{42C667C7-39FF-4583-896B-34226BCBEEEB}"/>
            </a:ext>
          </a:extLst>
        </xdr:cNvPr>
        <xdr:cNvCxnSpPr>
          <a:stCxn id="56" idx="3"/>
          <a:endCxn id="9" idx="1"/>
        </xdr:cNvCxnSpPr>
      </xdr:nvCxnSpPr>
      <xdr:spPr>
        <a:xfrm flipV="1">
          <a:off x="4962629" y="4043076"/>
          <a:ext cx="1119349" cy="394612"/>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255813</xdr:colOff>
      <xdr:row>12</xdr:row>
      <xdr:rowOff>160866</xdr:rowOff>
    </xdr:from>
    <xdr:to>
      <xdr:col>14</xdr:col>
      <xdr:colOff>191413</xdr:colOff>
      <xdr:row>14</xdr:row>
      <xdr:rowOff>108073</xdr:rowOff>
    </xdr:to>
    <xdr:sp macro="" textlink="">
      <xdr:nvSpPr>
        <xdr:cNvPr id="49" name="Rectangle 48">
          <a:hlinkClick xmlns:r="http://schemas.openxmlformats.org/officeDocument/2006/relationships" r:id="rId15"/>
          <a:extLst>
            <a:ext uri="{FF2B5EF4-FFF2-40B4-BE49-F238E27FC236}">
              <a16:creationId xmlns:a16="http://schemas.microsoft.com/office/drawing/2014/main" id="{98A3E7FB-732E-4CB6-855A-18DC1CAC78A2}"/>
            </a:ext>
          </a:extLst>
        </xdr:cNvPr>
        <xdr:cNvSpPr/>
      </xdr:nvSpPr>
      <xdr:spPr>
        <a:xfrm>
          <a:off x="11564861" y="3293533"/>
          <a:ext cx="1169314" cy="582207"/>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Summary detailed</a:t>
          </a:r>
        </a:p>
      </xdr:txBody>
    </xdr:sp>
    <xdr:clientData/>
  </xdr:twoCellAnchor>
  <xdr:twoCellAnchor>
    <xdr:from>
      <xdr:col>12</xdr:col>
      <xdr:colOff>266094</xdr:colOff>
      <xdr:row>15</xdr:row>
      <xdr:rowOff>72571</xdr:rowOff>
    </xdr:from>
    <xdr:to>
      <xdr:col>14</xdr:col>
      <xdr:colOff>199880</xdr:colOff>
      <xdr:row>18</xdr:row>
      <xdr:rowOff>109133</xdr:rowOff>
    </xdr:to>
    <xdr:sp macro="" textlink="">
      <xdr:nvSpPr>
        <xdr:cNvPr id="50" name="Rectangle 49">
          <a:hlinkClick xmlns:r="http://schemas.openxmlformats.org/officeDocument/2006/relationships" r:id="rId16"/>
          <a:extLst>
            <a:ext uri="{FF2B5EF4-FFF2-40B4-BE49-F238E27FC236}">
              <a16:creationId xmlns:a16="http://schemas.microsoft.com/office/drawing/2014/main" id="{4EB4360F-B2F3-4D83-A243-319F6AADC915}"/>
            </a:ext>
          </a:extLst>
        </xdr:cNvPr>
        <xdr:cNvSpPr/>
      </xdr:nvSpPr>
      <xdr:spPr>
        <a:xfrm>
          <a:off x="11575142" y="4021667"/>
          <a:ext cx="1167500" cy="580847"/>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Summary chart</a:t>
          </a:r>
        </a:p>
      </xdr:txBody>
    </xdr:sp>
    <xdr:clientData/>
  </xdr:twoCellAnchor>
  <xdr:twoCellAnchor>
    <xdr:from>
      <xdr:col>11</xdr:col>
      <xdr:colOff>553572</xdr:colOff>
      <xdr:row>11</xdr:row>
      <xdr:rowOff>213210</xdr:rowOff>
    </xdr:from>
    <xdr:to>
      <xdr:col>12</xdr:col>
      <xdr:colOff>257628</xdr:colOff>
      <xdr:row>13</xdr:row>
      <xdr:rowOff>70969</xdr:rowOff>
    </xdr:to>
    <xdr:cxnSp macro="">
      <xdr:nvCxnSpPr>
        <xdr:cNvPr id="51" name="Elbow Connector 21">
          <a:extLst>
            <a:ext uri="{FF2B5EF4-FFF2-40B4-BE49-F238E27FC236}">
              <a16:creationId xmlns:a16="http://schemas.microsoft.com/office/drawing/2014/main" id="{96D48EB4-96CD-46E7-B77F-C144DDE31B6C}"/>
            </a:ext>
          </a:extLst>
        </xdr:cNvPr>
        <xdr:cNvCxnSpPr>
          <a:stCxn id="34" idx="2"/>
          <a:endCxn id="49" idx="1"/>
        </xdr:cNvCxnSpPr>
      </xdr:nvCxnSpPr>
      <xdr:spPr>
        <a:xfrm rot="16200000" flipH="1">
          <a:off x="11159839" y="3177800"/>
          <a:ext cx="492759" cy="320914"/>
        </a:xfrm>
        <a:prstGeom prst="bentConnector2">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68648</xdr:colOff>
      <xdr:row>10</xdr:row>
      <xdr:rowOff>307008</xdr:rowOff>
    </xdr:from>
    <xdr:to>
      <xdr:col>10</xdr:col>
      <xdr:colOff>578909</xdr:colOff>
      <xdr:row>12</xdr:row>
      <xdr:rowOff>343669</xdr:rowOff>
    </xdr:to>
    <xdr:cxnSp macro="">
      <xdr:nvCxnSpPr>
        <xdr:cNvPr id="55" name="Elbow Connector 21">
          <a:extLst>
            <a:ext uri="{FF2B5EF4-FFF2-40B4-BE49-F238E27FC236}">
              <a16:creationId xmlns:a16="http://schemas.microsoft.com/office/drawing/2014/main" id="{4ABF401D-D66B-4758-86BE-D53DCF5BF6C4}"/>
            </a:ext>
          </a:extLst>
        </xdr:cNvPr>
        <xdr:cNvCxnSpPr>
          <a:stCxn id="37" idx="3"/>
          <a:endCxn id="34" idx="1"/>
        </xdr:cNvCxnSpPr>
      </xdr:nvCxnSpPr>
      <xdr:spPr>
        <a:xfrm flipV="1">
          <a:off x="9527125" y="2804675"/>
          <a:ext cx="1127117" cy="671661"/>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569293</xdr:colOff>
      <xdr:row>14</xdr:row>
      <xdr:rowOff>160170</xdr:rowOff>
    </xdr:from>
    <xdr:to>
      <xdr:col>9</xdr:col>
      <xdr:colOff>73636</xdr:colOff>
      <xdr:row>18</xdr:row>
      <xdr:rowOff>8953</xdr:rowOff>
    </xdr:to>
    <xdr:sp macro="" textlink="">
      <xdr:nvSpPr>
        <xdr:cNvPr id="58" name="Rectangle 57">
          <a:hlinkClick xmlns:r="http://schemas.openxmlformats.org/officeDocument/2006/relationships" r:id="rId17"/>
          <a:extLst>
            <a:ext uri="{FF2B5EF4-FFF2-40B4-BE49-F238E27FC236}">
              <a16:creationId xmlns:a16="http://schemas.microsoft.com/office/drawing/2014/main" id="{069471B6-AB48-4BF4-AD0E-D913C05D5635}"/>
            </a:ext>
          </a:extLst>
        </xdr:cNvPr>
        <xdr:cNvSpPr/>
      </xdr:nvSpPr>
      <xdr:spPr>
        <a:xfrm>
          <a:off x="8346531" y="3927837"/>
          <a:ext cx="1185582" cy="574497"/>
        </a:xfrm>
        <a:prstGeom prst="rect">
          <a:avLst/>
        </a:prstGeom>
        <a:solidFill>
          <a:schemeClr val="accent4">
            <a:lumMod val="75000"/>
          </a:scheme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Controlled load</a:t>
          </a:r>
        </a:p>
      </xdr:txBody>
    </xdr:sp>
    <xdr:clientData/>
  </xdr:twoCellAnchor>
  <xdr:twoCellAnchor>
    <xdr:from>
      <xdr:col>7</xdr:col>
      <xdr:colOff>568476</xdr:colOff>
      <xdr:row>19</xdr:row>
      <xdr:rowOff>12095</xdr:rowOff>
    </xdr:from>
    <xdr:to>
      <xdr:col>9</xdr:col>
      <xdr:colOff>72819</xdr:colOff>
      <xdr:row>22</xdr:row>
      <xdr:rowOff>45027</xdr:rowOff>
    </xdr:to>
    <xdr:sp macro="" textlink="">
      <xdr:nvSpPr>
        <xdr:cNvPr id="60" name="Rectangle 59">
          <a:hlinkClick xmlns:r="http://schemas.openxmlformats.org/officeDocument/2006/relationships" r:id="rId12"/>
          <a:extLst>
            <a:ext uri="{FF2B5EF4-FFF2-40B4-BE49-F238E27FC236}">
              <a16:creationId xmlns:a16="http://schemas.microsoft.com/office/drawing/2014/main" id="{5B0FEBEA-115B-40A2-BB46-B6456AF2B3D0}"/>
            </a:ext>
          </a:extLst>
        </xdr:cNvPr>
        <xdr:cNvSpPr/>
      </xdr:nvSpPr>
      <xdr:spPr>
        <a:xfrm>
          <a:off x="8345714" y="4686905"/>
          <a:ext cx="1185582" cy="577218"/>
        </a:xfrm>
        <a:prstGeom prst="rect">
          <a:avLst/>
        </a:prstGeom>
        <a:solidFill>
          <a:srgbClr val="FFCF37"/>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Solar Sharer Offer</a:t>
          </a:r>
        </a:p>
      </xdr:txBody>
    </xdr:sp>
    <xdr:clientData/>
  </xdr:twoCellAnchor>
  <xdr:twoCellAnchor>
    <xdr:from>
      <xdr:col>9</xdr:col>
      <xdr:colOff>73636</xdr:colOff>
      <xdr:row>10</xdr:row>
      <xdr:rowOff>307008</xdr:rowOff>
    </xdr:from>
    <xdr:to>
      <xdr:col>10</xdr:col>
      <xdr:colOff>578909</xdr:colOff>
      <xdr:row>16</xdr:row>
      <xdr:rowOff>83656</xdr:rowOff>
    </xdr:to>
    <xdr:cxnSp macro="">
      <xdr:nvCxnSpPr>
        <xdr:cNvPr id="88" name="Elbow Connector 21">
          <a:extLst>
            <a:ext uri="{FF2B5EF4-FFF2-40B4-BE49-F238E27FC236}">
              <a16:creationId xmlns:a16="http://schemas.microsoft.com/office/drawing/2014/main" id="{945009F4-22C2-4A5B-BADB-8A36E0E7BF9F}"/>
            </a:ext>
          </a:extLst>
        </xdr:cNvPr>
        <xdr:cNvCxnSpPr>
          <a:stCxn id="58" idx="3"/>
          <a:endCxn id="34" idx="1"/>
        </xdr:cNvCxnSpPr>
      </xdr:nvCxnSpPr>
      <xdr:spPr>
        <a:xfrm flipV="1">
          <a:off x="9532113" y="2804675"/>
          <a:ext cx="1122129" cy="1409504"/>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73726</xdr:colOff>
      <xdr:row>10</xdr:row>
      <xdr:rowOff>307008</xdr:rowOff>
    </xdr:from>
    <xdr:to>
      <xdr:col>10</xdr:col>
      <xdr:colOff>578909</xdr:colOff>
      <xdr:row>20</xdr:row>
      <xdr:rowOff>117916</xdr:rowOff>
    </xdr:to>
    <xdr:cxnSp macro="">
      <xdr:nvCxnSpPr>
        <xdr:cNvPr id="89" name="Elbow Connector 21">
          <a:extLst>
            <a:ext uri="{FF2B5EF4-FFF2-40B4-BE49-F238E27FC236}">
              <a16:creationId xmlns:a16="http://schemas.microsoft.com/office/drawing/2014/main" id="{4AB151C8-161E-4453-9C9C-CEFBEE455891}"/>
            </a:ext>
          </a:extLst>
        </xdr:cNvPr>
        <xdr:cNvCxnSpPr>
          <a:stCxn id="60" idx="3"/>
          <a:endCxn id="34" idx="1"/>
        </xdr:cNvCxnSpPr>
      </xdr:nvCxnSpPr>
      <xdr:spPr>
        <a:xfrm flipV="1">
          <a:off x="9532203" y="2804675"/>
          <a:ext cx="1122039" cy="2169479"/>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85279</xdr:colOff>
      <xdr:row>10</xdr:row>
      <xdr:rowOff>197351</xdr:rowOff>
    </xdr:from>
    <xdr:to>
      <xdr:col>10</xdr:col>
      <xdr:colOff>578909</xdr:colOff>
      <xdr:row>10</xdr:row>
      <xdr:rowOff>307008</xdr:rowOff>
    </xdr:to>
    <xdr:cxnSp macro="">
      <xdr:nvCxnSpPr>
        <xdr:cNvPr id="90" name="Elbow Connector 21">
          <a:extLst>
            <a:ext uri="{FF2B5EF4-FFF2-40B4-BE49-F238E27FC236}">
              <a16:creationId xmlns:a16="http://schemas.microsoft.com/office/drawing/2014/main" id="{89B7AC2B-8F40-45B6-8056-4B9ADA2EDA09}"/>
            </a:ext>
          </a:extLst>
        </xdr:cNvPr>
        <xdr:cNvCxnSpPr>
          <a:stCxn id="35" idx="3"/>
          <a:endCxn id="34" idx="1"/>
        </xdr:cNvCxnSpPr>
      </xdr:nvCxnSpPr>
      <xdr:spPr>
        <a:xfrm>
          <a:off x="9543756" y="2695018"/>
          <a:ext cx="1110486" cy="109657"/>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257626</xdr:colOff>
      <xdr:row>13</xdr:row>
      <xdr:rowOff>70969</xdr:rowOff>
    </xdr:from>
    <xdr:to>
      <xdr:col>12</xdr:col>
      <xdr:colOff>266093</xdr:colOff>
      <xdr:row>17</xdr:row>
      <xdr:rowOff>1045</xdr:rowOff>
    </xdr:to>
    <xdr:cxnSp macro="">
      <xdr:nvCxnSpPr>
        <xdr:cNvPr id="98" name="Elbow Connector 21">
          <a:extLst>
            <a:ext uri="{FF2B5EF4-FFF2-40B4-BE49-F238E27FC236}">
              <a16:creationId xmlns:a16="http://schemas.microsoft.com/office/drawing/2014/main" id="{36F48AD8-0BBC-4A79-A1A3-93DC822E67FD}"/>
            </a:ext>
          </a:extLst>
        </xdr:cNvPr>
        <xdr:cNvCxnSpPr>
          <a:stCxn id="49" idx="1"/>
          <a:endCxn id="50" idx="1"/>
        </xdr:cNvCxnSpPr>
      </xdr:nvCxnSpPr>
      <xdr:spPr>
        <a:xfrm rot="10800000" flipH="1" flipV="1">
          <a:off x="11566674" y="3584636"/>
          <a:ext cx="8467" cy="728361"/>
        </a:xfrm>
        <a:prstGeom prst="bentConnector3">
          <a:avLst>
            <a:gd name="adj1" fmla="val -2699894"/>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266095</xdr:colOff>
      <xdr:row>19</xdr:row>
      <xdr:rowOff>54428</xdr:rowOff>
    </xdr:from>
    <xdr:to>
      <xdr:col>14</xdr:col>
      <xdr:colOff>201695</xdr:colOff>
      <xdr:row>22</xdr:row>
      <xdr:rowOff>90989</xdr:rowOff>
    </xdr:to>
    <xdr:sp macro="" textlink="">
      <xdr:nvSpPr>
        <xdr:cNvPr id="101" name="Rectangle 100">
          <a:hlinkClick xmlns:r="http://schemas.openxmlformats.org/officeDocument/2006/relationships" r:id="rId16"/>
          <a:extLst>
            <a:ext uri="{FF2B5EF4-FFF2-40B4-BE49-F238E27FC236}">
              <a16:creationId xmlns:a16="http://schemas.microsoft.com/office/drawing/2014/main" id="{32801076-055C-4273-9FCC-5EC9D7D88873}"/>
            </a:ext>
          </a:extLst>
        </xdr:cNvPr>
        <xdr:cNvSpPr/>
      </xdr:nvSpPr>
      <xdr:spPr>
        <a:xfrm>
          <a:off x="11575143" y="4729238"/>
          <a:ext cx="1169314" cy="580847"/>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Tariff price summary</a:t>
          </a:r>
        </a:p>
      </xdr:txBody>
    </xdr:sp>
    <xdr:clientData/>
  </xdr:twoCellAnchor>
  <xdr:twoCellAnchor>
    <xdr:from>
      <xdr:col>12</xdr:col>
      <xdr:colOff>54432</xdr:colOff>
      <xdr:row>16</xdr:row>
      <xdr:rowOff>145146</xdr:rowOff>
    </xdr:from>
    <xdr:to>
      <xdr:col>12</xdr:col>
      <xdr:colOff>266096</xdr:colOff>
      <xdr:row>20</xdr:row>
      <xdr:rowOff>163876</xdr:rowOff>
    </xdr:to>
    <xdr:cxnSp macro="">
      <xdr:nvCxnSpPr>
        <xdr:cNvPr id="102" name="Elbow Connector 21">
          <a:extLst>
            <a:ext uri="{FF2B5EF4-FFF2-40B4-BE49-F238E27FC236}">
              <a16:creationId xmlns:a16="http://schemas.microsoft.com/office/drawing/2014/main" id="{AAD03C06-B696-435A-8000-E986CA077969}"/>
            </a:ext>
          </a:extLst>
        </xdr:cNvPr>
        <xdr:cNvCxnSpPr>
          <a:endCxn id="101" idx="1"/>
        </xdr:cNvCxnSpPr>
      </xdr:nvCxnSpPr>
      <xdr:spPr>
        <a:xfrm rot="16200000" flipH="1">
          <a:off x="11097089" y="4542060"/>
          <a:ext cx="744445" cy="211664"/>
        </a:xfrm>
        <a:prstGeom prst="bentConnector2">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18</xdr:row>
      <xdr:rowOff>57150</xdr:rowOff>
    </xdr:from>
    <xdr:to>
      <xdr:col>13</xdr:col>
      <xdr:colOff>388844</xdr:colOff>
      <xdr:row>44</xdr:row>
      <xdr:rowOff>76200</xdr:rowOff>
    </xdr:to>
    <xdr:graphicFrame macro="">
      <xdr:nvGraphicFramePr>
        <xdr:cNvPr id="2" name="Chart 1">
          <a:extLst>
            <a:ext uri="{FF2B5EF4-FFF2-40B4-BE49-F238E27FC236}">
              <a16:creationId xmlns:a16="http://schemas.microsoft.com/office/drawing/2014/main" id="{838DC077-41C9-4020-837A-328BB2485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723900</xdr:colOff>
      <xdr:row>3</xdr:row>
      <xdr:rowOff>0</xdr:rowOff>
    </xdr:from>
    <xdr:to>
      <xdr:col>18</xdr:col>
      <xdr:colOff>0</xdr:colOff>
      <xdr:row>20</xdr:row>
      <xdr:rowOff>0</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xdr:row>
      <xdr:rowOff>0</xdr:rowOff>
    </xdr:from>
    <xdr:to>
      <xdr:col>28</xdr:col>
      <xdr:colOff>317500</xdr:colOff>
      <xdr:row>20</xdr:row>
      <xdr:rowOff>0</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21</xdr:row>
      <xdr:rowOff>0</xdr:rowOff>
    </xdr:from>
    <xdr:to>
      <xdr:col>12</xdr:col>
      <xdr:colOff>60960</xdr:colOff>
      <xdr:row>38</xdr:row>
      <xdr:rowOff>0</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21</xdr:row>
      <xdr:rowOff>0</xdr:rowOff>
    </xdr:from>
    <xdr:to>
      <xdr:col>22</xdr:col>
      <xdr:colOff>0</xdr:colOff>
      <xdr:row>38</xdr:row>
      <xdr:rowOff>0</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xdr:row>
      <xdr:rowOff>0</xdr:rowOff>
    </xdr:from>
    <xdr:to>
      <xdr:col>8</xdr:col>
      <xdr:colOff>0</xdr:colOff>
      <xdr:row>20</xdr:row>
      <xdr:rowOff>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723900</xdr:colOff>
      <xdr:row>3</xdr:row>
      <xdr:rowOff>0</xdr:rowOff>
    </xdr:from>
    <xdr:to>
      <xdr:col>18</xdr:col>
      <xdr:colOff>0</xdr:colOff>
      <xdr:row>20</xdr:row>
      <xdr:rowOff>0</xdr:rowOff>
    </xdr:to>
    <xdr:graphicFrame macro="">
      <xdr:nvGraphicFramePr>
        <xdr:cNvPr id="2" name="Chart 1">
          <a:extLst>
            <a:ext uri="{FF2B5EF4-FFF2-40B4-BE49-F238E27FC236}">
              <a16:creationId xmlns:a16="http://schemas.microsoft.com/office/drawing/2014/main" id="{F1ABDC9D-6137-4C47-B77E-9601B9A2A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xdr:row>
      <xdr:rowOff>0</xdr:rowOff>
    </xdr:from>
    <xdr:to>
      <xdr:col>28</xdr:col>
      <xdr:colOff>292100</xdr:colOff>
      <xdr:row>20</xdr:row>
      <xdr:rowOff>0</xdr:rowOff>
    </xdr:to>
    <xdr:graphicFrame macro="">
      <xdr:nvGraphicFramePr>
        <xdr:cNvPr id="3" name="Chart 2">
          <a:extLst>
            <a:ext uri="{FF2B5EF4-FFF2-40B4-BE49-F238E27FC236}">
              <a16:creationId xmlns:a16="http://schemas.microsoft.com/office/drawing/2014/main" id="{CEFC08A9-069F-463B-8B8B-677C9721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21</xdr:row>
      <xdr:rowOff>0</xdr:rowOff>
    </xdr:from>
    <xdr:to>
      <xdr:col>12</xdr:col>
      <xdr:colOff>60960</xdr:colOff>
      <xdr:row>38</xdr:row>
      <xdr:rowOff>0</xdr:rowOff>
    </xdr:to>
    <xdr:graphicFrame macro="">
      <xdr:nvGraphicFramePr>
        <xdr:cNvPr id="4" name="Chart 3">
          <a:extLst>
            <a:ext uri="{FF2B5EF4-FFF2-40B4-BE49-F238E27FC236}">
              <a16:creationId xmlns:a16="http://schemas.microsoft.com/office/drawing/2014/main" id="{6C18F035-609D-4D55-A10A-388A4AD4B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680357</xdr:colOff>
      <xdr:row>21</xdr:row>
      <xdr:rowOff>0</xdr:rowOff>
    </xdr:from>
    <xdr:to>
      <xdr:col>21</xdr:col>
      <xdr:colOff>680357</xdr:colOff>
      <xdr:row>38</xdr:row>
      <xdr:rowOff>0</xdr:rowOff>
    </xdr:to>
    <xdr:graphicFrame macro="">
      <xdr:nvGraphicFramePr>
        <xdr:cNvPr id="5" name="Chart 4">
          <a:extLst>
            <a:ext uri="{FF2B5EF4-FFF2-40B4-BE49-F238E27FC236}">
              <a16:creationId xmlns:a16="http://schemas.microsoft.com/office/drawing/2014/main" id="{BA8B7E09-BEC3-4F66-83FE-E2D22FCBD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xdr:row>
      <xdr:rowOff>0</xdr:rowOff>
    </xdr:from>
    <xdr:to>
      <xdr:col>8</xdr:col>
      <xdr:colOff>0</xdr:colOff>
      <xdr:row>20</xdr:row>
      <xdr:rowOff>0</xdr:rowOff>
    </xdr:to>
    <xdr:graphicFrame macro="">
      <xdr:nvGraphicFramePr>
        <xdr:cNvPr id="6" name="Chart 5">
          <a:extLst>
            <a:ext uri="{FF2B5EF4-FFF2-40B4-BE49-F238E27FC236}">
              <a16:creationId xmlns:a16="http://schemas.microsoft.com/office/drawing/2014/main" id="{958364E1-08F0-4071-99A9-1CD4B5A47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65133</xdr:colOff>
      <xdr:row>3</xdr:row>
      <xdr:rowOff>124385</xdr:rowOff>
    </xdr:from>
    <xdr:to>
      <xdr:col>20</xdr:col>
      <xdr:colOff>330199</xdr:colOff>
      <xdr:row>22</xdr:row>
      <xdr:rowOff>24023</xdr:rowOff>
    </xdr:to>
    <xdr:graphicFrame macro="">
      <xdr:nvGraphicFramePr>
        <xdr:cNvPr id="3" name="Chart 2">
          <a:extLst>
            <a:ext uri="{FF2B5EF4-FFF2-40B4-BE49-F238E27FC236}">
              <a16:creationId xmlns:a16="http://schemas.microsoft.com/office/drawing/2014/main" id="{4A0C0305-402B-4564-BC80-31FDC6BB2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230522</xdr:colOff>
      <xdr:row>3</xdr:row>
      <xdr:rowOff>146370</xdr:rowOff>
    </xdr:from>
    <xdr:to>
      <xdr:col>35</xdr:col>
      <xdr:colOff>354334</xdr:colOff>
      <xdr:row>21</xdr:row>
      <xdr:rowOff>174064</xdr:rowOff>
    </xdr:to>
    <xdr:graphicFrame macro="">
      <xdr:nvGraphicFramePr>
        <xdr:cNvPr id="5" name="Chart 4">
          <a:extLst>
            <a:ext uri="{FF2B5EF4-FFF2-40B4-BE49-F238E27FC236}">
              <a16:creationId xmlns:a16="http://schemas.microsoft.com/office/drawing/2014/main" id="{5D2352EC-E89E-4EB6-B477-BDEE3C33E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rba.gov.au/publications/smp/2025/feb/" TargetMode="External"/><Relationship Id="rId1" Type="http://schemas.openxmlformats.org/officeDocument/2006/relationships/hyperlink" Target="https://www.rba.gov.au/publications/smp/2026/may/overview.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7:F14"/>
  <sheetViews>
    <sheetView zoomScaleNormal="100" workbookViewId="0">
      <selection activeCell="F11" sqref="F11"/>
    </sheetView>
  </sheetViews>
  <sheetFormatPr defaultColWidth="8.81640625" defaultRowHeight="14.5" x14ac:dyDescent="0.35"/>
  <cols>
    <col min="1" max="16384" width="8.81640625" style="2"/>
  </cols>
  <sheetData>
    <row r="7" spans="1:6" x14ac:dyDescent="0.35">
      <c r="A7" s="2" t="s">
        <v>172</v>
      </c>
    </row>
    <row r="9" spans="1:6" ht="35" x14ac:dyDescent="0.35">
      <c r="F9" s="765" t="s">
        <v>259</v>
      </c>
    </row>
    <row r="10" spans="1:6" ht="35" x14ac:dyDescent="0.35">
      <c r="D10" s="2" t="s">
        <v>172</v>
      </c>
      <c r="F10" s="765" t="str">
        <f>FY</f>
        <v>2026-27</v>
      </c>
    </row>
    <row r="11" spans="1:6" ht="23" x14ac:dyDescent="0.35">
      <c r="F11" s="766" t="str">
        <f>DeterminationStage&amp;" Determination"</f>
        <v>Final Determination</v>
      </c>
    </row>
    <row r="12" spans="1:6" ht="23.5" x14ac:dyDescent="0.35">
      <c r="F12" s="3" t="s">
        <v>172</v>
      </c>
    </row>
    <row r="13" spans="1:6" x14ac:dyDescent="0.35">
      <c r="F13" s="4"/>
    </row>
    <row r="14" spans="1:6" x14ac:dyDescent="0.35">
      <c r="F14" s="4"/>
    </row>
  </sheetData>
  <sheetProtection algorithmName="SHA-256" hashValue="n7sjk7tzrVpQOJ0n4wzlQOBu4wB8h2GZm4kIT/V4OnY=" saltValue="mbrauSLZjDIf59Bj2vjWyg==" spinCount="100000" sheet="1" formatCells="0" formatColumns="0" formatRows="0" insertColumns="0" insertRows="0" insertHyperlinks="0" deleteColumns="0" deleteRows="0" sort="0" autoFilter="0" pivotTables="0"/>
  <pageMargins left="0.7" right="0.7" top="0.75" bottom="0.75" header="0.3" footer="0.3"/>
  <headerFooter>
    <oddHeader>&amp;C&amp;"Calibri"&amp;10&amp;KFF0000 OFFICIAL SENSITIVE&amp;1#_x000D_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DEAB8-DA99-4399-AE8D-78E09F73A190}">
  <sheetPr>
    <tabColor rgb="FFFFCF37"/>
  </sheetPr>
  <dimension ref="A1:AK573"/>
  <sheetViews>
    <sheetView zoomScale="85" zoomScaleNormal="85" workbookViewId="0">
      <selection activeCell="K10" sqref="K10"/>
    </sheetView>
  </sheetViews>
  <sheetFormatPr defaultColWidth="8.7265625" defaultRowHeight="14" x14ac:dyDescent="0.3"/>
  <cols>
    <col min="1" max="1" width="1.54296875" style="32" customWidth="1"/>
    <col min="2" max="2" width="19.453125" style="32" customWidth="1"/>
    <col min="3" max="3" width="16.453125" style="32" customWidth="1"/>
    <col min="4" max="4" width="13.1796875" style="32" customWidth="1"/>
    <col min="5" max="5" width="29" style="32" bestFit="1" customWidth="1"/>
    <col min="6" max="6" width="14.26953125" style="32" customWidth="1"/>
    <col min="7" max="7" width="22.81640625" style="32" bestFit="1" customWidth="1"/>
    <col min="8" max="8" width="22.453125" style="32" bestFit="1" customWidth="1"/>
    <col min="9" max="9" width="14.54296875" style="32" bestFit="1" customWidth="1"/>
    <col min="10" max="10" width="17" style="32" bestFit="1" customWidth="1"/>
    <col min="11" max="11" width="16.81640625" style="32" bestFit="1" customWidth="1"/>
    <col min="12" max="12" width="13.7265625" style="309" bestFit="1" customWidth="1"/>
    <col min="13" max="13" width="12.453125" style="32" bestFit="1" customWidth="1"/>
    <col min="14" max="14" width="13.81640625" style="32" bestFit="1" customWidth="1"/>
    <col min="15" max="16384" width="8.7265625" style="32"/>
  </cols>
  <sheetData>
    <row r="1" spans="1:37" s="30" customFormat="1" ht="10.4" customHeight="1" x14ac:dyDescent="0.35">
      <c r="A1" s="815" t="s">
        <v>18</v>
      </c>
      <c r="B1" s="816"/>
      <c r="F1" s="65"/>
      <c r="H1" s="458"/>
      <c r="I1" s="458"/>
      <c r="J1" s="458"/>
      <c r="K1" s="458"/>
      <c r="L1" s="376"/>
      <c r="M1" s="65"/>
      <c r="N1" s="65"/>
      <c r="O1" s="65"/>
      <c r="P1" s="65"/>
      <c r="Q1" s="65"/>
      <c r="R1" s="65"/>
      <c r="S1" s="65"/>
      <c r="T1" s="65"/>
      <c r="U1" s="65"/>
      <c r="V1" s="65"/>
      <c r="W1" s="65"/>
      <c r="X1" s="65"/>
      <c r="Y1" s="65"/>
      <c r="Z1" s="65"/>
      <c r="AA1" s="65"/>
      <c r="AB1" s="65"/>
      <c r="AC1" s="65"/>
      <c r="AD1" s="65"/>
      <c r="AE1" s="65"/>
      <c r="AF1" s="65"/>
      <c r="AG1" s="65"/>
      <c r="AH1" s="65"/>
      <c r="AI1" s="65"/>
      <c r="AJ1" s="65"/>
      <c r="AK1" s="65"/>
    </row>
    <row r="2" spans="1:37" s="62" customFormat="1" ht="22.5" customHeight="1" x14ac:dyDescent="0.35">
      <c r="A2" s="61" t="s">
        <v>300</v>
      </c>
      <c r="F2" s="331"/>
      <c r="H2" s="459"/>
      <c r="I2" s="459"/>
      <c r="J2" s="459"/>
      <c r="K2" s="459"/>
      <c r="L2" s="460"/>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row>
    <row r="3" spans="1:37" s="129" customFormat="1" x14ac:dyDescent="0.3">
      <c r="B3" s="461"/>
      <c r="C3" s="461"/>
      <c r="D3" s="461"/>
      <c r="E3" s="461"/>
      <c r="F3" s="462"/>
      <c r="G3" s="461"/>
      <c r="H3" s="894" t="str">
        <f>FY</f>
        <v>2026-27</v>
      </c>
      <c r="I3" s="894"/>
      <c r="J3" s="894"/>
      <c r="K3" s="894"/>
      <c r="L3" s="894"/>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row>
    <row r="4" spans="1:37" s="129" customFormat="1" x14ac:dyDescent="0.3">
      <c r="B4" s="461"/>
      <c r="C4" s="461"/>
      <c r="D4" s="461"/>
      <c r="E4" s="461"/>
      <c r="F4" s="464"/>
      <c r="G4" s="461"/>
      <c r="H4" s="465"/>
      <c r="I4" s="466" t="str">
        <f>$H$3</f>
        <v>2026-27</v>
      </c>
      <c r="J4" s="466"/>
      <c r="K4" s="466" t="str">
        <f>$H$3</f>
        <v>2026-27</v>
      </c>
      <c r="L4" s="467" t="str">
        <f>H3</f>
        <v>2026-27</v>
      </c>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row>
    <row r="5" spans="1:37" s="64" customFormat="1" x14ac:dyDescent="0.35">
      <c r="B5" s="361" t="s">
        <v>1</v>
      </c>
      <c r="C5" s="361" t="s">
        <v>316</v>
      </c>
      <c r="D5" s="361" t="s">
        <v>22</v>
      </c>
      <c r="E5" s="361" t="s">
        <v>11</v>
      </c>
      <c r="F5" s="363" t="s">
        <v>24</v>
      </c>
      <c r="G5" s="361" t="s">
        <v>32</v>
      </c>
      <c r="H5" s="468" t="s">
        <v>254</v>
      </c>
      <c r="I5" s="468" t="s">
        <v>47</v>
      </c>
      <c r="J5" s="469" t="s">
        <v>339</v>
      </c>
      <c r="K5" s="468" t="s">
        <v>340</v>
      </c>
      <c r="L5" s="470" t="s">
        <v>341</v>
      </c>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row>
    <row r="6" spans="1:37" s="472" customFormat="1" x14ac:dyDescent="0.35">
      <c r="B6" s="473"/>
      <c r="C6" s="473"/>
      <c r="D6" s="473"/>
      <c r="E6" s="473"/>
      <c r="F6" s="474" t="s">
        <v>53</v>
      </c>
      <c r="G6" s="473"/>
      <c r="H6" s="475"/>
      <c r="I6" s="475" t="s">
        <v>44</v>
      </c>
      <c r="J6" s="476" t="s">
        <v>44</v>
      </c>
      <c r="K6" s="476" t="s">
        <v>44</v>
      </c>
      <c r="L6" s="477" t="s">
        <v>342</v>
      </c>
      <c r="M6" s="478"/>
      <c r="N6" s="478"/>
      <c r="O6" s="478"/>
      <c r="P6" s="478"/>
      <c r="Q6" s="478"/>
      <c r="R6" s="478"/>
      <c r="S6" s="478"/>
      <c r="T6" s="478"/>
      <c r="U6" s="478"/>
      <c r="V6" s="478"/>
      <c r="W6" s="478"/>
      <c r="X6" s="478"/>
      <c r="Y6" s="478"/>
      <c r="Z6" s="478"/>
      <c r="AA6" s="478"/>
      <c r="AB6" s="478"/>
      <c r="AC6" s="478"/>
      <c r="AD6" s="478"/>
      <c r="AE6" s="478"/>
      <c r="AF6" s="478"/>
      <c r="AG6" s="478"/>
      <c r="AH6" s="478"/>
      <c r="AI6" s="478"/>
      <c r="AJ6" s="478"/>
      <c r="AK6" s="478"/>
    </row>
    <row r="7" spans="1:37" s="30" customFormat="1" x14ac:dyDescent="0.35">
      <c r="B7" s="479" t="s">
        <v>2</v>
      </c>
      <c r="C7" s="479" t="s">
        <v>6</v>
      </c>
      <c r="D7" s="479" t="s">
        <v>272</v>
      </c>
      <c r="E7" s="480"/>
      <c r="F7" s="480"/>
      <c r="G7" s="481"/>
      <c r="H7" s="482"/>
      <c r="I7" s="482"/>
      <c r="J7" s="482"/>
      <c r="K7" s="482"/>
      <c r="L7" s="483"/>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row>
    <row r="8" spans="1:37" s="30" customFormat="1" x14ac:dyDescent="0.35">
      <c r="B8" s="480" t="str">
        <f>B$7</f>
        <v>Ausgrid</v>
      </c>
      <c r="C8" s="480" t="str">
        <f>C$7</f>
        <v>Residential</v>
      </c>
      <c r="D8" s="480" t="str">
        <f>$D$7</f>
        <v>time of use</v>
      </c>
      <c r="E8" s="480" t="s">
        <v>279</v>
      </c>
      <c r="F8" s="485" cm="1">
        <f t="array" ref="F8">_xlfn.XLOOKUP(1,($B8=DistributionZone)*(C8=CustomerType)*(D8=tariffL2)*("Usage"=Description),valuesPY)*_xlfn.XLOOKUP(1,($B8=DistributionZone)*($C8=CustomerType)*(D8=tariffL2)*($E8=tariffType)*("SSO Usage proportion"=Description),valuesFY)</f>
        <v>2539.1603985478409</v>
      </c>
      <c r="G8" s="480" t="s">
        <v>343</v>
      </c>
      <c r="H8" s="482">
        <f>'Tariff price summary'!$M$7</f>
        <v>176.41055100346119</v>
      </c>
      <c r="I8" s="482">
        <f>'Tariff price summary'!O7*10</f>
        <v>240.3865127913119</v>
      </c>
      <c r="J8" s="482">
        <f>IFERROR((I8*F10*(F8/(F11-F10))/F8),0)</f>
        <v>35.210865546997439</v>
      </c>
      <c r="K8" s="482">
        <f>SUM(I8:J8)</f>
        <v>275.59737833830934</v>
      </c>
      <c r="L8" s="483">
        <f>K8/1000</f>
        <v>0.27559737833830933</v>
      </c>
      <c r="M8" s="484"/>
      <c r="N8" s="484"/>
      <c r="O8" s="484"/>
      <c r="P8" s="484"/>
      <c r="Q8" s="484"/>
      <c r="R8" s="484"/>
      <c r="S8" s="484"/>
      <c r="T8" s="484"/>
      <c r="U8" s="484"/>
      <c r="V8" s="484"/>
      <c r="W8" s="484"/>
      <c r="X8" s="484"/>
      <c r="Y8" s="484"/>
      <c r="Z8" s="484"/>
      <c r="AA8" s="484"/>
      <c r="AB8" s="484"/>
      <c r="AC8" s="484"/>
      <c r="AD8" s="484"/>
      <c r="AE8" s="484"/>
      <c r="AF8" s="484"/>
      <c r="AG8" s="484"/>
      <c r="AH8" s="484"/>
      <c r="AI8" s="484"/>
      <c r="AJ8" s="484"/>
      <c r="AK8" s="484"/>
    </row>
    <row r="9" spans="1:37" s="30" customFormat="1" x14ac:dyDescent="0.35">
      <c r="B9" s="480" t="str">
        <f t="shared" ref="B9:C11" si="0">B$7</f>
        <v>Ausgrid</v>
      </c>
      <c r="C9" s="480" t="str">
        <f>C$7</f>
        <v>Residential</v>
      </c>
      <c r="D9" s="480" t="str">
        <f>$D$7</f>
        <v>time of use</v>
      </c>
      <c r="E9" s="480" t="s">
        <v>278</v>
      </c>
      <c r="F9" s="485" cm="1">
        <f t="array" ref="F9">_xlfn.XLOOKUP(1,($B9=DistributionZone)*(C9=CustomerType)*(D9=tariffL2)*("Usage"=Description),valuesPY)*_xlfn.XLOOKUP(1,($B9=DistributionZone)*($C9=CustomerType)*(D9=tariffL2)*($E9=tariffType)*("SSO Usage proportion"=Description),valuesFY)</f>
        <v>862.56789632468906</v>
      </c>
      <c r="G9" s="480" t="s">
        <v>344</v>
      </c>
      <c r="H9" s="482">
        <f>'Tariff price summary'!$M$7</f>
        <v>176.41055100346119</v>
      </c>
      <c r="I9" s="482">
        <f>'Tariff price summary'!N7*10</f>
        <v>601.96611667222032</v>
      </c>
      <c r="J9" s="482">
        <f>IFERROR((I8*F10*(F9/(F11-F10))/F9),0)</f>
        <v>35.210865546997432</v>
      </c>
      <c r="K9" s="482">
        <f>SUM(I9:J9)</f>
        <v>637.17698221921773</v>
      </c>
      <c r="L9" s="483">
        <f t="shared" ref="L9" si="1">K9/1000</f>
        <v>0.6371769822192177</v>
      </c>
      <c r="M9" s="484"/>
      <c r="N9" s="484"/>
      <c r="O9" s="484"/>
      <c r="P9" s="484"/>
      <c r="Q9" s="484"/>
      <c r="R9" s="484"/>
      <c r="S9" s="484"/>
      <c r="T9" s="484"/>
      <c r="U9" s="484"/>
      <c r="V9" s="484"/>
      <c r="W9" s="484"/>
      <c r="X9" s="484"/>
      <c r="Y9" s="484"/>
      <c r="Z9" s="484"/>
      <c r="AA9" s="484"/>
      <c r="AB9" s="484"/>
      <c r="AC9" s="484"/>
      <c r="AD9" s="484"/>
      <c r="AE9" s="484"/>
      <c r="AF9" s="484"/>
      <c r="AG9" s="484"/>
      <c r="AH9" s="484"/>
      <c r="AI9" s="484"/>
      <c r="AJ9" s="484"/>
      <c r="AK9" s="484"/>
    </row>
    <row r="10" spans="1:37" s="64" customFormat="1" x14ac:dyDescent="0.35">
      <c r="B10" s="480" t="str">
        <f t="shared" si="0"/>
        <v>Ausgrid</v>
      </c>
      <c r="C10" s="480" t="str">
        <f t="shared" si="0"/>
        <v>Residential</v>
      </c>
      <c r="D10" s="480" t="str">
        <f t="shared" ref="D10:D11" si="2">$D$7</f>
        <v>time of use</v>
      </c>
      <c r="E10" s="480" t="s">
        <v>345</v>
      </c>
      <c r="F10" s="485" cm="1">
        <f t="array" ref="F10">_xlfn.XLOOKUP(1,($B10=DistributionZone)*(C10=CustomerType)*(D10=tariffL2)*("Usage"=Description),valuesPY)*_xlfn.XLOOKUP(1,($B10=DistributionZone)*($C10=CustomerType)*(D10=tariffL2)*($E10=tariffType)*("SSO Usage proportion"=Description),valuesFY)</f>
        <v>498.27170512747051</v>
      </c>
      <c r="G10" s="480" t="s">
        <v>346</v>
      </c>
      <c r="H10" s="482">
        <f>'Tariff price summary'!$M$7</f>
        <v>176.41055100346119</v>
      </c>
      <c r="I10" s="482">
        <v>0</v>
      </c>
      <c r="J10" s="482">
        <v>0</v>
      </c>
      <c r="K10" s="482">
        <v>0</v>
      </c>
      <c r="L10" s="483">
        <f>K10/1000</f>
        <v>0</v>
      </c>
      <c r="M10" s="484"/>
      <c r="N10" s="484"/>
      <c r="O10" s="484"/>
      <c r="P10" s="484"/>
      <c r="Q10" s="484"/>
      <c r="R10" s="484"/>
      <c r="S10" s="484"/>
      <c r="T10" s="484"/>
      <c r="U10" s="484"/>
      <c r="V10" s="484"/>
      <c r="W10" s="484"/>
      <c r="X10" s="484"/>
      <c r="Y10" s="484"/>
      <c r="Z10" s="484"/>
      <c r="AA10" s="484"/>
      <c r="AB10" s="484"/>
      <c r="AC10" s="484"/>
      <c r="AD10" s="484"/>
      <c r="AE10" s="484"/>
      <c r="AF10" s="484"/>
      <c r="AG10" s="484"/>
      <c r="AH10" s="484"/>
      <c r="AI10" s="484"/>
      <c r="AJ10" s="484"/>
      <c r="AK10" s="484"/>
    </row>
    <row r="11" spans="1:37" s="64" customFormat="1" x14ac:dyDescent="0.35">
      <c r="B11" s="480" t="str">
        <f t="shared" si="0"/>
        <v>Ausgrid</v>
      </c>
      <c r="C11" s="480" t="str">
        <f t="shared" si="0"/>
        <v>Residential</v>
      </c>
      <c r="D11" s="480" t="str">
        <f t="shared" si="2"/>
        <v>time of use</v>
      </c>
      <c r="E11" s="480" t="s">
        <v>272</v>
      </c>
      <c r="F11" s="485" cm="1">
        <f t="array" ref="F11">IFERROR(_xlfn.XLOOKUP(1,($B11=DistributionZone)*($C11=CustomerType)*($E11=tariffType)*("Usage"=Description),valuesFY),0)</f>
        <v>3900</v>
      </c>
      <c r="G11" s="479" t="s">
        <v>319</v>
      </c>
      <c r="H11" s="486"/>
      <c r="I11" s="482"/>
      <c r="J11" s="482"/>
      <c r="K11" s="482"/>
      <c r="L11" s="491">
        <f>(SUM('Network cost'!O19,'Wholesale cost'!O40,'Environmental cost'!O24)+'Retail cost'!O23*(1+CPI))/(1-RetailMargin_RES)*(1+GST)+L8*F8+L9*F9</f>
        <v>1893.2928693222193</v>
      </c>
      <c r="M11" s="484"/>
      <c r="N11" s="484"/>
      <c r="O11" s="484"/>
      <c r="P11" s="484"/>
      <c r="Q11" s="484"/>
      <c r="R11" s="484"/>
      <c r="S11" s="484"/>
      <c r="T11" s="484"/>
      <c r="U11" s="484"/>
      <c r="V11" s="484"/>
      <c r="W11" s="484"/>
      <c r="X11" s="484"/>
      <c r="Y11" s="484"/>
      <c r="Z11" s="484"/>
      <c r="AA11" s="484"/>
      <c r="AB11" s="484"/>
      <c r="AC11" s="484"/>
      <c r="AD11" s="484"/>
      <c r="AE11" s="484"/>
      <c r="AF11" s="484"/>
      <c r="AG11" s="484"/>
      <c r="AH11" s="484"/>
      <c r="AI11" s="484"/>
      <c r="AJ11" s="484"/>
      <c r="AK11" s="484"/>
    </row>
    <row r="12" spans="1:37" s="30" customFormat="1" x14ac:dyDescent="0.35">
      <c r="B12" s="480"/>
      <c r="C12" s="480"/>
      <c r="D12" s="480"/>
      <c r="E12" s="480"/>
      <c r="F12" s="480"/>
      <c r="G12" s="480"/>
      <c r="H12" s="482"/>
      <c r="I12" s="482"/>
      <c r="J12" s="482"/>
      <c r="K12" s="482"/>
      <c r="L12" s="483"/>
      <c r="M12" s="484"/>
      <c r="N12" s="484"/>
      <c r="O12" s="484"/>
      <c r="P12" s="484"/>
      <c r="Q12" s="484"/>
      <c r="R12" s="484"/>
      <c r="S12" s="484"/>
      <c r="T12" s="484"/>
      <c r="U12" s="484"/>
      <c r="V12" s="484"/>
      <c r="W12" s="484"/>
      <c r="X12" s="484"/>
      <c r="Y12" s="484"/>
      <c r="Z12" s="484"/>
      <c r="AA12" s="484"/>
      <c r="AB12" s="484"/>
      <c r="AC12" s="484"/>
      <c r="AD12" s="484"/>
      <c r="AE12" s="484"/>
      <c r="AF12" s="484"/>
      <c r="AG12" s="484"/>
      <c r="AH12" s="484"/>
      <c r="AI12" s="484"/>
      <c r="AJ12" s="484"/>
      <c r="AK12" s="484"/>
    </row>
    <row r="13" spans="1:37" s="64" customFormat="1" x14ac:dyDescent="0.35">
      <c r="B13" s="479" t="s">
        <v>4</v>
      </c>
      <c r="C13" s="479" t="s">
        <v>6</v>
      </c>
      <c r="D13" s="479" t="s">
        <v>272</v>
      </c>
      <c r="E13" s="480"/>
      <c r="F13" s="480"/>
      <c r="G13" s="480"/>
      <c r="H13" s="487"/>
      <c r="I13" s="487"/>
      <c r="J13" s="487"/>
      <c r="K13" s="487"/>
      <c r="L13" s="483"/>
      <c r="M13" s="484"/>
      <c r="N13" s="484"/>
      <c r="O13" s="484"/>
      <c r="P13" s="484"/>
      <c r="Q13" s="484"/>
      <c r="R13" s="484"/>
      <c r="S13" s="484"/>
      <c r="T13" s="484"/>
      <c r="U13" s="484"/>
      <c r="V13" s="484"/>
      <c r="W13" s="484"/>
      <c r="X13" s="484"/>
      <c r="Y13" s="484"/>
      <c r="Z13" s="484"/>
      <c r="AA13" s="484"/>
      <c r="AB13" s="484"/>
      <c r="AC13" s="484"/>
      <c r="AD13" s="484"/>
      <c r="AE13" s="484"/>
      <c r="AF13" s="484"/>
      <c r="AG13" s="484"/>
      <c r="AH13" s="484"/>
      <c r="AI13" s="484"/>
      <c r="AJ13" s="484"/>
      <c r="AK13" s="484"/>
    </row>
    <row r="14" spans="1:37" s="64" customFormat="1" x14ac:dyDescent="0.35">
      <c r="B14" s="480" t="str">
        <f>B$13</f>
        <v>Endeavour</v>
      </c>
      <c r="C14" s="480" t="str">
        <f>C$13</f>
        <v>Residential</v>
      </c>
      <c r="D14" s="480" t="str">
        <f>D$13</f>
        <v>time of use</v>
      </c>
      <c r="E14" s="480" t="s">
        <v>279</v>
      </c>
      <c r="F14" s="485" cm="1">
        <f t="array" ref="F14">_xlfn.XLOOKUP(1,($B14=DistributionZone)*(C14=CustomerType)*(D14=tariffL2)*("Usage"=Description),valuesPY)*_xlfn.XLOOKUP(1,($B14=DistributionZone)*($C14=CustomerType)*(D14=tariffL2)*($E14=tariffType)*("SSO Usage proportion"=Description),valuesFY)</f>
        <v>3254.3760390086245</v>
      </c>
      <c r="G14" s="480" t="s">
        <v>343</v>
      </c>
      <c r="H14" s="482">
        <f>'Tariff price summary'!$M$10</f>
        <v>185.13502725008888</v>
      </c>
      <c r="I14" s="482">
        <f>'Tariff price summary'!P10*10</f>
        <v>356.90676572746543</v>
      </c>
      <c r="J14" s="482">
        <f>IFERROR((I16*F17*(F14/(F18-F17))/F14),0)</f>
        <v>18.393263675460798</v>
      </c>
      <c r="K14" s="482">
        <f>SUM(I14:J14)</f>
        <v>375.30002940292621</v>
      </c>
      <c r="L14" s="483">
        <f>K14/1000</f>
        <v>0.37530002940292623</v>
      </c>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84"/>
      <c r="AK14" s="484"/>
    </row>
    <row r="15" spans="1:37" s="30" customFormat="1" x14ac:dyDescent="0.35">
      <c r="B15" s="480" t="str">
        <f t="shared" ref="B15:D18" si="3">B$13</f>
        <v>Endeavour</v>
      </c>
      <c r="C15" s="480" t="str">
        <f t="shared" si="3"/>
        <v>Residential</v>
      </c>
      <c r="D15" s="480" t="str">
        <f t="shared" si="3"/>
        <v>time of use</v>
      </c>
      <c r="E15" s="480" t="s">
        <v>278</v>
      </c>
      <c r="F15" s="485" cm="1">
        <f t="array" ref="F15">_xlfn.XLOOKUP(1,($B15=DistributionZone)*(C15=CustomerType)*(D15=tariffL2)*("Usage"=Description),valuesPY)*_xlfn.XLOOKUP(1,($B15=DistributionZone)*($C15=CustomerType)*(D15=tariffL2)*($E15=tariffType)*("SSO Usage proportion"=Description),valuesFY)</f>
        <v>808.16226100469555</v>
      </c>
      <c r="G15" s="480" t="s">
        <v>344</v>
      </c>
      <c r="H15" s="482">
        <f>'Tariff price summary'!$M$10</f>
        <v>185.13502725008888</v>
      </c>
      <c r="I15" s="482" cm="1">
        <f t="array" ref="I15">('Tariff price summary'!N10*_xlfn.XLOOKUP(1,($B$15=DistributionZone)*($C$15=CustomerType)*($D$15=tariffL2)*("time of use (HS Peak)"=tariffType)*("Usage proportion"=Description),valuesFY)/(_xlfn.XLOOKUP(1,($B$15=DistributionZone)*($C$15=CustomerType)*($D$15=tariffL2)*("time of use (HS Peak)"=tariffType)*("Usage proportion"=Description),valuesFY)+_xlfn.XLOOKUP(1,($B$15=DistributionZone)*($C$15=CustomerType)*($D$15=tariffL2)*("time of use (LS Peak)"=tariffType)*("Usage proportion"=Description),valuesFY))+'Tariff price summary'!O10*_xlfn.XLOOKUP(1,($B$15=DistributionZone)*($C$15=CustomerType)*($D$15=tariffL2)*("time of use (LS Peak)"=tariffType)*("Usage proportion"=Description),valuesFY)/(_xlfn.XLOOKUP(1,($B$15=DistributionZone)*($C$15=CustomerType)*($D$15=tariffL2)*("time of use (HS Peak)"=tariffType)*("Usage proportion"=Description),valuesFY)+_xlfn.XLOOKUP(1,($B$15=DistributionZone)*($C$15=CustomerType)*($D$15=tariffL2)*("time of use (LS Peak)"=tariffType)*("Usage proportion"=Description),valuesFY)))*10</f>
        <v>469.08835001095167</v>
      </c>
      <c r="J15" s="482">
        <f>IFERROR((I16*F17*(F15/(F18-F17))/F15),0)</f>
        <v>18.393263675460794</v>
      </c>
      <c r="K15" s="482">
        <f>SUM(I15:J15)</f>
        <v>487.48161368641246</v>
      </c>
      <c r="L15" s="483">
        <f t="shared" ref="L15:L16" si="4">K15/1000</f>
        <v>0.48748161368641246</v>
      </c>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row>
    <row r="16" spans="1:37" s="30" customFormat="1" x14ac:dyDescent="0.35">
      <c r="B16" s="480" t="str">
        <f t="shared" si="3"/>
        <v>Endeavour</v>
      </c>
      <c r="C16" s="480" t="str">
        <f t="shared" si="3"/>
        <v>Residential</v>
      </c>
      <c r="D16" s="480" t="str">
        <f t="shared" si="3"/>
        <v>time of use</v>
      </c>
      <c r="E16" s="480" t="s">
        <v>282</v>
      </c>
      <c r="F16" s="485" cm="1">
        <f t="array" ref="F16">_xlfn.XLOOKUP(1,($B16=DistributionZone)*(C16=CustomerType)*(D16=tariffL2)*("Usage"=Description),valuesPY)*_xlfn.XLOOKUP(1,($B16=DistributionZone)*($C16=CustomerType)*(D16=tariffL2)*($E16=tariffType)*("SSO Usage proportion"=Description),valuesFY)</f>
        <v>202.1786270618471</v>
      </c>
      <c r="G16" s="480" t="s">
        <v>347</v>
      </c>
      <c r="H16" s="482">
        <f>'Tariff price summary'!$M$10</f>
        <v>185.13502725008888</v>
      </c>
      <c r="I16" s="482">
        <f>'Tariff price summary'!Q10*10</f>
        <v>123.47576424435255</v>
      </c>
      <c r="J16" s="482">
        <f>IFERROR((I16*F17*(F16/(F18-F17))/F16),0)</f>
        <v>18.393263675460798</v>
      </c>
      <c r="K16" s="482">
        <f t="shared" ref="K16" si="5">SUM(I16:J16)</f>
        <v>141.86902791981333</v>
      </c>
      <c r="L16" s="483">
        <f t="shared" si="4"/>
        <v>0.14186902791981335</v>
      </c>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row>
    <row r="17" spans="2:37" s="30" customFormat="1" x14ac:dyDescent="0.35">
      <c r="B17" s="480" t="str">
        <f t="shared" si="3"/>
        <v>Endeavour</v>
      </c>
      <c r="C17" s="480" t="str">
        <f t="shared" si="3"/>
        <v>Residential</v>
      </c>
      <c r="D17" s="480" t="str">
        <f t="shared" si="3"/>
        <v>time of use</v>
      </c>
      <c r="E17" s="480" t="s">
        <v>345</v>
      </c>
      <c r="F17" s="485" cm="1">
        <f t="array" ref="F17">_xlfn.XLOOKUP(1,($B17=DistributionZone)*(C17=CustomerType)*(D17=tariffL2)*("Usage"=Description),valuesPY)*_xlfn.XLOOKUP(1,($B17=DistributionZone)*($C17=CustomerType)*(D17=tariffL2)*($E17=tariffType)*("SSO Usage proportion"=Description),valuesFY)</f>
        <v>635.28307292483271</v>
      </c>
      <c r="G17" s="480" t="s">
        <v>346</v>
      </c>
      <c r="H17" s="482">
        <f>'Tariff price summary'!$M$10</f>
        <v>185.13502725008888</v>
      </c>
      <c r="I17" s="482">
        <f>0</f>
        <v>0</v>
      </c>
      <c r="J17" s="482">
        <v>0</v>
      </c>
      <c r="K17" s="482">
        <v>0</v>
      </c>
      <c r="L17" s="483">
        <v>0</v>
      </c>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row>
    <row r="18" spans="2:37" s="64" customFormat="1" x14ac:dyDescent="0.35">
      <c r="B18" s="480" t="str">
        <f t="shared" si="3"/>
        <v>Endeavour</v>
      </c>
      <c r="C18" s="480" t="str">
        <f t="shared" si="3"/>
        <v>Residential</v>
      </c>
      <c r="D18" s="480" t="str">
        <f t="shared" si="3"/>
        <v>time of use</v>
      </c>
      <c r="E18" s="480" t="s">
        <v>272</v>
      </c>
      <c r="F18" s="485" cm="1">
        <f t="array" ref="F18">IFERROR(_xlfn.XLOOKUP(1,($B18=DistributionZone)*($C18=CustomerType)*($E18=tariffType)*("Usage"=Description),valuesFY),0)</f>
        <v>4900</v>
      </c>
      <c r="G18" s="479" t="s">
        <v>319</v>
      </c>
      <c r="H18" s="482"/>
      <c r="I18" s="482"/>
      <c r="J18" s="482"/>
      <c r="K18" s="482"/>
      <c r="L18" s="491">
        <f>(SUM('Network cost'!O80,'Wholesale cost'!O154,'Environmental cost'!O114)+'Retail cost'!O73*(1+CPI))/(1-RetailMargin_RES)*(1+GST)+L14*F14+L15*F15+F16*L16+F17*L17</f>
        <v>2319.7574009933955</v>
      </c>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row>
    <row r="19" spans="2:37" s="64" customFormat="1" x14ac:dyDescent="0.35">
      <c r="B19" s="480"/>
      <c r="C19" s="480"/>
      <c r="D19" s="480"/>
      <c r="E19" s="480"/>
      <c r="F19" s="480"/>
      <c r="G19" s="480"/>
      <c r="H19" s="488"/>
      <c r="I19" s="482"/>
      <c r="J19" s="482"/>
      <c r="K19" s="482"/>
      <c r="L19" s="483"/>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row>
    <row r="20" spans="2:37" s="64" customFormat="1" x14ac:dyDescent="0.35">
      <c r="B20" s="479" t="s">
        <v>3</v>
      </c>
      <c r="C20" s="479" t="s">
        <v>6</v>
      </c>
      <c r="D20" s="479" t="s">
        <v>272</v>
      </c>
      <c r="E20" s="480"/>
      <c r="F20" s="480"/>
      <c r="G20" s="480"/>
      <c r="H20" s="487"/>
      <c r="I20" s="487"/>
      <c r="J20" s="487"/>
      <c r="K20" s="487"/>
      <c r="L20" s="483"/>
      <c r="M20" s="484"/>
      <c r="N20" s="484"/>
      <c r="O20" s="484"/>
      <c r="P20" s="484"/>
      <c r="Q20" s="484"/>
      <c r="R20" s="484"/>
      <c r="S20" s="484"/>
      <c r="T20" s="484"/>
      <c r="U20" s="484"/>
      <c r="V20" s="484"/>
      <c r="W20" s="484"/>
      <c r="X20" s="484"/>
      <c r="Y20" s="484"/>
      <c r="Z20" s="484"/>
      <c r="AA20" s="484"/>
      <c r="AB20" s="484"/>
      <c r="AC20" s="484"/>
      <c r="AD20" s="484"/>
      <c r="AE20" s="484"/>
      <c r="AF20" s="484"/>
      <c r="AG20" s="484"/>
      <c r="AH20" s="484"/>
      <c r="AI20" s="484"/>
      <c r="AJ20" s="484"/>
      <c r="AK20" s="484"/>
    </row>
    <row r="21" spans="2:37" s="64" customFormat="1" x14ac:dyDescent="0.35">
      <c r="B21" s="480" t="str">
        <f>B$20</f>
        <v>Essential</v>
      </c>
      <c r="C21" s="480" t="str">
        <f>C$20</f>
        <v>Residential</v>
      </c>
      <c r="D21" s="480" t="str">
        <f>D$20</f>
        <v>time of use</v>
      </c>
      <c r="E21" s="480" t="s">
        <v>279</v>
      </c>
      <c r="F21" s="485" cm="1">
        <f t="array" ref="F21">_xlfn.XLOOKUP(1,($B21=DistributionZone)*(C21=CustomerType)*(D21=tariffL2)*("Usage"=Description),valuesPY)*_xlfn.XLOOKUP(1,($B21=DistributionZone)*($C21=CustomerType)*(D21=tariffL2)*($E21=tariffType)*("SSO Usage proportion"=Description),valuesFY)</f>
        <v>1658.0236118834659</v>
      </c>
      <c r="G21" s="480" t="s">
        <v>343</v>
      </c>
      <c r="H21" s="482">
        <f>'Tariff price summary'!$M$13</f>
        <v>272.21678373919946</v>
      </c>
      <c r="I21" s="482">
        <f>'Tariff price summary'!O13*10</f>
        <v>241.44848188452704</v>
      </c>
      <c r="J21" s="482">
        <f>IFERROR((I21*F24*(F21/(F25-F24))/F21),0)</f>
        <v>34.509790642530128</v>
      </c>
      <c r="K21" s="482">
        <f>SUM(I21:J21)</f>
        <v>275.95827252705715</v>
      </c>
      <c r="L21" s="483">
        <f>K21/1000</f>
        <v>0.27595827252705712</v>
      </c>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4"/>
      <c r="AJ21" s="484"/>
      <c r="AK21" s="484"/>
    </row>
    <row r="22" spans="2:37" s="64" customFormat="1" x14ac:dyDescent="0.35">
      <c r="B22" s="480" t="str">
        <f t="shared" ref="B22:D25" si="6">B$20</f>
        <v>Essential</v>
      </c>
      <c r="C22" s="480" t="str">
        <f t="shared" si="6"/>
        <v>Residential</v>
      </c>
      <c r="D22" s="480" t="str">
        <f t="shared" si="6"/>
        <v>time of use</v>
      </c>
      <c r="E22" s="480" t="s">
        <v>278</v>
      </c>
      <c r="F22" s="485" cm="1">
        <f t="array" ref="F22">_xlfn.XLOOKUP(1,($B22=DistributionZone)*(C22=CustomerType)*(D22=tariffL2)*("Usage"=Description),valuesPY)*_xlfn.XLOOKUP(1,($B22=DistributionZone)*($C22=CustomerType)*(D22=tariffL2)*($E22=tariffType)*("SSO Usage proportion"=Description),valuesFY)</f>
        <v>2366.7262406868213</v>
      </c>
      <c r="G22" s="480" t="s">
        <v>344</v>
      </c>
      <c r="H22" s="482">
        <f>'Tariff price summary'!$M$13</f>
        <v>272.21678373919946</v>
      </c>
      <c r="I22" s="482">
        <f>'Tariff price summary'!N13*10</f>
        <v>421.18777313656858</v>
      </c>
      <c r="J22" s="482">
        <f>IFERROR((I21*F24*(F22/(F25-F24))/F22),0)</f>
        <v>34.509790642530128</v>
      </c>
      <c r="K22" s="482">
        <f t="shared" ref="K22:K23" si="7">SUM(I22:J22)</f>
        <v>455.69756377909869</v>
      </c>
      <c r="L22" s="483">
        <f t="shared" ref="L22:L23" si="8">K22/1000</f>
        <v>0.4556975637790987</v>
      </c>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row>
    <row r="23" spans="2:37" s="64" customFormat="1" x14ac:dyDescent="0.35">
      <c r="B23" s="480" t="str">
        <f t="shared" si="6"/>
        <v>Essential</v>
      </c>
      <c r="C23" s="480" t="str">
        <f t="shared" si="6"/>
        <v>Residential</v>
      </c>
      <c r="D23" s="480" t="str">
        <f t="shared" si="6"/>
        <v>time of use</v>
      </c>
      <c r="E23" s="480" t="s">
        <v>283</v>
      </c>
      <c r="F23" s="485" cm="1">
        <f t="array" ref="F23">_xlfn.XLOOKUP(1,($B23=DistributionZone)*(C23=CustomerType)*(D23=tariffL2)*("Usage"=Description),valuesPY)*_xlfn.XLOOKUP(1,($B23=DistributionZone)*($C23=CustomerType)*(D23=tariffL2)*($E23=tariffType)*("SSO Usage proportion"=Description),valuesFY)</f>
        <v>0</v>
      </c>
      <c r="G23" s="480" t="s">
        <v>348</v>
      </c>
      <c r="H23" s="482">
        <f>'Tariff price summary'!$M$13</f>
        <v>272.21678373919946</v>
      </c>
      <c r="I23" s="482">
        <f>0</f>
        <v>0</v>
      </c>
      <c r="J23" s="482">
        <f>IFERROR((I21*F24*(F23/(F25-F24))/F23),0)</f>
        <v>0</v>
      </c>
      <c r="K23" s="482">
        <f t="shared" si="7"/>
        <v>0</v>
      </c>
      <c r="L23" s="483">
        <f t="shared" si="8"/>
        <v>0</v>
      </c>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c r="AJ23" s="484"/>
      <c r="AK23" s="484"/>
    </row>
    <row r="24" spans="2:37" s="64" customFormat="1" x14ac:dyDescent="0.35">
      <c r="B24" s="480" t="str">
        <f t="shared" si="6"/>
        <v>Essential</v>
      </c>
      <c r="C24" s="480" t="str">
        <f t="shared" si="6"/>
        <v>Residential</v>
      </c>
      <c r="D24" s="480" t="str">
        <f t="shared" si="6"/>
        <v>time of use</v>
      </c>
      <c r="E24" s="480" t="s">
        <v>345</v>
      </c>
      <c r="F24" s="485" cm="1">
        <f t="array" ref="F24">_xlfn.XLOOKUP(1,($B24=DistributionZone)*(C24=CustomerType)*(D24=tariffL2)*("Usage"=Description),valuesPY)*_xlfn.XLOOKUP(1,($B24=DistributionZone)*($C24=CustomerType)*(D24=tariffL2)*($E24=tariffType)*("SSO Usage proportion"=Description),valuesFY)</f>
        <v>575.25014742971302</v>
      </c>
      <c r="G24" s="480" t="s">
        <v>346</v>
      </c>
      <c r="H24" s="482">
        <f>'Tariff price summary'!$M$13</f>
        <v>272.21678373919946</v>
      </c>
      <c r="I24" s="482">
        <f>0</f>
        <v>0</v>
      </c>
      <c r="J24" s="482">
        <v>0</v>
      </c>
      <c r="K24" s="482">
        <f>SUM(I24:J24)</f>
        <v>0</v>
      </c>
      <c r="L24" s="483">
        <f>K24/1000</f>
        <v>0</v>
      </c>
      <c r="M24" s="484"/>
      <c r="N24" s="484"/>
      <c r="O24" s="484"/>
      <c r="P24" s="484"/>
      <c r="Q24" s="484"/>
      <c r="R24" s="484"/>
      <c r="S24" s="484"/>
      <c r="T24" s="484"/>
      <c r="U24" s="484"/>
      <c r="V24" s="484"/>
      <c r="W24" s="484"/>
      <c r="X24" s="484"/>
      <c r="Y24" s="484"/>
      <c r="Z24" s="484"/>
      <c r="AA24" s="484"/>
      <c r="AB24" s="484"/>
      <c r="AC24" s="484"/>
      <c r="AD24" s="484"/>
      <c r="AE24" s="484"/>
      <c r="AF24" s="484"/>
      <c r="AG24" s="484"/>
      <c r="AH24" s="484"/>
      <c r="AI24" s="484"/>
      <c r="AJ24" s="484"/>
      <c r="AK24" s="484"/>
    </row>
    <row r="25" spans="2:37" s="64" customFormat="1" x14ac:dyDescent="0.35">
      <c r="B25" s="480" t="str">
        <f t="shared" si="6"/>
        <v>Essential</v>
      </c>
      <c r="C25" s="480" t="str">
        <f t="shared" si="6"/>
        <v>Residential</v>
      </c>
      <c r="D25" s="480" t="str">
        <f t="shared" si="6"/>
        <v>time of use</v>
      </c>
      <c r="E25" s="480" t="s">
        <v>272</v>
      </c>
      <c r="F25" s="485" cm="1">
        <f t="array" ref="F25">IFERROR(_xlfn.XLOOKUP(1,($B25=DistributionZone)*($C25=CustomerType)*($E25=tariffType)*("Usage"=Description),valuesFY),0)</f>
        <v>4600</v>
      </c>
      <c r="G25" s="479" t="s">
        <v>319</v>
      </c>
      <c r="H25" s="487"/>
      <c r="I25" s="489"/>
      <c r="J25" s="482"/>
      <c r="K25" s="489"/>
      <c r="L25" s="491">
        <f>(SUM('Network cost'!O155,'Wholesale cost'!O268,'Environmental cost'!O198)+'Retail cost'!O123*(1+CPI))/(1-RetailMargin_RES)*(1+GST)+F21*L21+F22*L22+F23*L23+F24*L24</f>
        <v>2529.6479744055605</v>
      </c>
      <c r="M25" s="484"/>
      <c r="N25" s="484"/>
      <c r="O25" s="484"/>
      <c r="P25" s="484"/>
      <c r="Q25" s="484"/>
      <c r="R25" s="484"/>
      <c r="S25" s="484"/>
      <c r="T25" s="484"/>
      <c r="U25" s="484"/>
      <c r="V25" s="484"/>
      <c r="W25" s="484"/>
      <c r="X25" s="484"/>
      <c r="Y25" s="484"/>
      <c r="Z25" s="484"/>
      <c r="AA25" s="484"/>
      <c r="AB25" s="484"/>
      <c r="AC25" s="484"/>
      <c r="AD25" s="484"/>
      <c r="AE25" s="484"/>
      <c r="AF25" s="484"/>
      <c r="AG25" s="484"/>
      <c r="AH25" s="484"/>
      <c r="AI25" s="484"/>
      <c r="AJ25" s="484"/>
      <c r="AK25" s="484"/>
    </row>
    <row r="26" spans="2:37" s="64" customFormat="1" x14ac:dyDescent="0.35">
      <c r="B26" s="480"/>
      <c r="C26" s="480"/>
      <c r="D26" s="480"/>
      <c r="E26" s="480"/>
      <c r="F26" s="480"/>
      <c r="G26" s="480"/>
      <c r="H26" s="487"/>
      <c r="I26" s="487"/>
      <c r="J26" s="490"/>
      <c r="K26" s="487"/>
      <c r="L26" s="483"/>
      <c r="M26" s="484"/>
      <c r="N26" s="484"/>
      <c r="O26" s="484"/>
      <c r="P26" s="484"/>
      <c r="Q26" s="484"/>
      <c r="R26" s="484"/>
      <c r="S26" s="484"/>
      <c r="T26" s="484"/>
      <c r="U26" s="484"/>
      <c r="V26" s="484"/>
      <c r="W26" s="484"/>
      <c r="X26" s="484"/>
      <c r="Y26" s="484"/>
      <c r="Z26" s="484"/>
      <c r="AA26" s="484"/>
      <c r="AB26" s="484"/>
      <c r="AC26" s="484"/>
      <c r="AD26" s="484"/>
      <c r="AE26" s="484"/>
      <c r="AF26" s="484"/>
      <c r="AG26" s="484"/>
      <c r="AH26" s="484"/>
      <c r="AI26" s="484"/>
      <c r="AJ26" s="484"/>
      <c r="AK26" s="484"/>
    </row>
    <row r="27" spans="2:37" s="64" customFormat="1" x14ac:dyDescent="0.35">
      <c r="B27" s="479" t="s">
        <v>0</v>
      </c>
      <c r="C27" s="479" t="s">
        <v>6</v>
      </c>
      <c r="D27" s="479" t="s">
        <v>272</v>
      </c>
      <c r="E27" s="480"/>
      <c r="F27" s="480"/>
      <c r="G27" s="480"/>
      <c r="H27" s="482"/>
      <c r="I27" s="482"/>
      <c r="J27" s="482"/>
      <c r="K27" s="482"/>
      <c r="L27" s="483"/>
      <c r="M27" s="484"/>
      <c r="N27" s="484"/>
      <c r="O27" s="484"/>
      <c r="P27" s="484"/>
      <c r="Q27" s="484"/>
      <c r="R27" s="484"/>
      <c r="S27" s="484"/>
      <c r="T27" s="484"/>
      <c r="U27" s="484"/>
      <c r="V27" s="484"/>
      <c r="W27" s="484"/>
      <c r="X27" s="484"/>
      <c r="Y27" s="484"/>
      <c r="Z27" s="484"/>
      <c r="AA27" s="484"/>
      <c r="AB27" s="484"/>
      <c r="AC27" s="484"/>
      <c r="AD27" s="484"/>
      <c r="AE27" s="484"/>
      <c r="AF27" s="484"/>
      <c r="AG27" s="484"/>
      <c r="AH27" s="484"/>
      <c r="AI27" s="484"/>
      <c r="AJ27" s="484"/>
      <c r="AK27" s="484"/>
    </row>
    <row r="28" spans="2:37" s="64" customFormat="1" x14ac:dyDescent="0.35">
      <c r="B28" s="480" t="str">
        <f>B$27</f>
        <v>Energex</v>
      </c>
      <c r="C28" s="480" t="str">
        <f>C$27</f>
        <v>Residential</v>
      </c>
      <c r="D28" s="480" t="str">
        <f>D$27</f>
        <v>time of use</v>
      </c>
      <c r="E28" s="480" t="s">
        <v>279</v>
      </c>
      <c r="F28" s="485" cm="1">
        <f t="array" ref="F28">_xlfn.XLOOKUP(1,($B28=DistributionZone)*(C28=CustomerType)*(D28=tariffL2)*("Usage"=Description),valuesPY)*_xlfn.XLOOKUP(1,($B28=DistributionZone)*($C28=CustomerType)*(D28=tariffL2)*($E28=tariffType)*("SSO Usage proportion"=Description),valuesFY)</f>
        <v>451.87962441290153</v>
      </c>
      <c r="G28" s="480" t="s">
        <v>343</v>
      </c>
      <c r="H28" s="482">
        <f>'Tariff price summary'!$M$16</f>
        <v>177.85308407641543</v>
      </c>
      <c r="I28" s="482">
        <f>'Tariff price summary'!O16*10</f>
        <v>69.848494235280384</v>
      </c>
      <c r="J28" s="482">
        <f>IFERROR((I28*F31*(F28/(F32-F31))/F28),0)</f>
        <v>11.162459442667801</v>
      </c>
      <c r="K28" s="482">
        <f>SUM(I28:J28)</f>
        <v>81.01095367794818</v>
      </c>
      <c r="L28" s="483">
        <f>K28/1000</f>
        <v>8.101095367794818E-2</v>
      </c>
      <c r="M28" s="484"/>
      <c r="N28" s="484"/>
      <c r="O28" s="484"/>
      <c r="P28" s="484"/>
      <c r="Q28" s="484"/>
      <c r="R28" s="484"/>
      <c r="S28" s="484"/>
      <c r="T28" s="484"/>
      <c r="U28" s="484"/>
      <c r="V28" s="484"/>
      <c r="W28" s="484"/>
      <c r="X28" s="484"/>
      <c r="Y28" s="484"/>
      <c r="Z28" s="484"/>
      <c r="AA28" s="484"/>
      <c r="AB28" s="484"/>
      <c r="AC28" s="484"/>
      <c r="AD28" s="484"/>
      <c r="AE28" s="484"/>
      <c r="AF28" s="484"/>
      <c r="AG28" s="484"/>
      <c r="AH28" s="484"/>
      <c r="AI28" s="484"/>
      <c r="AJ28" s="484"/>
      <c r="AK28" s="484"/>
    </row>
    <row r="29" spans="2:37" s="64" customFormat="1" x14ac:dyDescent="0.35">
      <c r="B29" s="480" t="str">
        <f t="shared" ref="B29:D32" si="9">B$27</f>
        <v>Energex</v>
      </c>
      <c r="C29" s="480" t="str">
        <f t="shared" si="9"/>
        <v>Residential</v>
      </c>
      <c r="D29" s="480" t="str">
        <f t="shared" si="9"/>
        <v>time of use</v>
      </c>
      <c r="E29" s="480" t="s">
        <v>278</v>
      </c>
      <c r="F29" s="485" cm="1">
        <f t="array" ref="F29">_xlfn.XLOOKUP(1,($B29=DistributionZone)*(C29=CustomerType)*(D29=tariffL2)*("Usage"=Description),valuesPY)*_xlfn.XLOOKUP(1,($B29=DistributionZone)*($C29=CustomerType)*(D29=tariffL2)*($E29=tariffType)*("SSO Usage proportion"=Description),valuesFY)</f>
        <v>1333.0887059264935</v>
      </c>
      <c r="G29" s="480" t="s">
        <v>344</v>
      </c>
      <c r="H29" s="482">
        <f>'Tariff price summary'!$M$16</f>
        <v>177.85308407641543</v>
      </c>
      <c r="I29" s="482">
        <f>'Tariff price summary'!N16*10</f>
        <v>477.8577153426769</v>
      </c>
      <c r="J29" s="482">
        <f>IFERROR((I28*F31*(F29/(F32-F31))/F29),0)</f>
        <v>11.162459442667799</v>
      </c>
      <c r="K29" s="482">
        <f t="shared" ref="K29:K31" si="10">SUM(I29:J29)</f>
        <v>489.02017478534469</v>
      </c>
      <c r="L29" s="483">
        <f t="shared" ref="L29:L31" si="11">K29/1000</f>
        <v>0.48902017478534471</v>
      </c>
      <c r="M29" s="484"/>
      <c r="N29" s="484"/>
      <c r="O29" s="484"/>
      <c r="P29" s="484"/>
      <c r="Q29" s="484"/>
      <c r="R29" s="484"/>
      <c r="S29" s="484"/>
      <c r="T29" s="484"/>
      <c r="U29" s="484"/>
      <c r="V29" s="484"/>
      <c r="W29" s="484"/>
      <c r="X29" s="484"/>
      <c r="Y29" s="484"/>
      <c r="Z29" s="484"/>
      <c r="AA29" s="484"/>
      <c r="AB29" s="484"/>
      <c r="AC29" s="484"/>
      <c r="AD29" s="484"/>
      <c r="AE29" s="484"/>
      <c r="AF29" s="484"/>
      <c r="AG29" s="484"/>
      <c r="AH29" s="484"/>
      <c r="AI29" s="484"/>
      <c r="AJ29" s="484"/>
      <c r="AK29" s="484"/>
    </row>
    <row r="30" spans="2:37" s="64" customFormat="1" x14ac:dyDescent="0.35">
      <c r="B30" s="480" t="str">
        <f t="shared" si="9"/>
        <v>Energex</v>
      </c>
      <c r="C30" s="480" t="str">
        <f t="shared" si="9"/>
        <v>Residential</v>
      </c>
      <c r="D30" s="480" t="str">
        <f t="shared" si="9"/>
        <v>time of use</v>
      </c>
      <c r="E30" s="480" t="s">
        <v>283</v>
      </c>
      <c r="F30" s="485" cm="1">
        <f t="array" ref="F30">_xlfn.XLOOKUP(1,($B30=DistributionZone)*(C30=CustomerType)*(D30=tariffL2)*("Usage"=Description),valuesPY)*_xlfn.XLOOKUP(1,($B30=DistributionZone)*($C30=CustomerType)*(D30=tariffL2)*($E30=tariffType)*("SSO Usage proportion"=Description),valuesFY)</f>
        <v>2181.1999332709979</v>
      </c>
      <c r="G30" s="480" t="s">
        <v>348</v>
      </c>
      <c r="H30" s="482">
        <f>'Tariff price summary'!$M$16</f>
        <v>177.85308407641543</v>
      </c>
      <c r="I30" s="482">
        <f>'Tariff price summary'!P16*10</f>
        <v>252.95630960080277</v>
      </c>
      <c r="J30" s="482">
        <f>IFERROR((I28*F31*(F30/(F32-F31))/F30),0)</f>
        <v>11.162459442667799</v>
      </c>
      <c r="K30" s="482">
        <f t="shared" si="10"/>
        <v>264.11876904347059</v>
      </c>
      <c r="L30" s="483">
        <f t="shared" si="11"/>
        <v>0.26411876904347059</v>
      </c>
      <c r="M30" s="484"/>
      <c r="N30" s="484"/>
      <c r="O30" s="484"/>
      <c r="P30" s="484"/>
      <c r="Q30" s="484"/>
      <c r="R30" s="484"/>
      <c r="S30" s="484"/>
      <c r="T30" s="484"/>
      <c r="U30" s="484"/>
      <c r="V30" s="484"/>
      <c r="W30" s="484"/>
      <c r="X30" s="484"/>
      <c r="Y30" s="484"/>
      <c r="Z30" s="484"/>
      <c r="AA30" s="484"/>
      <c r="AB30" s="484"/>
      <c r="AC30" s="484"/>
      <c r="AD30" s="484"/>
      <c r="AE30" s="484"/>
      <c r="AF30" s="484"/>
      <c r="AG30" s="484"/>
      <c r="AH30" s="484"/>
      <c r="AI30" s="484"/>
      <c r="AJ30" s="484"/>
      <c r="AK30" s="484"/>
    </row>
    <row r="31" spans="2:37" s="64" customFormat="1" x14ac:dyDescent="0.35">
      <c r="B31" s="480" t="str">
        <f t="shared" si="9"/>
        <v>Energex</v>
      </c>
      <c r="C31" s="480" t="str">
        <f t="shared" si="9"/>
        <v>Residential</v>
      </c>
      <c r="D31" s="480" t="str">
        <f t="shared" si="9"/>
        <v>time of use</v>
      </c>
      <c r="E31" s="480" t="s">
        <v>345</v>
      </c>
      <c r="F31" s="485" cm="1">
        <f t="array" ref="F31">_xlfn.XLOOKUP(1,($B31=DistributionZone)*(C31=CustomerType)*(D31=tariffL2)*("Usage"=Description),valuesPY)*_xlfn.XLOOKUP(1,($B31=DistributionZone)*($C31=CustomerType)*(D31=tariffL2)*($E31=tariffType)*("SSO Usage proportion"=Description),valuesFY)</f>
        <v>633.83173638960659</v>
      </c>
      <c r="G31" s="480" t="s">
        <v>346</v>
      </c>
      <c r="H31" s="482">
        <f>'Tariff price summary'!$M$16</f>
        <v>177.85308407641543</v>
      </c>
      <c r="I31" s="482">
        <f>0</f>
        <v>0</v>
      </c>
      <c r="J31" s="482">
        <v>0</v>
      </c>
      <c r="K31" s="482">
        <f t="shared" si="10"/>
        <v>0</v>
      </c>
      <c r="L31" s="483">
        <f t="shared" si="11"/>
        <v>0</v>
      </c>
      <c r="M31" s="484"/>
      <c r="N31" s="484"/>
      <c r="O31" s="484"/>
      <c r="P31" s="484"/>
      <c r="Q31" s="484"/>
      <c r="R31" s="484"/>
      <c r="S31" s="484"/>
      <c r="T31" s="484"/>
      <c r="U31" s="484"/>
      <c r="V31" s="484"/>
      <c r="W31" s="484"/>
      <c r="X31" s="484"/>
      <c r="Y31" s="484"/>
      <c r="Z31" s="484"/>
      <c r="AA31" s="484"/>
      <c r="AB31" s="484"/>
      <c r="AC31" s="484"/>
      <c r="AD31" s="484"/>
      <c r="AE31" s="484"/>
      <c r="AF31" s="484"/>
      <c r="AG31" s="484"/>
      <c r="AH31" s="484"/>
      <c r="AI31" s="484"/>
      <c r="AJ31" s="484"/>
      <c r="AK31" s="484"/>
    </row>
    <row r="32" spans="2:37" s="64" customFormat="1" x14ac:dyDescent="0.35">
      <c r="B32" s="480" t="str">
        <f t="shared" si="9"/>
        <v>Energex</v>
      </c>
      <c r="C32" s="480" t="str">
        <f t="shared" si="9"/>
        <v>Residential</v>
      </c>
      <c r="D32" s="480" t="str">
        <f t="shared" si="9"/>
        <v>time of use</v>
      </c>
      <c r="E32" s="480" t="s">
        <v>272</v>
      </c>
      <c r="F32" s="485" cm="1">
        <f t="array" ref="F32">IFERROR(_xlfn.XLOOKUP(1,($B32=DistributionZone)*($C32=CustomerType)*($E32=tariffType)*("Usage"=Description),valuesFY),0)</f>
        <v>4600</v>
      </c>
      <c r="G32" s="479" t="s">
        <v>319</v>
      </c>
      <c r="H32" s="487"/>
      <c r="I32" s="487"/>
      <c r="J32" s="487"/>
      <c r="K32" s="487"/>
      <c r="L32" s="491">
        <f>(SUM('Network cost'!O214,'Wholesale cost'!O373,'Environmental cost'!O268)+'Retail cost'!O173*(1+CPI))/(1-RetailMargin_RES)*(1+GST)+F28*L28+F29*L29+F30*L30</f>
        <v>1913.7740695900175</v>
      </c>
      <c r="M32" s="484"/>
      <c r="N32" s="484"/>
      <c r="O32" s="484"/>
      <c r="P32" s="484"/>
      <c r="Q32" s="484"/>
      <c r="R32" s="484"/>
      <c r="S32" s="484"/>
      <c r="T32" s="484"/>
      <c r="U32" s="484"/>
      <c r="V32" s="484"/>
      <c r="W32" s="484"/>
      <c r="X32" s="484"/>
      <c r="Y32" s="484"/>
      <c r="Z32" s="484"/>
      <c r="AA32" s="484"/>
      <c r="AB32" s="484"/>
      <c r="AC32" s="484"/>
      <c r="AD32" s="484"/>
      <c r="AE32" s="484"/>
      <c r="AF32" s="484"/>
      <c r="AG32" s="484"/>
      <c r="AH32" s="484"/>
      <c r="AI32" s="484"/>
      <c r="AJ32" s="484"/>
      <c r="AK32" s="484"/>
    </row>
    <row r="33" spans="2:37" s="64" customFormat="1" x14ac:dyDescent="0.35">
      <c r="B33" s="480"/>
      <c r="C33" s="480"/>
      <c r="D33" s="480"/>
      <c r="E33" s="480"/>
      <c r="F33" s="480"/>
      <c r="G33" s="480"/>
      <c r="H33" s="482"/>
      <c r="I33" s="482"/>
      <c r="J33" s="482"/>
      <c r="K33" s="482"/>
      <c r="L33" s="483"/>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row>
    <row r="34" spans="2:37" s="64" customFormat="1" x14ac:dyDescent="0.35">
      <c r="B34" s="479" t="s">
        <v>5</v>
      </c>
      <c r="C34" s="479" t="s">
        <v>6</v>
      </c>
      <c r="D34" s="479" t="s">
        <v>272</v>
      </c>
      <c r="E34" s="480"/>
      <c r="F34" s="480"/>
      <c r="G34" s="480"/>
      <c r="H34" s="487"/>
      <c r="I34" s="482"/>
      <c r="J34" s="483"/>
      <c r="K34" s="487"/>
      <c r="L34" s="483"/>
      <c r="M34" s="484"/>
      <c r="N34" s="484"/>
      <c r="O34" s="484"/>
      <c r="P34" s="484"/>
      <c r="Q34" s="484"/>
      <c r="R34" s="484"/>
      <c r="S34" s="484"/>
      <c r="T34" s="484"/>
      <c r="U34" s="484"/>
      <c r="V34" s="484"/>
      <c r="W34" s="484"/>
      <c r="X34" s="484"/>
      <c r="Y34" s="484"/>
      <c r="Z34" s="484"/>
      <c r="AA34" s="484"/>
      <c r="AB34" s="484"/>
      <c r="AC34" s="484"/>
      <c r="AD34" s="484"/>
      <c r="AE34" s="484"/>
      <c r="AF34" s="484"/>
      <c r="AG34" s="484"/>
      <c r="AH34" s="484"/>
      <c r="AI34" s="484"/>
      <c r="AJ34" s="484"/>
      <c r="AK34" s="484"/>
    </row>
    <row r="35" spans="2:37" s="64" customFormat="1" x14ac:dyDescent="0.35">
      <c r="B35" s="480" t="str">
        <f>B$34</f>
        <v>SAPN</v>
      </c>
      <c r="C35" s="480" t="str">
        <f>C$34</f>
        <v>Residential</v>
      </c>
      <c r="D35" s="480" t="str">
        <f>D$34</f>
        <v>time of use</v>
      </c>
      <c r="E35" s="480" t="s">
        <v>279</v>
      </c>
      <c r="F35" s="485" cm="1">
        <f t="array" ref="F35">_xlfn.XLOOKUP(1,($B35=DistributionZone)*(C35=CustomerType)*(D35=tariffL2)*("Usage"=Description),valuesPY)*_xlfn.XLOOKUP(1,($B35=DistributionZone)*($C35=CustomerType)*(D35=tariffL2)*($E35=tariffType)*("SSO Usage proportion"=Description),valuesFY)</f>
        <v>849.83914277723261</v>
      </c>
      <c r="G35" s="480" t="s">
        <v>343</v>
      </c>
      <c r="H35" s="482">
        <f>'Tariff price summary'!$M$19</f>
        <v>180.05118195485952</v>
      </c>
      <c r="I35" s="482">
        <f>'Tariff price summary'!O19*10</f>
        <v>325.5061523881829</v>
      </c>
      <c r="J35" s="482">
        <f>IFERROR((I37*F38*(F35/(F39-F38))/F35),0)</f>
        <v>26.201556521929621</v>
      </c>
      <c r="K35" s="482">
        <f>SUM(I35:J35)</f>
        <v>351.7077089101125</v>
      </c>
      <c r="L35" s="483">
        <f>K35/1000</f>
        <v>0.35170770891011249</v>
      </c>
      <c r="M35" s="484"/>
      <c r="N35" s="484"/>
      <c r="O35" s="484"/>
      <c r="P35" s="484"/>
      <c r="Q35" s="484"/>
      <c r="R35" s="484"/>
      <c r="S35" s="484"/>
      <c r="T35" s="484"/>
      <c r="U35" s="484"/>
      <c r="V35" s="484"/>
      <c r="W35" s="484"/>
      <c r="X35" s="484"/>
      <c r="Y35" s="484"/>
      <c r="Z35" s="484"/>
      <c r="AA35" s="484"/>
      <c r="AB35" s="484"/>
      <c r="AC35" s="484"/>
      <c r="AD35" s="484"/>
      <c r="AE35" s="484"/>
      <c r="AF35" s="484"/>
      <c r="AG35" s="484"/>
      <c r="AH35" s="484"/>
      <c r="AI35" s="484"/>
      <c r="AJ35" s="484"/>
      <c r="AK35" s="484"/>
    </row>
    <row r="36" spans="2:37" s="64" customFormat="1" x14ac:dyDescent="0.35">
      <c r="B36" s="480" t="str">
        <f t="shared" ref="B36:D39" si="12">B$34</f>
        <v>SAPN</v>
      </c>
      <c r="C36" s="480" t="str">
        <f t="shared" si="12"/>
        <v>Residential</v>
      </c>
      <c r="D36" s="480" t="str">
        <f t="shared" si="12"/>
        <v>time of use</v>
      </c>
      <c r="E36" s="480" t="s">
        <v>278</v>
      </c>
      <c r="F36" s="485" cm="1">
        <f t="array" ref="F36">_xlfn.XLOOKUP(1,($B36=DistributionZone)*(C36=CustomerType)*(D36=tariffL2)*("Usage"=Description),valuesPY)*_xlfn.XLOOKUP(1,($B36=DistributionZone)*($C36=CustomerType)*(D36=tariffL2)*($E36=tariffType)*("SSO Usage proportion"=Description),valuesFY)</f>
        <v>2054.6441546346314</v>
      </c>
      <c r="G36" s="480" t="s">
        <v>344</v>
      </c>
      <c r="H36" s="482">
        <f>'Tariff price summary'!$M$19</f>
        <v>180.05118195485952</v>
      </c>
      <c r="I36" s="482">
        <f>'Tariff price summary'!N19*10</f>
        <v>562.21821845760178</v>
      </c>
      <c r="J36" s="482">
        <f>IFERROR((I37*F38*(F36/(F39-F38))/F36),0)</f>
        <v>26.201556521929621</v>
      </c>
      <c r="K36" s="482">
        <f t="shared" ref="K36:K37" si="13">SUM(I36:J36)</f>
        <v>588.41977497953144</v>
      </c>
      <c r="L36" s="483">
        <f t="shared" ref="L36:L38" si="14">K36/1000</f>
        <v>0.58841977497953146</v>
      </c>
      <c r="M36" s="484"/>
      <c r="N36" s="484"/>
      <c r="O36" s="484"/>
      <c r="P36" s="484"/>
      <c r="Q36" s="484"/>
      <c r="R36" s="484"/>
      <c r="S36" s="484"/>
      <c r="T36" s="484"/>
      <c r="U36" s="484"/>
      <c r="V36" s="484"/>
      <c r="W36" s="484"/>
      <c r="X36" s="484"/>
      <c r="Y36" s="484"/>
      <c r="Z36" s="484"/>
      <c r="AA36" s="484"/>
      <c r="AB36" s="484"/>
      <c r="AC36" s="484"/>
      <c r="AD36" s="484"/>
      <c r="AE36" s="484"/>
      <c r="AF36" s="484"/>
      <c r="AG36" s="484"/>
      <c r="AH36" s="484"/>
      <c r="AI36" s="484"/>
      <c r="AJ36" s="484"/>
      <c r="AK36" s="484"/>
    </row>
    <row r="37" spans="2:37" s="64" customFormat="1" x14ac:dyDescent="0.35">
      <c r="B37" s="480" t="str">
        <f t="shared" si="12"/>
        <v>SAPN</v>
      </c>
      <c r="C37" s="480" t="str">
        <f t="shared" si="12"/>
        <v>Residential</v>
      </c>
      <c r="D37" s="480" t="str">
        <f t="shared" si="12"/>
        <v>time of use</v>
      </c>
      <c r="E37" s="480" t="s">
        <v>284</v>
      </c>
      <c r="F37" s="485" cm="1">
        <f t="array" ref="F37">_xlfn.XLOOKUP(1,($B37=DistributionZone)*(C37=CustomerType)*(D37=tariffL2)*("Usage"=Description),valuesPY)*_xlfn.XLOOKUP(1,($B37=DistributionZone)*($C37=CustomerType)*(D37=tariffL2)*($E37=tariffType)*("SSO Usage proportion"=Description),valuesFY)</f>
        <v>562.51032302470276</v>
      </c>
      <c r="G37" s="480" t="s">
        <v>349</v>
      </c>
      <c r="H37" s="482">
        <f>'Tariff price summary'!$M$19</f>
        <v>180.05118195485952</v>
      </c>
      <c r="I37" s="482">
        <f>'Tariff price summary'!P19*10</f>
        <v>170.43066047622625</v>
      </c>
      <c r="J37" s="482">
        <f>IFERROR((I37*F38*(F37/(F39-F38))/F37),0)</f>
        <v>26.201556521929618</v>
      </c>
      <c r="K37" s="482">
        <f t="shared" si="13"/>
        <v>196.63221699815585</v>
      </c>
      <c r="L37" s="483">
        <f t="shared" si="14"/>
        <v>0.19663221699815586</v>
      </c>
      <c r="M37" s="484"/>
      <c r="N37" s="484"/>
      <c r="O37" s="484"/>
      <c r="P37" s="484"/>
      <c r="Q37" s="484"/>
      <c r="R37" s="484"/>
      <c r="S37" s="484"/>
      <c r="T37" s="484"/>
      <c r="U37" s="484"/>
      <c r="V37" s="484"/>
      <c r="W37" s="484"/>
      <c r="X37" s="484"/>
      <c r="Y37" s="484"/>
      <c r="Z37" s="484"/>
      <c r="AA37" s="484"/>
      <c r="AB37" s="484"/>
      <c r="AC37" s="484"/>
      <c r="AD37" s="484"/>
      <c r="AE37" s="484"/>
      <c r="AF37" s="484"/>
      <c r="AG37" s="484"/>
      <c r="AH37" s="484"/>
      <c r="AI37" s="484"/>
      <c r="AJ37" s="484"/>
      <c r="AK37" s="484"/>
    </row>
    <row r="38" spans="2:37" s="64" customFormat="1" x14ac:dyDescent="0.35">
      <c r="B38" s="480" t="str">
        <f t="shared" si="12"/>
        <v>SAPN</v>
      </c>
      <c r="C38" s="480" t="str">
        <f t="shared" si="12"/>
        <v>Residential</v>
      </c>
      <c r="D38" s="480" t="str">
        <f t="shared" si="12"/>
        <v>time of use</v>
      </c>
      <c r="E38" s="480" t="s">
        <v>345</v>
      </c>
      <c r="F38" s="485" cm="1">
        <f t="array" ref="F38">_xlfn.XLOOKUP(1,($B38=DistributionZone)*(C38=CustomerType)*(D38=tariffL2)*("Usage"=Description),valuesPY)*_xlfn.XLOOKUP(1,($B38=DistributionZone)*($C38=CustomerType)*(D38=tariffL2)*($E38=tariffType)*("SSO Usage proportion"=Description),valuesFY)</f>
        <v>533.00637956343348</v>
      </c>
      <c r="G38" s="480" t="s">
        <v>346</v>
      </c>
      <c r="H38" s="482">
        <f>'Tariff price summary'!$M$19</f>
        <v>180.05118195485952</v>
      </c>
      <c r="I38" s="482">
        <f>0</f>
        <v>0</v>
      </c>
      <c r="J38" s="482">
        <v>0</v>
      </c>
      <c r="K38" s="482">
        <f>SUM(I38:J38)</f>
        <v>0</v>
      </c>
      <c r="L38" s="483">
        <f t="shared" si="14"/>
        <v>0</v>
      </c>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484"/>
      <c r="AJ38" s="484"/>
      <c r="AK38" s="484"/>
    </row>
    <row r="39" spans="2:37" s="64" customFormat="1" x14ac:dyDescent="0.35">
      <c r="B39" s="480" t="str">
        <f t="shared" si="12"/>
        <v>SAPN</v>
      </c>
      <c r="C39" s="480" t="str">
        <f t="shared" si="12"/>
        <v>Residential</v>
      </c>
      <c r="D39" s="480" t="str">
        <f t="shared" si="12"/>
        <v>time of use</v>
      </c>
      <c r="E39" s="480" t="s">
        <v>272</v>
      </c>
      <c r="F39" s="485" cm="1">
        <f t="array" ref="F39">IFERROR(_xlfn.XLOOKUP(1,($B39=DistributionZone)*($C39=CustomerType)*($E39=tariffType)*("Usage"=Description),valuesFY),0)</f>
        <v>4000</v>
      </c>
      <c r="G39" s="479" t="s">
        <v>319</v>
      </c>
      <c r="H39" s="487"/>
      <c r="I39" s="488"/>
      <c r="J39" s="483"/>
      <c r="K39" s="482"/>
      <c r="L39" s="491">
        <f>(SUM('Network cost'!O274,'Wholesale cost'!O491,'Environmental cost'!O337)+'Retail cost'!O223*(1+CPI))/(1-RetailMargin_RES)*(1+GST)+(F35*L35+F36*L36+F37*L37)</f>
        <v>2275.6826950173672</v>
      </c>
      <c r="M39" s="484"/>
      <c r="N39" s="484"/>
      <c r="O39" s="484"/>
      <c r="P39" s="484"/>
      <c r="Q39" s="484"/>
      <c r="R39" s="484"/>
      <c r="S39" s="484"/>
      <c r="T39" s="484"/>
      <c r="U39" s="484"/>
      <c r="V39" s="484"/>
      <c r="W39" s="484"/>
      <c r="X39" s="484"/>
      <c r="Y39" s="484"/>
      <c r="Z39" s="484"/>
      <c r="AA39" s="484"/>
      <c r="AB39" s="484"/>
      <c r="AC39" s="484"/>
      <c r="AD39" s="484"/>
      <c r="AE39" s="484"/>
      <c r="AF39" s="484"/>
      <c r="AG39" s="484"/>
      <c r="AH39" s="484"/>
      <c r="AI39" s="484"/>
      <c r="AJ39" s="484"/>
      <c r="AK39" s="484"/>
    </row>
    <row r="40" spans="2:37" s="64" customFormat="1" x14ac:dyDescent="0.35">
      <c r="B40" s="30"/>
      <c r="C40" s="30"/>
      <c r="D40" s="30"/>
      <c r="E40" s="30"/>
      <c r="F40" s="258"/>
      <c r="H40" s="487"/>
      <c r="I40" s="487"/>
      <c r="J40" s="483"/>
      <c r="K40" s="487"/>
      <c r="L40" s="483"/>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c r="AJ40" s="484"/>
      <c r="AK40" s="484"/>
    </row>
    <row r="41" spans="2:37" s="64" customFormat="1" x14ac:dyDescent="0.35">
      <c r="B41" s="30"/>
      <c r="C41" s="30"/>
      <c r="D41" s="30"/>
      <c r="E41" s="30"/>
      <c r="F41" s="258"/>
      <c r="G41" s="30"/>
      <c r="H41" s="482"/>
      <c r="I41" s="482"/>
      <c r="J41" s="483"/>
      <c r="K41" s="482"/>
      <c r="L41" s="483"/>
      <c r="M41" s="484"/>
      <c r="N41" s="484"/>
      <c r="O41" s="484"/>
      <c r="P41" s="484"/>
      <c r="Q41" s="484"/>
      <c r="R41" s="484"/>
      <c r="S41" s="484"/>
      <c r="T41" s="484"/>
      <c r="U41" s="484"/>
      <c r="V41" s="484"/>
      <c r="W41" s="484"/>
      <c r="X41" s="484"/>
      <c r="Y41" s="484"/>
      <c r="Z41" s="484"/>
      <c r="AA41" s="484"/>
      <c r="AB41" s="484"/>
      <c r="AC41" s="484"/>
      <c r="AD41" s="484"/>
      <c r="AE41" s="484"/>
      <c r="AF41" s="484"/>
      <c r="AG41" s="484"/>
      <c r="AH41" s="484"/>
      <c r="AI41" s="484"/>
      <c r="AJ41" s="484"/>
      <c r="AK41" s="484"/>
    </row>
    <row r="42" spans="2:37" s="64" customFormat="1" x14ac:dyDescent="0.35">
      <c r="B42" s="30"/>
      <c r="C42" s="30"/>
      <c r="D42" s="30"/>
      <c r="E42" s="30"/>
      <c r="F42" s="258"/>
      <c r="H42" s="487"/>
      <c r="I42" s="482"/>
      <c r="J42" s="483"/>
      <c r="K42" s="487"/>
      <c r="L42" s="483"/>
      <c r="M42" s="484"/>
      <c r="N42" s="484"/>
      <c r="O42" s="484"/>
      <c r="P42" s="484"/>
      <c r="Q42" s="484"/>
      <c r="R42" s="484"/>
      <c r="S42" s="484"/>
      <c r="T42" s="484"/>
      <c r="U42" s="484"/>
      <c r="V42" s="484"/>
      <c r="W42" s="484"/>
      <c r="X42" s="484"/>
      <c r="Y42" s="484"/>
      <c r="Z42" s="484"/>
      <c r="AA42" s="484"/>
      <c r="AB42" s="484"/>
      <c r="AC42" s="484"/>
      <c r="AD42" s="484"/>
      <c r="AE42" s="484"/>
      <c r="AF42" s="484"/>
      <c r="AG42" s="484"/>
      <c r="AH42" s="484"/>
      <c r="AI42" s="484"/>
      <c r="AJ42" s="484"/>
      <c r="AK42" s="484"/>
    </row>
    <row r="43" spans="2:37" s="64" customFormat="1" x14ac:dyDescent="0.35">
      <c r="B43" s="30"/>
      <c r="C43" s="30"/>
      <c r="D43" s="30"/>
      <c r="E43" s="30"/>
      <c r="F43" s="258"/>
      <c r="G43" s="30"/>
      <c r="H43" s="490"/>
      <c r="I43" s="482"/>
      <c r="J43" s="483"/>
      <c r="K43" s="482"/>
      <c r="L43" s="483"/>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4"/>
      <c r="AJ43" s="484"/>
      <c r="AK43" s="484"/>
    </row>
    <row r="44" spans="2:37" s="64" customFormat="1" x14ac:dyDescent="0.35">
      <c r="B44" s="30"/>
      <c r="C44" s="30"/>
      <c r="D44" s="30"/>
      <c r="E44" s="30"/>
      <c r="F44" s="258"/>
      <c r="H44" s="487"/>
      <c r="I44" s="487"/>
      <c r="J44" s="487"/>
      <c r="K44" s="487"/>
      <c r="L44" s="483"/>
      <c r="M44" s="484"/>
      <c r="N44" s="484"/>
      <c r="O44" s="484"/>
      <c r="P44" s="484"/>
      <c r="Q44" s="484"/>
      <c r="R44" s="484"/>
      <c r="S44" s="484"/>
      <c r="T44" s="484"/>
      <c r="U44" s="484"/>
      <c r="V44" s="484"/>
      <c r="W44" s="484"/>
      <c r="X44" s="484"/>
      <c r="Y44" s="484"/>
      <c r="Z44" s="484"/>
      <c r="AA44" s="484"/>
      <c r="AB44" s="484"/>
      <c r="AC44" s="484"/>
      <c r="AD44" s="484"/>
      <c r="AE44" s="484"/>
      <c r="AF44" s="484"/>
      <c r="AG44" s="484"/>
      <c r="AH44" s="484"/>
      <c r="AI44" s="484"/>
      <c r="AJ44" s="484"/>
      <c r="AK44" s="484"/>
    </row>
    <row r="45" spans="2:37" s="64" customFormat="1" x14ac:dyDescent="0.35">
      <c r="B45" s="30"/>
      <c r="C45" s="30"/>
      <c r="D45" s="30"/>
      <c r="E45" s="30"/>
      <c r="F45" s="258"/>
      <c r="G45" s="30"/>
      <c r="H45" s="482"/>
      <c r="I45" s="482"/>
      <c r="J45" s="482"/>
      <c r="K45" s="482"/>
      <c r="L45" s="483"/>
      <c r="M45" s="484"/>
      <c r="N45" s="484"/>
      <c r="O45" s="484"/>
      <c r="P45" s="484"/>
      <c r="Q45" s="484"/>
      <c r="R45" s="484"/>
      <c r="S45" s="484"/>
      <c r="T45" s="484"/>
      <c r="U45" s="484"/>
      <c r="V45" s="484"/>
      <c r="W45" s="484"/>
      <c r="X45" s="484"/>
      <c r="Y45" s="484"/>
      <c r="Z45" s="484"/>
      <c r="AA45" s="484"/>
      <c r="AB45" s="484"/>
      <c r="AC45" s="484"/>
      <c r="AD45" s="484"/>
      <c r="AE45" s="484"/>
      <c r="AF45" s="484"/>
      <c r="AG45" s="484"/>
      <c r="AH45" s="484"/>
      <c r="AI45" s="484"/>
      <c r="AJ45" s="484"/>
      <c r="AK45" s="484"/>
    </row>
    <row r="46" spans="2:37" s="64" customFormat="1" x14ac:dyDescent="0.35">
      <c r="B46" s="30"/>
      <c r="C46" s="30"/>
      <c r="D46" s="30"/>
      <c r="E46" s="30"/>
      <c r="F46" s="258"/>
      <c r="H46" s="487"/>
      <c r="I46" s="487"/>
      <c r="J46" s="487"/>
      <c r="K46" s="487"/>
      <c r="L46" s="483"/>
      <c r="M46" s="484"/>
      <c r="N46" s="484"/>
      <c r="O46" s="484"/>
      <c r="P46" s="484"/>
      <c r="Q46" s="484"/>
      <c r="R46" s="484"/>
      <c r="S46" s="484"/>
      <c r="T46" s="484"/>
      <c r="U46" s="484"/>
      <c r="V46" s="484"/>
      <c r="W46" s="484"/>
      <c r="X46" s="484"/>
      <c r="Y46" s="484"/>
      <c r="Z46" s="484"/>
      <c r="AA46" s="484"/>
      <c r="AB46" s="484"/>
      <c r="AC46" s="484"/>
      <c r="AD46" s="484"/>
      <c r="AE46" s="484"/>
      <c r="AF46" s="484"/>
      <c r="AG46" s="484"/>
      <c r="AH46" s="484"/>
      <c r="AI46" s="484"/>
      <c r="AJ46" s="484"/>
      <c r="AK46" s="484"/>
    </row>
    <row r="47" spans="2:37" s="64" customFormat="1" x14ac:dyDescent="0.35">
      <c r="B47" s="30"/>
      <c r="C47" s="30"/>
      <c r="D47" s="30"/>
      <c r="E47" s="30"/>
      <c r="F47" s="258"/>
      <c r="G47" s="30"/>
      <c r="H47" s="482"/>
      <c r="I47" s="482"/>
      <c r="J47" s="482"/>
      <c r="K47" s="482"/>
      <c r="L47" s="483"/>
      <c r="M47" s="484"/>
      <c r="N47" s="484"/>
      <c r="O47" s="484"/>
      <c r="P47" s="484"/>
      <c r="Q47" s="484"/>
      <c r="R47" s="484"/>
      <c r="S47" s="484"/>
      <c r="T47" s="484"/>
      <c r="U47" s="484"/>
      <c r="V47" s="484"/>
      <c r="W47" s="484"/>
      <c r="X47" s="484"/>
      <c r="Y47" s="484"/>
      <c r="Z47" s="484"/>
      <c r="AA47" s="484"/>
      <c r="AB47" s="484"/>
      <c r="AC47" s="484"/>
      <c r="AD47" s="484"/>
      <c r="AE47" s="484"/>
      <c r="AF47" s="484"/>
      <c r="AG47" s="484"/>
      <c r="AH47" s="484"/>
      <c r="AI47" s="484"/>
      <c r="AJ47" s="484"/>
      <c r="AK47" s="484"/>
    </row>
    <row r="48" spans="2:37" s="64" customFormat="1" x14ac:dyDescent="0.35">
      <c r="B48" s="30"/>
      <c r="C48" s="30"/>
      <c r="D48" s="30"/>
      <c r="E48" s="30"/>
      <c r="F48" s="258"/>
      <c r="H48" s="487"/>
      <c r="I48" s="487"/>
      <c r="J48" s="487"/>
      <c r="K48" s="487"/>
      <c r="L48" s="483"/>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row>
    <row r="49" spans="2:37" s="64" customFormat="1" x14ac:dyDescent="0.35">
      <c r="B49" s="30"/>
      <c r="C49" s="30"/>
      <c r="D49" s="30"/>
      <c r="E49" s="30"/>
      <c r="F49" s="258"/>
      <c r="G49" s="30"/>
      <c r="H49" s="482"/>
      <c r="I49" s="482"/>
      <c r="J49" s="482"/>
      <c r="K49" s="482"/>
      <c r="L49" s="483"/>
      <c r="M49" s="484"/>
      <c r="N49" s="484"/>
      <c r="O49" s="484"/>
      <c r="P49" s="484"/>
      <c r="Q49" s="484"/>
      <c r="R49" s="484"/>
      <c r="S49" s="484"/>
      <c r="T49" s="484"/>
      <c r="U49" s="484"/>
      <c r="V49" s="484"/>
      <c r="W49" s="484"/>
      <c r="X49" s="484"/>
      <c r="Y49" s="484"/>
      <c r="Z49" s="484"/>
      <c r="AA49" s="484"/>
      <c r="AB49" s="484"/>
      <c r="AC49" s="484"/>
      <c r="AD49" s="484"/>
      <c r="AE49" s="484"/>
      <c r="AF49" s="484"/>
      <c r="AG49" s="484"/>
      <c r="AH49" s="484"/>
      <c r="AI49" s="484"/>
      <c r="AJ49" s="484"/>
      <c r="AK49" s="484"/>
    </row>
    <row r="50" spans="2:37" s="64" customFormat="1" x14ac:dyDescent="0.35">
      <c r="B50" s="30"/>
      <c r="C50" s="30"/>
      <c r="D50" s="30"/>
      <c r="E50" s="30"/>
      <c r="F50" s="258"/>
      <c r="H50" s="487"/>
      <c r="I50" s="487"/>
      <c r="J50" s="487"/>
      <c r="K50" s="487"/>
      <c r="L50" s="483"/>
      <c r="M50" s="484"/>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4"/>
      <c r="AK50" s="484"/>
    </row>
    <row r="51" spans="2:37" s="64" customFormat="1" x14ac:dyDescent="0.35">
      <c r="B51" s="30"/>
      <c r="C51" s="30"/>
      <c r="D51" s="30"/>
      <c r="E51" s="30"/>
      <c r="F51" s="258"/>
      <c r="G51" s="30"/>
      <c r="H51" s="482"/>
      <c r="I51" s="482"/>
      <c r="J51" s="482"/>
      <c r="K51" s="482"/>
      <c r="L51" s="483"/>
      <c r="M51" s="484"/>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4"/>
      <c r="AK51" s="484"/>
    </row>
    <row r="52" spans="2:37" s="64" customFormat="1" x14ac:dyDescent="0.35">
      <c r="B52" s="30"/>
      <c r="C52" s="30"/>
      <c r="D52" s="30"/>
      <c r="E52" s="30"/>
      <c r="F52" s="258"/>
      <c r="H52" s="487"/>
      <c r="I52" s="487"/>
      <c r="J52" s="487"/>
      <c r="K52" s="487"/>
      <c r="L52" s="483"/>
      <c r="M52" s="484"/>
      <c r="N52" s="484"/>
      <c r="O52" s="484"/>
      <c r="P52" s="484"/>
      <c r="Q52" s="484"/>
      <c r="R52" s="484"/>
      <c r="S52" s="484"/>
      <c r="T52" s="484"/>
      <c r="U52" s="484"/>
      <c r="V52" s="484"/>
      <c r="W52" s="484"/>
      <c r="X52" s="484"/>
      <c r="Y52" s="484"/>
      <c r="Z52" s="484"/>
      <c r="AA52" s="484"/>
      <c r="AB52" s="484"/>
      <c r="AC52" s="484"/>
      <c r="AD52" s="484"/>
      <c r="AE52" s="484"/>
      <c r="AF52" s="484"/>
      <c r="AG52" s="484"/>
      <c r="AH52" s="484"/>
      <c r="AI52" s="484"/>
      <c r="AJ52" s="484"/>
      <c r="AK52" s="484"/>
    </row>
    <row r="53" spans="2:37" s="64" customFormat="1" x14ac:dyDescent="0.35">
      <c r="B53" s="30"/>
      <c r="C53" s="30"/>
      <c r="D53" s="30"/>
      <c r="E53" s="30"/>
      <c r="F53" s="258"/>
      <c r="G53" s="30"/>
      <c r="H53" s="482"/>
      <c r="I53" s="482"/>
      <c r="J53" s="482"/>
      <c r="K53" s="482"/>
      <c r="L53" s="483"/>
      <c r="M53" s="484"/>
      <c r="N53" s="484"/>
      <c r="O53" s="484"/>
      <c r="P53" s="484"/>
      <c r="Q53" s="484"/>
      <c r="R53" s="484"/>
      <c r="S53" s="484"/>
      <c r="T53" s="484"/>
      <c r="U53" s="484"/>
      <c r="V53" s="484"/>
      <c r="W53" s="484"/>
      <c r="X53" s="484"/>
      <c r="Y53" s="484"/>
      <c r="Z53" s="484"/>
      <c r="AA53" s="484"/>
      <c r="AB53" s="484"/>
      <c r="AC53" s="484"/>
      <c r="AD53" s="484"/>
      <c r="AE53" s="484"/>
      <c r="AF53" s="484"/>
      <c r="AG53" s="484"/>
      <c r="AH53" s="484"/>
      <c r="AI53" s="484"/>
      <c r="AJ53" s="484"/>
      <c r="AK53" s="484"/>
    </row>
    <row r="54" spans="2:37" s="64" customFormat="1" x14ac:dyDescent="0.35">
      <c r="B54" s="30"/>
      <c r="C54" s="30"/>
      <c r="D54" s="30"/>
      <c r="E54" s="30"/>
      <c r="F54" s="258"/>
      <c r="H54" s="487"/>
      <c r="I54" s="487"/>
      <c r="J54" s="487"/>
      <c r="K54" s="487"/>
      <c r="L54" s="483"/>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4"/>
      <c r="AJ54" s="484"/>
      <c r="AK54" s="484"/>
    </row>
    <row r="55" spans="2:37" s="64" customFormat="1" x14ac:dyDescent="0.35">
      <c r="B55" s="30"/>
      <c r="C55" s="30"/>
      <c r="D55" s="30"/>
      <c r="E55" s="30"/>
      <c r="F55" s="258"/>
      <c r="G55" s="30"/>
      <c r="H55" s="482"/>
      <c r="I55" s="482"/>
      <c r="J55" s="482"/>
      <c r="K55" s="482"/>
      <c r="L55" s="483"/>
      <c r="M55" s="484"/>
      <c r="N55" s="484"/>
      <c r="O55" s="484"/>
      <c r="P55" s="484"/>
      <c r="Q55" s="484"/>
      <c r="R55" s="484"/>
      <c r="S55" s="484"/>
      <c r="T55" s="484"/>
      <c r="U55" s="484"/>
      <c r="V55" s="484"/>
      <c r="W55" s="484"/>
      <c r="X55" s="484"/>
      <c r="Y55" s="484"/>
      <c r="Z55" s="484"/>
      <c r="AA55" s="484"/>
      <c r="AB55" s="484"/>
      <c r="AC55" s="484"/>
      <c r="AD55" s="484"/>
      <c r="AE55" s="484"/>
      <c r="AF55" s="484"/>
      <c r="AG55" s="484"/>
      <c r="AH55" s="484"/>
      <c r="AI55" s="484"/>
      <c r="AJ55" s="484"/>
      <c r="AK55" s="484"/>
    </row>
    <row r="56" spans="2:37" s="64" customFormat="1" x14ac:dyDescent="0.35">
      <c r="B56" s="30"/>
      <c r="C56" s="30"/>
      <c r="D56" s="30"/>
      <c r="E56" s="30"/>
      <c r="F56" s="258"/>
      <c r="H56" s="487"/>
      <c r="I56" s="487"/>
      <c r="J56" s="487"/>
      <c r="K56" s="487"/>
      <c r="L56" s="483"/>
      <c r="M56" s="484"/>
      <c r="N56" s="484"/>
      <c r="O56" s="484"/>
      <c r="P56" s="484"/>
      <c r="Q56" s="484"/>
      <c r="R56" s="484"/>
      <c r="S56" s="484"/>
      <c r="T56" s="484"/>
      <c r="U56" s="484"/>
      <c r="V56" s="484"/>
      <c r="W56" s="484"/>
      <c r="X56" s="484"/>
      <c r="Y56" s="484"/>
      <c r="Z56" s="484"/>
      <c r="AA56" s="484"/>
      <c r="AB56" s="484"/>
      <c r="AC56" s="484"/>
      <c r="AD56" s="484"/>
      <c r="AE56" s="484"/>
      <c r="AF56" s="484"/>
      <c r="AG56" s="484"/>
      <c r="AH56" s="484"/>
      <c r="AI56" s="484"/>
      <c r="AJ56" s="484"/>
      <c r="AK56" s="484"/>
    </row>
    <row r="57" spans="2:37" s="64" customFormat="1" x14ac:dyDescent="0.35">
      <c r="B57" s="30"/>
      <c r="C57" s="30"/>
      <c r="D57" s="30"/>
      <c r="E57" s="30"/>
      <c r="F57" s="258"/>
      <c r="G57" s="30"/>
      <c r="H57" s="482"/>
      <c r="I57" s="482"/>
      <c r="J57" s="482"/>
      <c r="K57" s="482"/>
      <c r="L57" s="483"/>
      <c r="M57" s="484"/>
      <c r="N57" s="484"/>
      <c r="O57" s="484"/>
      <c r="P57" s="484"/>
      <c r="Q57" s="484"/>
      <c r="R57" s="484"/>
      <c r="S57" s="484"/>
      <c r="T57" s="484"/>
      <c r="U57" s="484"/>
      <c r="V57" s="484"/>
      <c r="W57" s="484"/>
      <c r="X57" s="484"/>
      <c r="Y57" s="484"/>
      <c r="Z57" s="484"/>
      <c r="AA57" s="484"/>
      <c r="AB57" s="484"/>
      <c r="AC57" s="484"/>
      <c r="AD57" s="484"/>
      <c r="AE57" s="484"/>
      <c r="AF57" s="484"/>
      <c r="AG57" s="484"/>
      <c r="AH57" s="484"/>
      <c r="AI57" s="484"/>
      <c r="AJ57" s="484"/>
      <c r="AK57" s="484"/>
    </row>
    <row r="58" spans="2:37" s="64" customFormat="1" x14ac:dyDescent="0.35">
      <c r="B58" s="30"/>
      <c r="C58" s="30"/>
      <c r="D58" s="30"/>
      <c r="E58" s="30"/>
      <c r="F58" s="258"/>
      <c r="H58" s="487"/>
      <c r="I58" s="487"/>
      <c r="J58" s="487"/>
      <c r="K58" s="487"/>
      <c r="L58" s="483"/>
      <c r="M58" s="484"/>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row>
    <row r="59" spans="2:37" s="64" customFormat="1" x14ac:dyDescent="0.35">
      <c r="B59" s="30"/>
      <c r="C59" s="30"/>
      <c r="D59" s="30"/>
      <c r="E59" s="30"/>
      <c r="F59" s="258"/>
      <c r="G59" s="30"/>
      <c r="H59" s="482"/>
      <c r="I59" s="482"/>
      <c r="J59" s="482"/>
      <c r="K59" s="482"/>
      <c r="L59" s="483"/>
      <c r="M59" s="484"/>
      <c r="N59" s="484"/>
      <c r="O59" s="484"/>
      <c r="P59" s="484"/>
      <c r="Q59" s="484"/>
      <c r="R59" s="484"/>
      <c r="S59" s="484"/>
      <c r="T59" s="484"/>
      <c r="U59" s="484"/>
      <c r="V59" s="484"/>
      <c r="W59" s="484"/>
      <c r="X59" s="484"/>
      <c r="Y59" s="484"/>
      <c r="Z59" s="484"/>
      <c r="AA59" s="484"/>
      <c r="AB59" s="484"/>
      <c r="AC59" s="484"/>
      <c r="AD59" s="484"/>
      <c r="AE59" s="484"/>
      <c r="AF59" s="484"/>
      <c r="AG59" s="484"/>
      <c r="AH59" s="484"/>
      <c r="AI59" s="484"/>
      <c r="AJ59" s="484"/>
      <c r="AK59" s="484"/>
    </row>
    <row r="60" spans="2:37" s="64" customFormat="1" x14ac:dyDescent="0.35">
      <c r="B60" s="30"/>
      <c r="C60" s="30"/>
      <c r="D60" s="30"/>
      <c r="E60" s="30"/>
      <c r="F60" s="258"/>
      <c r="H60" s="487"/>
      <c r="I60" s="487"/>
      <c r="J60" s="487"/>
      <c r="K60" s="487"/>
      <c r="L60" s="483"/>
      <c r="M60" s="484"/>
      <c r="N60" s="484"/>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row>
    <row r="61" spans="2:37" s="64" customFormat="1" x14ac:dyDescent="0.35">
      <c r="B61" s="30"/>
      <c r="C61" s="30"/>
      <c r="D61" s="30"/>
      <c r="E61" s="30"/>
      <c r="F61" s="258"/>
      <c r="G61" s="30"/>
      <c r="H61" s="482"/>
      <c r="I61" s="482"/>
      <c r="J61" s="482"/>
      <c r="K61" s="482"/>
      <c r="L61" s="483"/>
      <c r="M61" s="484"/>
      <c r="N61" s="484"/>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row>
    <row r="62" spans="2:37" s="64" customFormat="1" x14ac:dyDescent="0.35">
      <c r="B62" s="30"/>
      <c r="C62" s="30"/>
      <c r="D62" s="30"/>
      <c r="E62" s="30"/>
      <c r="F62" s="258"/>
      <c r="H62" s="487"/>
      <c r="I62" s="487"/>
      <c r="J62" s="487"/>
      <c r="K62" s="487"/>
      <c r="L62" s="483"/>
      <c r="M62" s="484"/>
      <c r="N62" s="484"/>
      <c r="O62" s="484"/>
      <c r="P62" s="484"/>
      <c r="Q62" s="484"/>
      <c r="R62" s="484"/>
      <c r="S62" s="484"/>
      <c r="T62" s="484"/>
      <c r="U62" s="484"/>
      <c r="V62" s="484"/>
      <c r="W62" s="484"/>
      <c r="X62" s="484"/>
      <c r="Y62" s="484"/>
      <c r="Z62" s="484"/>
      <c r="AA62" s="484"/>
      <c r="AB62" s="484"/>
      <c r="AC62" s="484"/>
      <c r="AD62" s="484"/>
      <c r="AE62" s="484"/>
      <c r="AF62" s="484"/>
      <c r="AG62" s="484"/>
      <c r="AH62" s="484"/>
      <c r="AI62" s="484"/>
      <c r="AJ62" s="484"/>
      <c r="AK62" s="484"/>
    </row>
    <row r="63" spans="2:37" s="64" customFormat="1" x14ac:dyDescent="0.35">
      <c r="B63" s="30"/>
      <c r="C63" s="30"/>
      <c r="D63" s="30"/>
      <c r="E63" s="30"/>
      <c r="F63" s="258"/>
      <c r="G63" s="30"/>
      <c r="H63" s="482"/>
      <c r="I63" s="482"/>
      <c r="J63" s="482"/>
      <c r="K63" s="482"/>
      <c r="L63" s="483"/>
      <c r="M63" s="484"/>
      <c r="N63" s="484"/>
      <c r="O63" s="484"/>
      <c r="P63" s="484"/>
      <c r="Q63" s="484"/>
      <c r="R63" s="484"/>
      <c r="S63" s="484"/>
      <c r="T63" s="484"/>
      <c r="U63" s="484"/>
      <c r="V63" s="484"/>
      <c r="W63" s="484"/>
      <c r="X63" s="484"/>
      <c r="Y63" s="484"/>
      <c r="Z63" s="484"/>
      <c r="AA63" s="484"/>
      <c r="AB63" s="484"/>
      <c r="AC63" s="484"/>
      <c r="AD63" s="484"/>
      <c r="AE63" s="484"/>
      <c r="AF63" s="484"/>
      <c r="AG63" s="484"/>
      <c r="AH63" s="484"/>
      <c r="AI63" s="484"/>
      <c r="AJ63" s="484"/>
      <c r="AK63" s="484"/>
    </row>
    <row r="64" spans="2:37" s="64" customFormat="1" x14ac:dyDescent="0.35">
      <c r="B64" s="30"/>
      <c r="C64" s="30"/>
      <c r="D64" s="30"/>
      <c r="E64" s="30"/>
      <c r="F64" s="258"/>
      <c r="H64" s="487"/>
      <c r="I64" s="487"/>
      <c r="J64" s="487"/>
      <c r="K64" s="487"/>
      <c r="L64" s="483"/>
      <c r="M64" s="484"/>
      <c r="N64" s="484"/>
      <c r="O64" s="484"/>
      <c r="P64" s="484"/>
      <c r="Q64" s="484"/>
      <c r="R64" s="484"/>
      <c r="S64" s="484"/>
      <c r="T64" s="484"/>
      <c r="U64" s="484"/>
      <c r="V64" s="484"/>
      <c r="W64" s="484"/>
      <c r="X64" s="484"/>
      <c r="Y64" s="484"/>
      <c r="Z64" s="484"/>
      <c r="AA64" s="484"/>
      <c r="AB64" s="484"/>
      <c r="AC64" s="484"/>
      <c r="AD64" s="484"/>
      <c r="AE64" s="484"/>
      <c r="AF64" s="484"/>
      <c r="AG64" s="484"/>
      <c r="AH64" s="484"/>
      <c r="AI64" s="484"/>
      <c r="AJ64" s="484"/>
      <c r="AK64" s="484"/>
    </row>
    <row r="65" spans="2:37" s="64" customFormat="1" x14ac:dyDescent="0.35">
      <c r="B65" s="30"/>
      <c r="C65" s="30"/>
      <c r="D65" s="30"/>
      <c r="E65" s="30"/>
      <c r="F65" s="258"/>
      <c r="G65" s="30"/>
      <c r="H65" s="482"/>
      <c r="I65" s="482"/>
      <c r="J65" s="482"/>
      <c r="K65" s="482"/>
      <c r="L65" s="483"/>
      <c r="M65" s="484"/>
      <c r="N65" s="484"/>
      <c r="O65" s="484"/>
      <c r="P65" s="484"/>
      <c r="Q65" s="484"/>
      <c r="R65" s="484"/>
      <c r="S65" s="484"/>
      <c r="T65" s="484"/>
      <c r="U65" s="484"/>
      <c r="V65" s="484"/>
      <c r="W65" s="484"/>
      <c r="X65" s="484"/>
      <c r="Y65" s="484"/>
      <c r="Z65" s="484"/>
      <c r="AA65" s="484"/>
      <c r="AB65" s="484"/>
      <c r="AC65" s="484"/>
      <c r="AD65" s="484"/>
      <c r="AE65" s="484"/>
      <c r="AF65" s="484"/>
      <c r="AG65" s="484"/>
      <c r="AH65" s="484"/>
      <c r="AI65" s="484"/>
      <c r="AJ65" s="484"/>
      <c r="AK65" s="484"/>
    </row>
    <row r="66" spans="2:37" s="64" customFormat="1" x14ac:dyDescent="0.35">
      <c r="B66" s="30"/>
      <c r="C66" s="30"/>
      <c r="D66" s="30"/>
      <c r="E66" s="30"/>
      <c r="F66" s="258"/>
      <c r="H66" s="487"/>
      <c r="I66" s="487"/>
      <c r="J66" s="487"/>
      <c r="K66" s="487"/>
      <c r="L66" s="483"/>
      <c r="M66" s="484"/>
      <c r="N66" s="484"/>
      <c r="O66" s="484"/>
      <c r="P66" s="484"/>
      <c r="Q66" s="484"/>
      <c r="R66" s="484"/>
      <c r="S66" s="484"/>
      <c r="T66" s="484"/>
      <c r="U66" s="484"/>
      <c r="V66" s="484"/>
      <c r="W66" s="484"/>
      <c r="X66" s="484"/>
      <c r="Y66" s="484"/>
      <c r="Z66" s="484"/>
      <c r="AA66" s="484"/>
      <c r="AB66" s="484"/>
      <c r="AC66" s="484"/>
      <c r="AD66" s="484"/>
      <c r="AE66" s="484"/>
      <c r="AF66" s="484"/>
      <c r="AG66" s="484"/>
      <c r="AH66" s="484"/>
      <c r="AI66" s="484"/>
      <c r="AJ66" s="484"/>
      <c r="AK66" s="484"/>
    </row>
    <row r="67" spans="2:37" s="64" customFormat="1" x14ac:dyDescent="0.35">
      <c r="B67" s="30"/>
      <c r="C67" s="30"/>
      <c r="D67" s="30"/>
      <c r="E67" s="30"/>
      <c r="F67" s="258"/>
      <c r="G67" s="30"/>
      <c r="H67" s="482"/>
      <c r="I67" s="482"/>
      <c r="J67" s="482"/>
      <c r="K67" s="482"/>
      <c r="L67" s="483"/>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row>
    <row r="68" spans="2:37" s="64" customFormat="1" x14ac:dyDescent="0.35">
      <c r="B68" s="30"/>
      <c r="C68" s="30"/>
      <c r="D68" s="30"/>
      <c r="E68" s="30"/>
      <c r="F68" s="258"/>
      <c r="H68" s="487"/>
      <c r="I68" s="487"/>
      <c r="J68" s="487"/>
      <c r="K68" s="487"/>
      <c r="L68" s="483"/>
      <c r="M68" s="484"/>
      <c r="N68" s="484"/>
      <c r="O68" s="484"/>
      <c r="P68" s="484"/>
      <c r="Q68" s="484"/>
      <c r="R68" s="484"/>
      <c r="S68" s="484"/>
      <c r="T68" s="484"/>
      <c r="U68" s="484"/>
      <c r="V68" s="484"/>
      <c r="W68" s="484"/>
      <c r="X68" s="484"/>
      <c r="Y68" s="484"/>
      <c r="Z68" s="484"/>
      <c r="AA68" s="484"/>
      <c r="AB68" s="484"/>
      <c r="AC68" s="484"/>
      <c r="AD68" s="484"/>
      <c r="AE68" s="484"/>
      <c r="AF68" s="484"/>
      <c r="AG68" s="484"/>
      <c r="AH68" s="484"/>
      <c r="AI68" s="484"/>
      <c r="AJ68" s="484"/>
      <c r="AK68" s="484"/>
    </row>
    <row r="69" spans="2:37" s="64" customFormat="1" x14ac:dyDescent="0.35">
      <c r="B69" s="30"/>
      <c r="C69" s="30"/>
      <c r="D69" s="30"/>
      <c r="E69" s="30"/>
      <c r="F69" s="258"/>
      <c r="G69" s="30"/>
      <c r="H69" s="482"/>
      <c r="I69" s="482"/>
      <c r="J69" s="482"/>
      <c r="K69" s="482"/>
      <c r="L69" s="483"/>
      <c r="M69" s="484"/>
      <c r="N69" s="484"/>
      <c r="O69" s="484"/>
      <c r="P69" s="484"/>
      <c r="Q69" s="484"/>
      <c r="R69" s="484"/>
      <c r="S69" s="484"/>
      <c r="T69" s="484"/>
      <c r="U69" s="484"/>
      <c r="V69" s="484"/>
      <c r="W69" s="484"/>
      <c r="X69" s="484"/>
      <c r="Y69" s="484"/>
      <c r="Z69" s="484"/>
      <c r="AA69" s="484"/>
      <c r="AB69" s="484"/>
      <c r="AC69" s="484"/>
      <c r="AD69" s="484"/>
      <c r="AE69" s="484"/>
      <c r="AF69" s="484"/>
      <c r="AG69" s="484"/>
      <c r="AH69" s="484"/>
      <c r="AI69" s="484"/>
      <c r="AJ69" s="484"/>
      <c r="AK69" s="484"/>
    </row>
    <row r="70" spans="2:37" s="64" customFormat="1" x14ac:dyDescent="0.35">
      <c r="B70" s="30"/>
      <c r="C70" s="30"/>
      <c r="D70" s="30"/>
      <c r="E70" s="30"/>
      <c r="F70" s="258"/>
      <c r="H70" s="487"/>
      <c r="I70" s="487"/>
      <c r="J70" s="487"/>
      <c r="K70" s="487"/>
      <c r="L70" s="483"/>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row>
    <row r="71" spans="2:37" s="64" customFormat="1" x14ac:dyDescent="0.35">
      <c r="B71" s="30"/>
      <c r="C71" s="30"/>
      <c r="D71" s="30"/>
      <c r="E71" s="30"/>
      <c r="F71" s="258"/>
      <c r="G71" s="30"/>
      <c r="H71" s="482"/>
      <c r="I71" s="482"/>
      <c r="J71" s="482"/>
      <c r="K71" s="482"/>
      <c r="L71" s="483"/>
      <c r="M71" s="484"/>
      <c r="N71" s="484"/>
      <c r="O71" s="484"/>
      <c r="P71" s="484"/>
      <c r="Q71" s="484"/>
      <c r="R71" s="484"/>
      <c r="S71" s="484"/>
      <c r="T71" s="484"/>
      <c r="U71" s="484"/>
      <c r="V71" s="484"/>
      <c r="W71" s="484"/>
      <c r="X71" s="484"/>
      <c r="Y71" s="484"/>
      <c r="Z71" s="484"/>
      <c r="AA71" s="484"/>
      <c r="AB71" s="484"/>
      <c r="AC71" s="484"/>
      <c r="AD71" s="484"/>
      <c r="AE71" s="484"/>
      <c r="AF71" s="484"/>
      <c r="AG71" s="484"/>
      <c r="AH71" s="484"/>
      <c r="AI71" s="484"/>
      <c r="AJ71" s="484"/>
      <c r="AK71" s="484"/>
    </row>
    <row r="72" spans="2:37" s="64" customFormat="1" x14ac:dyDescent="0.35">
      <c r="B72" s="30"/>
      <c r="C72" s="30"/>
      <c r="D72" s="30"/>
      <c r="E72" s="30"/>
      <c r="F72" s="258"/>
      <c r="H72" s="487"/>
      <c r="I72" s="487"/>
      <c r="J72" s="487"/>
      <c r="K72" s="487"/>
      <c r="L72" s="483"/>
      <c r="M72" s="484"/>
      <c r="N72" s="484"/>
      <c r="O72" s="484"/>
      <c r="P72" s="484"/>
      <c r="Q72" s="484"/>
      <c r="R72" s="484"/>
      <c r="S72" s="484"/>
      <c r="T72" s="484"/>
      <c r="U72" s="484"/>
      <c r="V72" s="484"/>
      <c r="W72" s="484"/>
      <c r="X72" s="484"/>
      <c r="Y72" s="484"/>
      <c r="Z72" s="484"/>
      <c r="AA72" s="484"/>
      <c r="AB72" s="484"/>
      <c r="AC72" s="484"/>
      <c r="AD72" s="484"/>
      <c r="AE72" s="484"/>
      <c r="AF72" s="484"/>
      <c r="AG72" s="484"/>
      <c r="AH72" s="484"/>
      <c r="AI72" s="484"/>
      <c r="AJ72" s="484"/>
      <c r="AK72" s="484"/>
    </row>
    <row r="73" spans="2:37" s="64" customFormat="1" x14ac:dyDescent="0.35">
      <c r="B73" s="30"/>
      <c r="C73" s="30"/>
      <c r="D73" s="30"/>
      <c r="E73" s="30"/>
      <c r="F73" s="258"/>
      <c r="G73" s="30"/>
      <c r="H73" s="482"/>
      <c r="I73" s="482"/>
      <c r="J73" s="482"/>
      <c r="K73" s="482"/>
      <c r="L73" s="483"/>
      <c r="M73" s="484"/>
      <c r="N73" s="484"/>
      <c r="O73" s="484"/>
      <c r="P73" s="484"/>
      <c r="Q73" s="484"/>
      <c r="R73" s="484"/>
      <c r="S73" s="484"/>
      <c r="T73" s="484"/>
      <c r="U73" s="484"/>
      <c r="V73" s="484"/>
      <c r="W73" s="484"/>
      <c r="X73" s="484"/>
      <c r="Y73" s="484"/>
      <c r="Z73" s="484"/>
      <c r="AA73" s="484"/>
      <c r="AB73" s="484"/>
      <c r="AC73" s="484"/>
      <c r="AD73" s="484"/>
      <c r="AE73" s="484"/>
      <c r="AF73" s="484"/>
      <c r="AG73" s="484"/>
      <c r="AH73" s="484"/>
      <c r="AI73" s="484"/>
      <c r="AJ73" s="484"/>
      <c r="AK73" s="484"/>
    </row>
    <row r="74" spans="2:37" s="64" customFormat="1" x14ac:dyDescent="0.35">
      <c r="B74" s="30"/>
      <c r="C74" s="30"/>
      <c r="D74" s="30"/>
      <c r="E74" s="30"/>
      <c r="F74" s="258"/>
      <c r="H74" s="487"/>
      <c r="I74" s="487"/>
      <c r="J74" s="487"/>
      <c r="K74" s="487"/>
      <c r="L74" s="483"/>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row>
    <row r="75" spans="2:37" s="64" customFormat="1" x14ac:dyDescent="0.35">
      <c r="B75" s="30"/>
      <c r="C75" s="30"/>
      <c r="D75" s="30"/>
      <c r="E75" s="30"/>
      <c r="F75" s="258"/>
      <c r="G75" s="30"/>
      <c r="H75" s="482"/>
      <c r="I75" s="482"/>
      <c r="J75" s="482"/>
      <c r="K75" s="482"/>
      <c r="L75" s="483"/>
      <c r="M75" s="484"/>
      <c r="N75" s="484"/>
      <c r="O75" s="484"/>
      <c r="P75" s="484"/>
      <c r="Q75" s="484"/>
      <c r="R75" s="484"/>
      <c r="S75" s="484"/>
      <c r="T75" s="484"/>
      <c r="U75" s="484"/>
      <c r="V75" s="484"/>
      <c r="W75" s="484"/>
      <c r="X75" s="484"/>
      <c r="Y75" s="484"/>
      <c r="Z75" s="484"/>
      <c r="AA75" s="484"/>
      <c r="AB75" s="484"/>
      <c r="AC75" s="484"/>
      <c r="AD75" s="484"/>
      <c r="AE75" s="484"/>
      <c r="AF75" s="484"/>
      <c r="AG75" s="484"/>
      <c r="AH75" s="484"/>
      <c r="AI75" s="484"/>
      <c r="AJ75" s="484"/>
      <c r="AK75" s="484"/>
    </row>
    <row r="76" spans="2:37" s="64" customFormat="1" x14ac:dyDescent="0.35">
      <c r="B76" s="30"/>
      <c r="C76" s="30"/>
      <c r="D76" s="30"/>
      <c r="E76" s="30"/>
      <c r="F76" s="258"/>
      <c r="H76" s="487"/>
      <c r="I76" s="487"/>
      <c r="J76" s="487"/>
      <c r="K76" s="487"/>
      <c r="L76" s="483"/>
      <c r="M76" s="484"/>
      <c r="N76" s="484"/>
      <c r="O76" s="484"/>
      <c r="P76" s="484"/>
      <c r="Q76" s="484"/>
      <c r="R76" s="484"/>
      <c r="S76" s="484"/>
      <c r="T76" s="484"/>
      <c r="U76" s="484"/>
      <c r="V76" s="484"/>
      <c r="W76" s="484"/>
      <c r="X76" s="484"/>
      <c r="Y76" s="484"/>
      <c r="Z76" s="484"/>
      <c r="AA76" s="484"/>
      <c r="AB76" s="484"/>
      <c r="AC76" s="484"/>
      <c r="AD76" s="484"/>
      <c r="AE76" s="484"/>
      <c r="AF76" s="484"/>
      <c r="AG76" s="484"/>
      <c r="AH76" s="484"/>
      <c r="AI76" s="484"/>
      <c r="AJ76" s="484"/>
      <c r="AK76" s="484"/>
    </row>
    <row r="77" spans="2:37" s="64" customFormat="1" x14ac:dyDescent="0.35">
      <c r="B77" s="30"/>
      <c r="C77" s="30"/>
      <c r="D77" s="30"/>
      <c r="E77" s="30"/>
      <c r="F77" s="258"/>
      <c r="G77" s="30"/>
      <c r="H77" s="482"/>
      <c r="I77" s="482"/>
      <c r="J77" s="482"/>
      <c r="K77" s="482"/>
      <c r="L77" s="483"/>
      <c r="M77" s="484"/>
      <c r="N77" s="484"/>
      <c r="O77" s="484"/>
      <c r="P77" s="484"/>
      <c r="Q77" s="484"/>
      <c r="R77" s="484"/>
      <c r="S77" s="484"/>
      <c r="T77" s="484"/>
      <c r="U77" s="484"/>
      <c r="V77" s="484"/>
      <c r="W77" s="484"/>
      <c r="X77" s="484"/>
      <c r="Y77" s="484"/>
      <c r="Z77" s="484"/>
      <c r="AA77" s="484"/>
      <c r="AB77" s="484"/>
      <c r="AC77" s="484"/>
      <c r="AD77" s="484"/>
      <c r="AE77" s="484"/>
      <c r="AF77" s="484"/>
      <c r="AG77" s="484"/>
      <c r="AH77" s="484"/>
      <c r="AI77" s="484"/>
      <c r="AJ77" s="484"/>
      <c r="AK77" s="484"/>
    </row>
    <row r="78" spans="2:37" s="64" customFormat="1" x14ac:dyDescent="0.35">
      <c r="B78" s="30"/>
      <c r="C78" s="30"/>
      <c r="D78" s="30"/>
      <c r="E78" s="30"/>
      <c r="F78" s="258"/>
      <c r="H78" s="487"/>
      <c r="I78" s="487"/>
      <c r="J78" s="487"/>
      <c r="K78" s="487"/>
      <c r="L78" s="483"/>
      <c r="M78" s="484"/>
      <c r="N78" s="484"/>
      <c r="O78" s="484"/>
      <c r="P78" s="484"/>
      <c r="Q78" s="484"/>
      <c r="R78" s="484"/>
      <c r="S78" s="484"/>
      <c r="T78" s="484"/>
      <c r="U78" s="484"/>
      <c r="V78" s="484"/>
      <c r="W78" s="484"/>
      <c r="X78" s="484"/>
      <c r="Y78" s="484"/>
      <c r="Z78" s="484"/>
      <c r="AA78" s="484"/>
      <c r="AB78" s="484"/>
      <c r="AC78" s="484"/>
      <c r="AD78" s="484"/>
      <c r="AE78" s="484"/>
      <c r="AF78" s="484"/>
      <c r="AG78" s="484"/>
      <c r="AH78" s="484"/>
      <c r="AI78" s="484"/>
      <c r="AJ78" s="484"/>
      <c r="AK78" s="484"/>
    </row>
    <row r="79" spans="2:37" s="64" customFormat="1" x14ac:dyDescent="0.35">
      <c r="B79" s="30"/>
      <c r="C79" s="30"/>
      <c r="D79" s="30"/>
      <c r="E79" s="30"/>
      <c r="F79" s="258"/>
      <c r="G79" s="30"/>
      <c r="H79" s="482"/>
      <c r="I79" s="482"/>
      <c r="J79" s="482"/>
      <c r="K79" s="482"/>
      <c r="L79" s="483"/>
      <c r="M79" s="484"/>
      <c r="N79" s="484"/>
      <c r="O79" s="484"/>
      <c r="P79" s="484"/>
      <c r="Q79" s="484"/>
      <c r="R79" s="484"/>
      <c r="S79" s="484"/>
      <c r="T79" s="484"/>
      <c r="U79" s="484"/>
      <c r="V79" s="484"/>
      <c r="W79" s="484"/>
      <c r="X79" s="484"/>
      <c r="Y79" s="484"/>
      <c r="Z79" s="484"/>
      <c r="AA79" s="484"/>
      <c r="AB79" s="484"/>
      <c r="AC79" s="484"/>
      <c r="AD79" s="484"/>
      <c r="AE79" s="484"/>
      <c r="AF79" s="484"/>
      <c r="AG79" s="484"/>
      <c r="AH79" s="484"/>
      <c r="AI79" s="484"/>
      <c r="AJ79" s="484"/>
      <c r="AK79" s="484"/>
    </row>
    <row r="80" spans="2:37" s="64" customFormat="1" x14ac:dyDescent="0.35">
      <c r="B80" s="30"/>
      <c r="C80" s="30"/>
      <c r="D80" s="30"/>
      <c r="E80" s="30"/>
      <c r="F80" s="258"/>
      <c r="H80" s="487"/>
      <c r="I80" s="487"/>
      <c r="J80" s="487"/>
      <c r="K80" s="487"/>
      <c r="L80" s="483"/>
      <c r="M80" s="484"/>
      <c r="N80" s="484"/>
      <c r="O80" s="484"/>
      <c r="P80" s="484"/>
      <c r="Q80" s="484"/>
      <c r="R80" s="484"/>
      <c r="S80" s="484"/>
      <c r="T80" s="484"/>
      <c r="U80" s="484"/>
      <c r="V80" s="484"/>
      <c r="W80" s="484"/>
      <c r="X80" s="484"/>
      <c r="Y80" s="484"/>
      <c r="Z80" s="484"/>
      <c r="AA80" s="484"/>
      <c r="AB80" s="484"/>
      <c r="AC80" s="484"/>
      <c r="AD80" s="484"/>
      <c r="AE80" s="484"/>
      <c r="AF80" s="484"/>
      <c r="AG80" s="484"/>
      <c r="AH80" s="484"/>
      <c r="AI80" s="484"/>
      <c r="AJ80" s="484"/>
      <c r="AK80" s="484"/>
    </row>
    <row r="81" spans="2:37" s="64" customFormat="1" x14ac:dyDescent="0.35">
      <c r="B81" s="30"/>
      <c r="C81" s="30"/>
      <c r="D81" s="30"/>
      <c r="E81" s="30"/>
      <c r="F81" s="258"/>
      <c r="G81" s="30"/>
      <c r="H81" s="482"/>
      <c r="I81" s="482"/>
      <c r="J81" s="482"/>
      <c r="K81" s="482"/>
      <c r="L81" s="483"/>
      <c r="M81" s="484"/>
      <c r="N81" s="484"/>
      <c r="O81" s="484"/>
      <c r="P81" s="484"/>
      <c r="Q81" s="484"/>
      <c r="R81" s="484"/>
      <c r="S81" s="484"/>
      <c r="T81" s="484"/>
      <c r="U81" s="484"/>
      <c r="V81" s="484"/>
      <c r="W81" s="484"/>
      <c r="X81" s="484"/>
      <c r="Y81" s="484"/>
      <c r="Z81" s="484"/>
      <c r="AA81" s="484"/>
      <c r="AB81" s="484"/>
      <c r="AC81" s="484"/>
      <c r="AD81" s="484"/>
      <c r="AE81" s="484"/>
      <c r="AF81" s="484"/>
      <c r="AG81" s="484"/>
      <c r="AH81" s="484"/>
      <c r="AI81" s="484"/>
      <c r="AJ81" s="484"/>
      <c r="AK81" s="484"/>
    </row>
    <row r="82" spans="2:37" s="64" customFormat="1" x14ac:dyDescent="0.35">
      <c r="B82" s="30"/>
      <c r="C82" s="30"/>
      <c r="D82" s="30"/>
      <c r="E82" s="30"/>
      <c r="F82" s="258"/>
      <c r="H82" s="487"/>
      <c r="I82" s="487"/>
      <c r="J82" s="487"/>
      <c r="K82" s="487"/>
      <c r="L82" s="483"/>
      <c r="M82" s="484"/>
      <c r="N82" s="484"/>
      <c r="O82" s="484"/>
      <c r="P82" s="484"/>
      <c r="Q82" s="484"/>
      <c r="R82" s="484"/>
      <c r="S82" s="484"/>
      <c r="T82" s="484"/>
      <c r="U82" s="484"/>
      <c r="V82" s="484"/>
      <c r="W82" s="484"/>
      <c r="X82" s="484"/>
      <c r="Y82" s="484"/>
      <c r="Z82" s="484"/>
      <c r="AA82" s="484"/>
      <c r="AB82" s="484"/>
      <c r="AC82" s="484"/>
      <c r="AD82" s="484"/>
      <c r="AE82" s="484"/>
      <c r="AF82" s="484"/>
      <c r="AG82" s="484"/>
      <c r="AH82" s="484"/>
      <c r="AI82" s="484"/>
      <c r="AJ82" s="484"/>
      <c r="AK82" s="484"/>
    </row>
    <row r="83" spans="2:37" s="64" customFormat="1" x14ac:dyDescent="0.35">
      <c r="B83" s="30"/>
      <c r="C83" s="30"/>
      <c r="D83" s="30"/>
      <c r="E83" s="30"/>
      <c r="F83" s="258"/>
      <c r="G83" s="30"/>
      <c r="H83" s="482"/>
      <c r="I83" s="482"/>
      <c r="J83" s="482"/>
      <c r="K83" s="482"/>
      <c r="L83" s="483"/>
      <c r="M83" s="484"/>
      <c r="N83" s="484"/>
      <c r="O83" s="484"/>
      <c r="P83" s="484"/>
      <c r="Q83" s="484"/>
      <c r="R83" s="484"/>
      <c r="S83" s="484"/>
      <c r="T83" s="484"/>
      <c r="U83" s="484"/>
      <c r="V83" s="484"/>
      <c r="W83" s="484"/>
      <c r="X83" s="484"/>
      <c r="Y83" s="484"/>
      <c r="Z83" s="484"/>
      <c r="AA83" s="484"/>
      <c r="AB83" s="484"/>
      <c r="AC83" s="484"/>
      <c r="AD83" s="484"/>
      <c r="AE83" s="484"/>
      <c r="AF83" s="484"/>
      <c r="AG83" s="484"/>
      <c r="AH83" s="484"/>
      <c r="AI83" s="484"/>
      <c r="AJ83" s="484"/>
      <c r="AK83" s="484"/>
    </row>
    <row r="84" spans="2:37" s="64" customFormat="1" x14ac:dyDescent="0.35">
      <c r="B84" s="30"/>
      <c r="C84" s="30"/>
      <c r="D84" s="30"/>
      <c r="E84" s="30"/>
      <c r="F84" s="258"/>
      <c r="H84" s="487"/>
      <c r="I84" s="487"/>
      <c r="J84" s="487"/>
      <c r="K84" s="487"/>
      <c r="L84" s="483"/>
      <c r="M84" s="484"/>
      <c r="N84" s="484"/>
      <c r="O84" s="484"/>
      <c r="P84" s="484"/>
      <c r="Q84" s="484"/>
      <c r="R84" s="484"/>
      <c r="S84" s="484"/>
      <c r="T84" s="484"/>
      <c r="U84" s="484"/>
      <c r="V84" s="484"/>
      <c r="W84" s="484"/>
      <c r="X84" s="484"/>
      <c r="Y84" s="484"/>
      <c r="Z84" s="484"/>
      <c r="AA84" s="484"/>
      <c r="AB84" s="484"/>
      <c r="AC84" s="484"/>
      <c r="AD84" s="484"/>
      <c r="AE84" s="484"/>
      <c r="AF84" s="484"/>
      <c r="AG84" s="484"/>
      <c r="AH84" s="484"/>
      <c r="AI84" s="484"/>
      <c r="AJ84" s="484"/>
      <c r="AK84" s="484"/>
    </row>
    <row r="85" spans="2:37" s="64" customFormat="1" x14ac:dyDescent="0.35">
      <c r="B85" s="30"/>
      <c r="C85" s="30"/>
      <c r="D85" s="30"/>
      <c r="E85" s="30"/>
      <c r="F85" s="258"/>
      <c r="G85" s="30"/>
      <c r="H85" s="482"/>
      <c r="I85" s="482"/>
      <c r="J85" s="482"/>
      <c r="K85" s="482"/>
      <c r="L85" s="483"/>
      <c r="M85" s="484"/>
      <c r="N85" s="484"/>
      <c r="O85" s="484"/>
      <c r="P85" s="484"/>
      <c r="Q85" s="484"/>
      <c r="R85" s="484"/>
      <c r="S85" s="484"/>
      <c r="T85" s="484"/>
      <c r="U85" s="484"/>
      <c r="V85" s="484"/>
      <c r="W85" s="484"/>
      <c r="X85" s="484"/>
      <c r="Y85" s="484"/>
      <c r="Z85" s="484"/>
      <c r="AA85" s="484"/>
      <c r="AB85" s="484"/>
      <c r="AC85" s="484"/>
      <c r="AD85" s="484"/>
      <c r="AE85" s="484"/>
      <c r="AF85" s="484"/>
      <c r="AG85" s="484"/>
      <c r="AH85" s="484"/>
      <c r="AI85" s="484"/>
      <c r="AJ85" s="484"/>
      <c r="AK85" s="484"/>
    </row>
    <row r="86" spans="2:37" s="64" customFormat="1" x14ac:dyDescent="0.35">
      <c r="B86" s="30"/>
      <c r="C86" s="30"/>
      <c r="D86" s="30"/>
      <c r="E86" s="30"/>
      <c r="F86" s="258"/>
      <c r="H86" s="487"/>
      <c r="I86" s="487"/>
      <c r="J86" s="487"/>
      <c r="K86" s="487"/>
      <c r="L86" s="483"/>
      <c r="M86" s="484"/>
      <c r="N86" s="484"/>
      <c r="O86" s="484"/>
      <c r="P86" s="484"/>
      <c r="Q86" s="484"/>
      <c r="R86" s="484"/>
      <c r="S86" s="484"/>
      <c r="T86" s="484"/>
      <c r="U86" s="484"/>
      <c r="V86" s="484"/>
      <c r="W86" s="484"/>
      <c r="X86" s="484"/>
      <c r="Y86" s="484"/>
      <c r="Z86" s="484"/>
      <c r="AA86" s="484"/>
      <c r="AB86" s="484"/>
      <c r="AC86" s="484"/>
      <c r="AD86" s="484"/>
      <c r="AE86" s="484"/>
      <c r="AF86" s="484"/>
      <c r="AG86" s="484"/>
      <c r="AH86" s="484"/>
      <c r="AI86" s="484"/>
      <c r="AJ86" s="484"/>
      <c r="AK86" s="484"/>
    </row>
    <row r="87" spans="2:37" s="64" customFormat="1" x14ac:dyDescent="0.35">
      <c r="B87" s="30"/>
      <c r="C87" s="30"/>
      <c r="D87" s="30"/>
      <c r="E87" s="30"/>
      <c r="F87" s="258"/>
      <c r="G87" s="30"/>
      <c r="H87" s="482"/>
      <c r="I87" s="482"/>
      <c r="J87" s="482"/>
      <c r="K87" s="482"/>
      <c r="L87" s="483"/>
      <c r="M87" s="484"/>
      <c r="N87" s="484"/>
      <c r="O87" s="484"/>
      <c r="P87" s="484"/>
      <c r="Q87" s="484"/>
      <c r="R87" s="484"/>
      <c r="S87" s="484"/>
      <c r="T87" s="484"/>
      <c r="U87" s="484"/>
      <c r="V87" s="484"/>
      <c r="W87" s="484"/>
      <c r="X87" s="484"/>
      <c r="Y87" s="484"/>
      <c r="Z87" s="484"/>
      <c r="AA87" s="484"/>
      <c r="AB87" s="484"/>
      <c r="AC87" s="484"/>
      <c r="AD87" s="484"/>
      <c r="AE87" s="484"/>
      <c r="AF87" s="484"/>
      <c r="AG87" s="484"/>
      <c r="AH87" s="484"/>
      <c r="AI87" s="484"/>
      <c r="AJ87" s="484"/>
      <c r="AK87" s="484"/>
    </row>
    <row r="88" spans="2:37" s="64" customFormat="1" x14ac:dyDescent="0.35">
      <c r="B88" s="30"/>
      <c r="C88" s="30"/>
      <c r="D88" s="30"/>
      <c r="E88" s="30"/>
      <c r="F88" s="258"/>
      <c r="H88" s="487"/>
      <c r="I88" s="487"/>
      <c r="J88" s="487"/>
      <c r="K88" s="487"/>
      <c r="L88" s="483"/>
      <c r="M88" s="484"/>
      <c r="N88" s="484"/>
      <c r="O88" s="484"/>
      <c r="P88" s="484"/>
      <c r="Q88" s="484"/>
      <c r="R88" s="484"/>
      <c r="S88" s="484"/>
      <c r="T88" s="484"/>
      <c r="U88" s="484"/>
      <c r="V88" s="484"/>
      <c r="W88" s="484"/>
      <c r="X88" s="484"/>
      <c r="Y88" s="484"/>
      <c r="Z88" s="484"/>
      <c r="AA88" s="484"/>
      <c r="AB88" s="484"/>
      <c r="AC88" s="484"/>
      <c r="AD88" s="484"/>
      <c r="AE88" s="484"/>
      <c r="AF88" s="484"/>
      <c r="AG88" s="484"/>
      <c r="AH88" s="484"/>
      <c r="AI88" s="484"/>
      <c r="AJ88" s="484"/>
      <c r="AK88" s="484"/>
    </row>
    <row r="89" spans="2:37" s="64" customFormat="1" x14ac:dyDescent="0.35">
      <c r="B89" s="30"/>
      <c r="C89" s="30"/>
      <c r="D89" s="30"/>
      <c r="E89" s="30"/>
      <c r="F89" s="258"/>
      <c r="G89" s="30"/>
      <c r="H89" s="482"/>
      <c r="I89" s="482"/>
      <c r="J89" s="482"/>
      <c r="K89" s="482"/>
      <c r="L89" s="483"/>
      <c r="M89" s="484"/>
      <c r="N89" s="484"/>
      <c r="O89" s="484"/>
      <c r="P89" s="484"/>
      <c r="Q89" s="484"/>
      <c r="R89" s="484"/>
      <c r="S89" s="484"/>
      <c r="T89" s="484"/>
      <c r="U89" s="484"/>
      <c r="V89" s="484"/>
      <c r="W89" s="484"/>
      <c r="X89" s="484"/>
      <c r="Y89" s="484"/>
      <c r="Z89" s="484"/>
      <c r="AA89" s="484"/>
      <c r="AB89" s="484"/>
      <c r="AC89" s="484"/>
      <c r="AD89" s="484"/>
      <c r="AE89" s="484"/>
      <c r="AF89" s="484"/>
      <c r="AG89" s="484"/>
      <c r="AH89" s="484"/>
      <c r="AI89" s="484"/>
      <c r="AJ89" s="484"/>
      <c r="AK89" s="484"/>
    </row>
    <row r="90" spans="2:37" s="64" customFormat="1" x14ac:dyDescent="0.35">
      <c r="B90" s="30"/>
      <c r="C90" s="30"/>
      <c r="D90" s="30"/>
      <c r="E90" s="30"/>
      <c r="F90" s="258"/>
      <c r="H90" s="487"/>
      <c r="I90" s="487"/>
      <c r="J90" s="487"/>
      <c r="K90" s="487"/>
      <c r="L90" s="483"/>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row>
    <row r="91" spans="2:37" s="64" customFormat="1" x14ac:dyDescent="0.35">
      <c r="B91" s="30"/>
      <c r="C91" s="30"/>
      <c r="D91" s="30"/>
      <c r="E91" s="30"/>
      <c r="F91" s="258"/>
      <c r="G91" s="30"/>
      <c r="H91" s="482"/>
      <c r="I91" s="482"/>
      <c r="J91" s="482"/>
      <c r="K91" s="482"/>
      <c r="L91" s="483"/>
      <c r="M91" s="484"/>
      <c r="N91" s="484"/>
      <c r="O91" s="484"/>
      <c r="P91" s="484"/>
      <c r="Q91" s="484"/>
      <c r="R91" s="484"/>
      <c r="S91" s="484"/>
      <c r="T91" s="484"/>
      <c r="U91" s="484"/>
      <c r="V91" s="484"/>
      <c r="W91" s="484"/>
      <c r="X91" s="484"/>
      <c r="Y91" s="484"/>
      <c r="Z91" s="484"/>
      <c r="AA91" s="484"/>
      <c r="AB91" s="484"/>
      <c r="AC91" s="484"/>
      <c r="AD91" s="484"/>
      <c r="AE91" s="484"/>
      <c r="AF91" s="484"/>
      <c r="AG91" s="484"/>
      <c r="AH91" s="484"/>
      <c r="AI91" s="484"/>
      <c r="AJ91" s="484"/>
      <c r="AK91" s="484"/>
    </row>
    <row r="92" spans="2:37" s="64" customFormat="1" x14ac:dyDescent="0.35">
      <c r="B92" s="30"/>
      <c r="C92" s="30"/>
      <c r="D92" s="30"/>
      <c r="E92" s="30"/>
      <c r="F92" s="258"/>
      <c r="H92" s="487"/>
      <c r="I92" s="487"/>
      <c r="J92" s="487"/>
      <c r="K92" s="487"/>
      <c r="L92" s="483"/>
      <c r="M92" s="484"/>
      <c r="N92" s="484"/>
      <c r="O92" s="484"/>
      <c r="P92" s="484"/>
      <c r="Q92" s="484"/>
      <c r="R92" s="484"/>
      <c r="S92" s="484"/>
      <c r="T92" s="484"/>
      <c r="U92" s="484"/>
      <c r="V92" s="484"/>
      <c r="W92" s="484"/>
      <c r="X92" s="484"/>
      <c r="Y92" s="484"/>
      <c r="Z92" s="484"/>
      <c r="AA92" s="484"/>
      <c r="AB92" s="484"/>
      <c r="AC92" s="484"/>
      <c r="AD92" s="484"/>
      <c r="AE92" s="484"/>
      <c r="AF92" s="484"/>
      <c r="AG92" s="484"/>
      <c r="AH92" s="484"/>
      <c r="AI92" s="484"/>
      <c r="AJ92" s="484"/>
      <c r="AK92" s="484"/>
    </row>
    <row r="93" spans="2:37" s="64" customFormat="1" x14ac:dyDescent="0.35">
      <c r="B93" s="30"/>
      <c r="C93" s="30"/>
      <c r="D93" s="30"/>
      <c r="E93" s="30"/>
      <c r="F93" s="258"/>
      <c r="G93" s="30"/>
      <c r="H93" s="482"/>
      <c r="I93" s="482"/>
      <c r="J93" s="482"/>
      <c r="K93" s="482"/>
      <c r="L93" s="483"/>
      <c r="M93" s="484"/>
      <c r="N93" s="484"/>
      <c r="O93" s="484"/>
      <c r="P93" s="484"/>
      <c r="Q93" s="484"/>
      <c r="R93" s="484"/>
      <c r="S93" s="484"/>
      <c r="T93" s="484"/>
      <c r="U93" s="484"/>
      <c r="V93" s="484"/>
      <c r="W93" s="484"/>
      <c r="X93" s="484"/>
      <c r="Y93" s="484"/>
      <c r="Z93" s="484"/>
      <c r="AA93" s="484"/>
      <c r="AB93" s="484"/>
      <c r="AC93" s="484"/>
      <c r="AD93" s="484"/>
      <c r="AE93" s="484"/>
      <c r="AF93" s="484"/>
      <c r="AG93" s="484"/>
      <c r="AH93" s="484"/>
      <c r="AI93" s="484"/>
      <c r="AJ93" s="484"/>
      <c r="AK93" s="484"/>
    </row>
    <row r="94" spans="2:37" s="64" customFormat="1" x14ac:dyDescent="0.35">
      <c r="B94" s="30"/>
      <c r="C94" s="30"/>
      <c r="D94" s="30"/>
      <c r="E94" s="30"/>
      <c r="F94" s="258"/>
      <c r="H94" s="487"/>
      <c r="I94" s="487"/>
      <c r="J94" s="487"/>
      <c r="K94" s="487"/>
      <c r="L94" s="483"/>
      <c r="M94" s="484"/>
      <c r="N94" s="484"/>
      <c r="O94" s="484"/>
      <c r="P94" s="484"/>
      <c r="Q94" s="484"/>
      <c r="R94" s="484"/>
      <c r="S94" s="484"/>
      <c r="T94" s="484"/>
      <c r="U94" s="484"/>
      <c r="V94" s="484"/>
      <c r="W94" s="484"/>
      <c r="X94" s="484"/>
      <c r="Y94" s="484"/>
      <c r="Z94" s="484"/>
      <c r="AA94" s="484"/>
      <c r="AB94" s="484"/>
      <c r="AC94" s="484"/>
      <c r="AD94" s="484"/>
      <c r="AE94" s="484"/>
      <c r="AF94" s="484"/>
      <c r="AG94" s="484"/>
      <c r="AH94" s="484"/>
      <c r="AI94" s="484"/>
      <c r="AJ94" s="484"/>
      <c r="AK94" s="484"/>
    </row>
    <row r="95" spans="2:37" s="64" customFormat="1" x14ac:dyDescent="0.35">
      <c r="B95" s="30"/>
      <c r="C95" s="30"/>
      <c r="D95" s="30"/>
      <c r="E95" s="30"/>
      <c r="F95" s="258"/>
      <c r="G95" s="30"/>
      <c r="H95" s="482"/>
      <c r="I95" s="482"/>
      <c r="J95" s="482"/>
      <c r="K95" s="482"/>
      <c r="L95" s="483"/>
      <c r="M95" s="484"/>
      <c r="N95" s="484"/>
      <c r="O95" s="484"/>
      <c r="P95" s="484"/>
      <c r="Q95" s="484"/>
      <c r="R95" s="484"/>
      <c r="S95" s="484"/>
      <c r="T95" s="484"/>
      <c r="U95" s="484"/>
      <c r="V95" s="484"/>
      <c r="W95" s="484"/>
      <c r="X95" s="484"/>
      <c r="Y95" s="484"/>
      <c r="Z95" s="484"/>
      <c r="AA95" s="484"/>
      <c r="AB95" s="484"/>
      <c r="AC95" s="484"/>
      <c r="AD95" s="484"/>
      <c r="AE95" s="484"/>
      <c r="AF95" s="484"/>
      <c r="AG95" s="484"/>
      <c r="AH95" s="484"/>
      <c r="AI95" s="484"/>
      <c r="AJ95" s="484"/>
      <c r="AK95" s="484"/>
    </row>
    <row r="96" spans="2:37" s="64" customFormat="1" x14ac:dyDescent="0.35">
      <c r="B96" s="30"/>
      <c r="C96" s="30"/>
      <c r="D96" s="30"/>
      <c r="E96" s="30"/>
      <c r="F96" s="258"/>
      <c r="H96" s="487"/>
      <c r="I96" s="487"/>
      <c r="J96" s="487"/>
      <c r="K96" s="487"/>
      <c r="L96" s="483"/>
      <c r="M96" s="484"/>
      <c r="N96" s="484"/>
      <c r="O96" s="484"/>
      <c r="P96" s="484"/>
      <c r="Q96" s="484"/>
      <c r="R96" s="484"/>
      <c r="S96" s="484"/>
      <c r="T96" s="484"/>
      <c r="U96" s="484"/>
      <c r="V96" s="484"/>
      <c r="W96" s="484"/>
      <c r="X96" s="484"/>
      <c r="Y96" s="484"/>
      <c r="Z96" s="484"/>
      <c r="AA96" s="484"/>
      <c r="AB96" s="484"/>
      <c r="AC96" s="484"/>
      <c r="AD96" s="484"/>
      <c r="AE96" s="484"/>
      <c r="AF96" s="484"/>
      <c r="AG96" s="484"/>
      <c r="AH96" s="484"/>
      <c r="AI96" s="484"/>
      <c r="AJ96" s="484"/>
      <c r="AK96" s="484"/>
    </row>
    <row r="97" spans="2:37" s="64" customFormat="1" x14ac:dyDescent="0.35">
      <c r="B97" s="30"/>
      <c r="C97" s="30"/>
      <c r="D97" s="30"/>
      <c r="E97" s="30"/>
      <c r="F97" s="258"/>
      <c r="G97" s="30"/>
      <c r="H97" s="482"/>
      <c r="I97" s="482"/>
      <c r="J97" s="482"/>
      <c r="K97" s="482"/>
      <c r="L97" s="483"/>
      <c r="M97" s="484"/>
      <c r="N97" s="484"/>
      <c r="O97" s="484"/>
      <c r="P97" s="484"/>
      <c r="Q97" s="484"/>
      <c r="R97" s="484"/>
      <c r="S97" s="484"/>
      <c r="T97" s="484"/>
      <c r="U97" s="484"/>
      <c r="V97" s="484"/>
      <c r="W97" s="484"/>
      <c r="X97" s="484"/>
      <c r="Y97" s="484"/>
      <c r="Z97" s="484"/>
      <c r="AA97" s="484"/>
      <c r="AB97" s="484"/>
      <c r="AC97" s="484"/>
      <c r="AD97" s="484"/>
      <c r="AE97" s="484"/>
      <c r="AF97" s="484"/>
      <c r="AG97" s="484"/>
      <c r="AH97" s="484"/>
      <c r="AI97" s="484"/>
      <c r="AJ97" s="484"/>
      <c r="AK97" s="484"/>
    </row>
    <row r="98" spans="2:37" s="64" customFormat="1" x14ac:dyDescent="0.35">
      <c r="B98" s="30"/>
      <c r="C98" s="30"/>
      <c r="D98" s="30"/>
      <c r="E98" s="30"/>
      <c r="F98" s="258"/>
      <c r="H98" s="487"/>
      <c r="I98" s="487"/>
      <c r="J98" s="487"/>
      <c r="K98" s="487"/>
      <c r="L98" s="483"/>
      <c r="M98" s="484"/>
      <c r="N98" s="484"/>
      <c r="O98" s="484"/>
      <c r="P98" s="484"/>
      <c r="Q98" s="484"/>
      <c r="R98" s="484"/>
      <c r="S98" s="484"/>
      <c r="T98" s="484"/>
      <c r="U98" s="484"/>
      <c r="V98" s="484"/>
      <c r="W98" s="484"/>
      <c r="X98" s="484"/>
      <c r="Y98" s="484"/>
      <c r="Z98" s="484"/>
      <c r="AA98" s="484"/>
      <c r="AB98" s="484"/>
      <c r="AC98" s="484"/>
      <c r="AD98" s="484"/>
      <c r="AE98" s="484"/>
      <c r="AF98" s="484"/>
      <c r="AG98" s="484"/>
      <c r="AH98" s="484"/>
      <c r="AI98" s="484"/>
      <c r="AJ98" s="484"/>
      <c r="AK98" s="484"/>
    </row>
    <row r="99" spans="2:37" s="64" customFormat="1" x14ac:dyDescent="0.35">
      <c r="B99" s="30"/>
      <c r="C99" s="30"/>
      <c r="D99" s="30"/>
      <c r="E99" s="30"/>
      <c r="F99" s="258"/>
      <c r="G99" s="30"/>
      <c r="H99" s="482"/>
      <c r="I99" s="482"/>
      <c r="J99" s="482"/>
      <c r="K99" s="482"/>
      <c r="L99" s="483"/>
      <c r="M99" s="484"/>
      <c r="N99" s="484"/>
      <c r="O99" s="484"/>
      <c r="P99" s="484"/>
      <c r="Q99" s="484"/>
      <c r="R99" s="484"/>
      <c r="S99" s="484"/>
      <c r="T99" s="484"/>
      <c r="U99" s="484"/>
      <c r="V99" s="484"/>
      <c r="W99" s="484"/>
      <c r="X99" s="484"/>
      <c r="Y99" s="484"/>
      <c r="Z99" s="484"/>
      <c r="AA99" s="484"/>
      <c r="AB99" s="484"/>
      <c r="AC99" s="484"/>
      <c r="AD99" s="484"/>
      <c r="AE99" s="484"/>
      <c r="AF99" s="484"/>
      <c r="AG99" s="484"/>
      <c r="AH99" s="484"/>
      <c r="AI99" s="484"/>
      <c r="AJ99" s="484"/>
      <c r="AK99" s="484"/>
    </row>
    <row r="100" spans="2:37" s="64" customFormat="1" x14ac:dyDescent="0.35">
      <c r="B100" s="30"/>
      <c r="C100" s="30"/>
      <c r="D100" s="30"/>
      <c r="E100" s="30"/>
      <c r="F100" s="258"/>
      <c r="H100" s="487"/>
      <c r="I100" s="487"/>
      <c r="J100" s="487"/>
      <c r="K100" s="487"/>
      <c r="L100" s="483"/>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row>
    <row r="101" spans="2:37" s="64" customFormat="1" x14ac:dyDescent="0.35">
      <c r="B101" s="30"/>
      <c r="C101" s="30"/>
      <c r="D101" s="30"/>
      <c r="E101" s="30"/>
      <c r="F101" s="258"/>
      <c r="G101" s="30"/>
      <c r="H101" s="482"/>
      <c r="I101" s="482"/>
      <c r="J101" s="482"/>
      <c r="K101" s="482"/>
      <c r="L101" s="483"/>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row>
    <row r="102" spans="2:37" s="64" customFormat="1" x14ac:dyDescent="0.35">
      <c r="B102" s="30"/>
      <c r="C102" s="30"/>
      <c r="D102" s="30"/>
      <c r="E102" s="30"/>
      <c r="F102" s="258"/>
      <c r="H102" s="487"/>
      <c r="I102" s="487"/>
      <c r="J102" s="487"/>
      <c r="K102" s="487"/>
      <c r="L102" s="483"/>
      <c r="M102" s="484"/>
      <c r="N102" s="484"/>
      <c r="O102" s="484"/>
      <c r="P102" s="484"/>
      <c r="Q102" s="484"/>
      <c r="R102" s="484"/>
      <c r="S102" s="484"/>
      <c r="T102" s="484"/>
      <c r="U102" s="484"/>
      <c r="V102" s="484"/>
      <c r="W102" s="484"/>
      <c r="X102" s="484"/>
      <c r="Y102" s="484"/>
      <c r="Z102" s="484"/>
      <c r="AA102" s="484"/>
      <c r="AB102" s="484"/>
      <c r="AC102" s="484"/>
      <c r="AD102" s="484"/>
      <c r="AE102" s="484"/>
      <c r="AF102" s="484"/>
      <c r="AG102" s="484"/>
      <c r="AH102" s="484"/>
      <c r="AI102" s="484"/>
      <c r="AJ102" s="484"/>
      <c r="AK102" s="484"/>
    </row>
    <row r="103" spans="2:37" s="64" customFormat="1" x14ac:dyDescent="0.35">
      <c r="B103" s="30"/>
      <c r="C103" s="30"/>
      <c r="D103" s="30"/>
      <c r="E103" s="30"/>
      <c r="F103" s="258"/>
      <c r="G103" s="30"/>
      <c r="H103" s="482"/>
      <c r="I103" s="482"/>
      <c r="J103" s="482"/>
      <c r="K103" s="482"/>
      <c r="L103" s="483"/>
      <c r="M103" s="484"/>
      <c r="N103" s="484"/>
      <c r="O103" s="484"/>
      <c r="P103" s="484"/>
      <c r="Q103" s="484"/>
      <c r="R103" s="484"/>
      <c r="S103" s="484"/>
      <c r="T103" s="484"/>
      <c r="U103" s="484"/>
      <c r="V103" s="484"/>
      <c r="W103" s="484"/>
      <c r="X103" s="484"/>
      <c r="Y103" s="484"/>
      <c r="Z103" s="484"/>
      <c r="AA103" s="484"/>
      <c r="AB103" s="484"/>
      <c r="AC103" s="484"/>
      <c r="AD103" s="484"/>
      <c r="AE103" s="484"/>
      <c r="AF103" s="484"/>
      <c r="AG103" s="484"/>
      <c r="AH103" s="484"/>
      <c r="AI103" s="484"/>
      <c r="AJ103" s="484"/>
      <c r="AK103" s="484"/>
    </row>
    <row r="104" spans="2:37" s="64" customFormat="1" x14ac:dyDescent="0.35">
      <c r="B104" s="30"/>
      <c r="C104" s="30"/>
      <c r="D104" s="30"/>
      <c r="E104" s="30"/>
      <c r="F104" s="258"/>
      <c r="H104" s="487"/>
      <c r="I104" s="487"/>
      <c r="J104" s="487"/>
      <c r="K104" s="487"/>
      <c r="L104" s="483"/>
      <c r="M104" s="484"/>
      <c r="N104" s="484"/>
      <c r="O104" s="484"/>
      <c r="P104" s="484"/>
      <c r="Q104" s="484"/>
      <c r="R104" s="484"/>
      <c r="S104" s="484"/>
      <c r="T104" s="484"/>
      <c r="U104" s="484"/>
      <c r="V104" s="484"/>
      <c r="W104" s="484"/>
      <c r="X104" s="484"/>
      <c r="Y104" s="484"/>
      <c r="Z104" s="484"/>
      <c r="AA104" s="484"/>
      <c r="AB104" s="484"/>
      <c r="AC104" s="484"/>
      <c r="AD104" s="484"/>
      <c r="AE104" s="484"/>
      <c r="AF104" s="484"/>
      <c r="AG104" s="484"/>
      <c r="AH104" s="484"/>
      <c r="AI104" s="484"/>
      <c r="AJ104" s="484"/>
      <c r="AK104" s="484"/>
    </row>
    <row r="105" spans="2:37" s="64" customFormat="1" x14ac:dyDescent="0.35">
      <c r="B105" s="30"/>
      <c r="C105" s="30"/>
      <c r="D105" s="30"/>
      <c r="E105" s="30"/>
      <c r="F105" s="258"/>
      <c r="G105" s="30"/>
      <c r="H105" s="482"/>
      <c r="I105" s="482"/>
      <c r="J105" s="482"/>
      <c r="K105" s="482"/>
      <c r="L105" s="483"/>
      <c r="M105" s="484"/>
      <c r="N105" s="484"/>
      <c r="O105" s="484"/>
      <c r="P105" s="484"/>
      <c r="Q105" s="484"/>
      <c r="R105" s="484"/>
      <c r="S105" s="484"/>
      <c r="T105" s="484"/>
      <c r="U105" s="484"/>
      <c r="V105" s="484"/>
      <c r="W105" s="484"/>
      <c r="X105" s="484"/>
      <c r="Y105" s="484"/>
      <c r="Z105" s="484"/>
      <c r="AA105" s="484"/>
      <c r="AB105" s="484"/>
      <c r="AC105" s="484"/>
      <c r="AD105" s="484"/>
      <c r="AE105" s="484"/>
      <c r="AF105" s="484"/>
      <c r="AG105" s="484"/>
      <c r="AH105" s="484"/>
      <c r="AI105" s="484"/>
      <c r="AJ105" s="484"/>
      <c r="AK105" s="484"/>
    </row>
    <row r="106" spans="2:37" s="64" customFormat="1" x14ac:dyDescent="0.35">
      <c r="B106" s="30"/>
      <c r="C106" s="30"/>
      <c r="D106" s="30"/>
      <c r="E106" s="30"/>
      <c r="F106" s="258"/>
      <c r="H106" s="487"/>
      <c r="I106" s="487"/>
      <c r="J106" s="487"/>
      <c r="K106" s="487"/>
      <c r="L106" s="483"/>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row>
    <row r="107" spans="2:37" s="64" customFormat="1" x14ac:dyDescent="0.35">
      <c r="B107" s="30"/>
      <c r="C107" s="30"/>
      <c r="D107" s="30"/>
      <c r="E107" s="30"/>
      <c r="F107" s="258"/>
      <c r="G107" s="30"/>
      <c r="H107" s="482"/>
      <c r="I107" s="482"/>
      <c r="J107" s="482"/>
      <c r="K107" s="482"/>
      <c r="L107" s="483"/>
      <c r="M107" s="484"/>
      <c r="N107" s="484"/>
      <c r="O107" s="484"/>
      <c r="P107" s="484"/>
      <c r="Q107" s="484"/>
      <c r="R107" s="484"/>
      <c r="S107" s="484"/>
      <c r="T107" s="484"/>
      <c r="U107" s="484"/>
      <c r="V107" s="484"/>
      <c r="W107" s="484"/>
      <c r="X107" s="484"/>
      <c r="Y107" s="484"/>
      <c r="Z107" s="484"/>
      <c r="AA107" s="484"/>
      <c r="AB107" s="484"/>
      <c r="AC107" s="484"/>
      <c r="AD107" s="484"/>
      <c r="AE107" s="484"/>
      <c r="AF107" s="484"/>
      <c r="AG107" s="484"/>
      <c r="AH107" s="484"/>
      <c r="AI107" s="484"/>
      <c r="AJ107" s="484"/>
      <c r="AK107" s="484"/>
    </row>
    <row r="108" spans="2:37" s="64" customFormat="1" x14ac:dyDescent="0.35">
      <c r="B108" s="30"/>
      <c r="C108" s="30"/>
      <c r="D108" s="30"/>
      <c r="E108" s="30"/>
      <c r="F108" s="258"/>
      <c r="H108" s="487"/>
      <c r="I108" s="487"/>
      <c r="J108" s="487"/>
      <c r="K108" s="487"/>
      <c r="L108" s="483"/>
      <c r="M108" s="484"/>
      <c r="N108" s="484"/>
      <c r="O108" s="484"/>
      <c r="P108" s="484"/>
      <c r="Q108" s="484"/>
      <c r="R108" s="484"/>
      <c r="S108" s="484"/>
      <c r="T108" s="484"/>
      <c r="U108" s="484"/>
      <c r="V108" s="484"/>
      <c r="W108" s="484"/>
      <c r="X108" s="484"/>
      <c r="Y108" s="484"/>
      <c r="Z108" s="484"/>
      <c r="AA108" s="484"/>
      <c r="AB108" s="484"/>
      <c r="AC108" s="484"/>
      <c r="AD108" s="484"/>
      <c r="AE108" s="484"/>
      <c r="AF108" s="484"/>
      <c r="AG108" s="484"/>
      <c r="AH108" s="484"/>
      <c r="AI108" s="484"/>
      <c r="AJ108" s="484"/>
      <c r="AK108" s="484"/>
    </row>
    <row r="109" spans="2:37" s="64" customFormat="1" x14ac:dyDescent="0.35">
      <c r="B109" s="30"/>
      <c r="C109" s="30"/>
      <c r="D109" s="30"/>
      <c r="E109" s="30"/>
      <c r="F109" s="258"/>
      <c r="G109" s="30"/>
      <c r="H109" s="482"/>
      <c r="I109" s="482"/>
      <c r="J109" s="482"/>
      <c r="K109" s="482"/>
      <c r="L109" s="483"/>
      <c r="M109" s="484"/>
      <c r="N109" s="484"/>
      <c r="O109" s="484"/>
      <c r="P109" s="484"/>
      <c r="Q109" s="484"/>
      <c r="R109" s="484"/>
      <c r="S109" s="484"/>
      <c r="T109" s="484"/>
      <c r="U109" s="484"/>
      <c r="V109" s="484"/>
      <c r="W109" s="484"/>
      <c r="X109" s="484"/>
      <c r="Y109" s="484"/>
      <c r="Z109" s="484"/>
      <c r="AA109" s="484"/>
      <c r="AB109" s="484"/>
      <c r="AC109" s="484"/>
      <c r="AD109" s="484"/>
      <c r="AE109" s="484"/>
      <c r="AF109" s="484"/>
      <c r="AG109" s="484"/>
      <c r="AH109" s="484"/>
      <c r="AI109" s="484"/>
      <c r="AJ109" s="484"/>
      <c r="AK109" s="484"/>
    </row>
    <row r="110" spans="2:37" s="64" customFormat="1" x14ac:dyDescent="0.35">
      <c r="B110" s="30"/>
      <c r="C110" s="30"/>
      <c r="D110" s="30"/>
      <c r="E110" s="30"/>
      <c r="F110" s="258"/>
      <c r="H110" s="487"/>
      <c r="I110" s="487"/>
      <c r="J110" s="487"/>
      <c r="K110" s="487"/>
      <c r="L110" s="483"/>
      <c r="M110" s="484"/>
      <c r="N110" s="484"/>
      <c r="O110" s="484"/>
      <c r="P110" s="484"/>
      <c r="Q110" s="484"/>
      <c r="R110" s="484"/>
      <c r="S110" s="484"/>
      <c r="T110" s="484"/>
      <c r="U110" s="484"/>
      <c r="V110" s="484"/>
      <c r="W110" s="484"/>
      <c r="X110" s="484"/>
      <c r="Y110" s="484"/>
      <c r="Z110" s="484"/>
      <c r="AA110" s="484"/>
      <c r="AB110" s="484"/>
      <c r="AC110" s="484"/>
      <c r="AD110" s="484"/>
      <c r="AE110" s="484"/>
      <c r="AF110" s="484"/>
      <c r="AG110" s="484"/>
      <c r="AH110" s="484"/>
      <c r="AI110" s="484"/>
      <c r="AJ110" s="484"/>
      <c r="AK110" s="484"/>
    </row>
    <row r="111" spans="2:37" s="64" customFormat="1" x14ac:dyDescent="0.35">
      <c r="B111" s="30"/>
      <c r="C111" s="30"/>
      <c r="D111" s="30"/>
      <c r="E111" s="30"/>
      <c r="F111" s="258"/>
      <c r="G111" s="30"/>
      <c r="H111" s="482"/>
      <c r="I111" s="482"/>
      <c r="J111" s="482"/>
      <c r="K111" s="482"/>
      <c r="L111" s="483"/>
      <c r="M111" s="484"/>
      <c r="N111" s="484"/>
      <c r="O111" s="484"/>
      <c r="P111" s="484"/>
      <c r="Q111" s="484"/>
      <c r="R111" s="484"/>
      <c r="S111" s="484"/>
      <c r="T111" s="484"/>
      <c r="U111" s="484"/>
      <c r="V111" s="484"/>
      <c r="W111" s="484"/>
      <c r="X111" s="484"/>
      <c r="Y111" s="484"/>
      <c r="Z111" s="484"/>
      <c r="AA111" s="484"/>
      <c r="AB111" s="484"/>
      <c r="AC111" s="484"/>
      <c r="AD111" s="484"/>
      <c r="AE111" s="484"/>
      <c r="AF111" s="484"/>
      <c r="AG111" s="484"/>
      <c r="AH111" s="484"/>
      <c r="AI111" s="484"/>
      <c r="AJ111" s="484"/>
      <c r="AK111" s="484"/>
    </row>
    <row r="112" spans="2:37" s="64" customFormat="1" x14ac:dyDescent="0.35">
      <c r="B112" s="30"/>
      <c r="C112" s="30"/>
      <c r="D112" s="30"/>
      <c r="E112" s="30"/>
      <c r="F112" s="258"/>
      <c r="H112" s="487"/>
      <c r="I112" s="487"/>
      <c r="J112" s="487"/>
      <c r="K112" s="487"/>
      <c r="L112" s="483"/>
      <c r="M112" s="484"/>
      <c r="N112" s="484"/>
      <c r="O112" s="484"/>
      <c r="P112" s="484"/>
      <c r="Q112" s="484"/>
      <c r="R112" s="484"/>
      <c r="S112" s="484"/>
      <c r="T112" s="484"/>
      <c r="U112" s="484"/>
      <c r="V112" s="484"/>
      <c r="W112" s="484"/>
      <c r="X112" s="484"/>
      <c r="Y112" s="484"/>
      <c r="Z112" s="484"/>
      <c r="AA112" s="484"/>
      <c r="AB112" s="484"/>
      <c r="AC112" s="484"/>
      <c r="AD112" s="484"/>
      <c r="AE112" s="484"/>
      <c r="AF112" s="484"/>
      <c r="AG112" s="484"/>
      <c r="AH112" s="484"/>
      <c r="AI112" s="484"/>
      <c r="AJ112" s="484"/>
      <c r="AK112" s="484"/>
    </row>
    <row r="113" spans="2:37" s="64" customFormat="1" x14ac:dyDescent="0.35">
      <c r="B113" s="30"/>
      <c r="C113" s="30"/>
      <c r="D113" s="30"/>
      <c r="E113" s="30"/>
      <c r="F113" s="258"/>
      <c r="G113" s="30"/>
      <c r="H113" s="482"/>
      <c r="I113" s="482"/>
      <c r="J113" s="482"/>
      <c r="K113" s="482"/>
      <c r="L113" s="483"/>
      <c r="M113" s="484"/>
      <c r="N113" s="484"/>
      <c r="O113" s="484"/>
      <c r="P113" s="484"/>
      <c r="Q113" s="484"/>
      <c r="R113" s="484"/>
      <c r="S113" s="484"/>
      <c r="T113" s="484"/>
      <c r="U113" s="484"/>
      <c r="V113" s="484"/>
      <c r="W113" s="484"/>
      <c r="X113" s="484"/>
      <c r="Y113" s="484"/>
      <c r="Z113" s="484"/>
      <c r="AA113" s="484"/>
      <c r="AB113" s="484"/>
      <c r="AC113" s="484"/>
      <c r="AD113" s="484"/>
      <c r="AE113" s="484"/>
      <c r="AF113" s="484"/>
      <c r="AG113" s="484"/>
      <c r="AH113" s="484"/>
      <c r="AI113" s="484"/>
      <c r="AJ113" s="484"/>
      <c r="AK113" s="484"/>
    </row>
    <row r="114" spans="2:37" s="64" customFormat="1" x14ac:dyDescent="0.35">
      <c r="B114" s="30"/>
      <c r="C114" s="30"/>
      <c r="D114" s="30"/>
      <c r="E114" s="30"/>
      <c r="F114" s="258"/>
      <c r="H114" s="487"/>
      <c r="I114" s="487"/>
      <c r="J114" s="487"/>
      <c r="K114" s="487"/>
      <c r="L114" s="483"/>
      <c r="M114" s="484"/>
      <c r="N114" s="484"/>
      <c r="O114" s="484"/>
      <c r="P114" s="484"/>
      <c r="Q114" s="484"/>
      <c r="R114" s="484"/>
      <c r="S114" s="484"/>
      <c r="T114" s="484"/>
      <c r="U114" s="484"/>
      <c r="V114" s="484"/>
      <c r="W114" s="484"/>
      <c r="X114" s="484"/>
      <c r="Y114" s="484"/>
      <c r="Z114" s="484"/>
      <c r="AA114" s="484"/>
      <c r="AB114" s="484"/>
      <c r="AC114" s="484"/>
      <c r="AD114" s="484"/>
      <c r="AE114" s="484"/>
      <c r="AF114" s="484"/>
      <c r="AG114" s="484"/>
      <c r="AH114" s="484"/>
      <c r="AI114" s="484"/>
      <c r="AJ114" s="484"/>
      <c r="AK114" s="484"/>
    </row>
    <row r="115" spans="2:37" s="64" customFormat="1" x14ac:dyDescent="0.35">
      <c r="B115" s="30"/>
      <c r="C115" s="30"/>
      <c r="D115" s="30"/>
      <c r="E115" s="30"/>
      <c r="F115" s="258"/>
      <c r="G115" s="30"/>
      <c r="H115" s="482"/>
      <c r="I115" s="482"/>
      <c r="J115" s="482"/>
      <c r="K115" s="482"/>
      <c r="L115" s="483"/>
      <c r="M115" s="484"/>
      <c r="N115" s="484"/>
      <c r="O115" s="484"/>
      <c r="P115" s="484"/>
      <c r="Q115" s="484"/>
      <c r="R115" s="484"/>
      <c r="S115" s="484"/>
      <c r="T115" s="484"/>
      <c r="U115" s="484"/>
      <c r="V115" s="484"/>
      <c r="W115" s="484"/>
      <c r="X115" s="484"/>
      <c r="Y115" s="484"/>
      <c r="Z115" s="484"/>
      <c r="AA115" s="484"/>
      <c r="AB115" s="484"/>
      <c r="AC115" s="484"/>
      <c r="AD115" s="484"/>
      <c r="AE115" s="484"/>
      <c r="AF115" s="484"/>
      <c r="AG115" s="484"/>
      <c r="AH115" s="484"/>
      <c r="AI115" s="484"/>
      <c r="AJ115" s="484"/>
      <c r="AK115" s="484"/>
    </row>
    <row r="116" spans="2:37" s="64" customFormat="1" x14ac:dyDescent="0.35">
      <c r="B116" s="30"/>
      <c r="C116" s="30"/>
      <c r="D116" s="30"/>
      <c r="E116" s="30"/>
      <c r="F116" s="258"/>
      <c r="H116" s="487"/>
      <c r="I116" s="487"/>
      <c r="J116" s="487"/>
      <c r="K116" s="487"/>
      <c r="L116" s="483"/>
      <c r="M116" s="484"/>
      <c r="N116" s="484"/>
      <c r="O116" s="484"/>
      <c r="P116" s="484"/>
      <c r="Q116" s="484"/>
      <c r="R116" s="484"/>
      <c r="S116" s="484"/>
      <c r="T116" s="484"/>
      <c r="U116" s="484"/>
      <c r="V116" s="484"/>
      <c r="W116" s="484"/>
      <c r="X116" s="484"/>
      <c r="Y116" s="484"/>
      <c r="Z116" s="484"/>
      <c r="AA116" s="484"/>
      <c r="AB116" s="484"/>
      <c r="AC116" s="484"/>
      <c r="AD116" s="484"/>
      <c r="AE116" s="484"/>
      <c r="AF116" s="484"/>
      <c r="AG116" s="484"/>
      <c r="AH116" s="484"/>
      <c r="AI116" s="484"/>
      <c r="AJ116" s="484"/>
      <c r="AK116" s="484"/>
    </row>
    <row r="117" spans="2:37" s="64" customFormat="1" x14ac:dyDescent="0.35">
      <c r="B117" s="30"/>
      <c r="C117" s="30"/>
      <c r="D117" s="30"/>
      <c r="E117" s="30"/>
      <c r="F117" s="258"/>
      <c r="G117" s="30"/>
      <c r="H117" s="482"/>
      <c r="I117" s="482"/>
      <c r="J117" s="482"/>
      <c r="K117" s="482"/>
      <c r="L117" s="483"/>
      <c r="M117" s="484"/>
      <c r="N117" s="484"/>
      <c r="O117" s="484"/>
      <c r="P117" s="484"/>
      <c r="Q117" s="484"/>
      <c r="R117" s="484"/>
      <c r="S117" s="484"/>
      <c r="T117" s="484"/>
      <c r="U117" s="484"/>
      <c r="V117" s="484"/>
      <c r="W117" s="484"/>
      <c r="X117" s="484"/>
      <c r="Y117" s="484"/>
      <c r="Z117" s="484"/>
      <c r="AA117" s="484"/>
      <c r="AB117" s="484"/>
      <c r="AC117" s="484"/>
      <c r="AD117" s="484"/>
      <c r="AE117" s="484"/>
      <c r="AF117" s="484"/>
      <c r="AG117" s="484"/>
      <c r="AH117" s="484"/>
      <c r="AI117" s="484"/>
      <c r="AJ117" s="484"/>
      <c r="AK117" s="484"/>
    </row>
    <row r="118" spans="2:37" s="64" customFormat="1" x14ac:dyDescent="0.35">
      <c r="B118" s="30"/>
      <c r="C118" s="30"/>
      <c r="D118" s="30"/>
      <c r="E118" s="30"/>
      <c r="F118" s="258"/>
      <c r="H118" s="487"/>
      <c r="I118" s="487"/>
      <c r="J118" s="487"/>
      <c r="K118" s="487"/>
      <c r="L118" s="483"/>
      <c r="M118" s="484"/>
      <c r="N118" s="484"/>
      <c r="O118" s="484"/>
      <c r="P118" s="484"/>
      <c r="Q118" s="484"/>
      <c r="R118" s="484"/>
      <c r="S118" s="484"/>
      <c r="T118" s="484"/>
      <c r="U118" s="484"/>
      <c r="V118" s="484"/>
      <c r="W118" s="484"/>
      <c r="X118" s="484"/>
      <c r="Y118" s="484"/>
      <c r="Z118" s="484"/>
      <c r="AA118" s="484"/>
      <c r="AB118" s="484"/>
      <c r="AC118" s="484"/>
      <c r="AD118" s="484"/>
      <c r="AE118" s="484"/>
      <c r="AF118" s="484"/>
      <c r="AG118" s="484"/>
      <c r="AH118" s="484"/>
      <c r="AI118" s="484"/>
      <c r="AJ118" s="484"/>
      <c r="AK118" s="484"/>
    </row>
    <row r="119" spans="2:37" s="64" customFormat="1" x14ac:dyDescent="0.35">
      <c r="B119" s="30"/>
      <c r="C119" s="30"/>
      <c r="D119" s="30"/>
      <c r="E119" s="30"/>
      <c r="F119" s="258"/>
      <c r="G119" s="30"/>
      <c r="H119" s="482"/>
      <c r="I119" s="482"/>
      <c r="J119" s="482"/>
      <c r="K119" s="482"/>
      <c r="L119" s="483"/>
      <c r="M119" s="484"/>
      <c r="N119" s="484"/>
      <c r="O119" s="484"/>
      <c r="P119" s="484"/>
      <c r="Q119" s="484"/>
      <c r="R119" s="484"/>
      <c r="S119" s="484"/>
      <c r="T119" s="484"/>
      <c r="U119" s="484"/>
      <c r="V119" s="484"/>
      <c r="W119" s="484"/>
      <c r="X119" s="484"/>
      <c r="Y119" s="484"/>
      <c r="Z119" s="484"/>
      <c r="AA119" s="484"/>
      <c r="AB119" s="484"/>
      <c r="AC119" s="484"/>
      <c r="AD119" s="484"/>
      <c r="AE119" s="484"/>
      <c r="AF119" s="484"/>
      <c r="AG119" s="484"/>
      <c r="AH119" s="484"/>
      <c r="AI119" s="484"/>
      <c r="AJ119" s="484"/>
      <c r="AK119" s="484"/>
    </row>
    <row r="120" spans="2:37" s="64" customFormat="1" x14ac:dyDescent="0.35">
      <c r="B120" s="30"/>
      <c r="C120" s="30"/>
      <c r="D120" s="30"/>
      <c r="E120" s="30"/>
      <c r="F120" s="258"/>
      <c r="H120" s="487"/>
      <c r="I120" s="487"/>
      <c r="J120" s="487"/>
      <c r="K120" s="487"/>
      <c r="L120" s="483"/>
      <c r="M120" s="484"/>
      <c r="N120" s="484"/>
      <c r="O120" s="484"/>
      <c r="P120" s="484"/>
      <c r="Q120" s="484"/>
      <c r="R120" s="484"/>
      <c r="S120" s="484"/>
      <c r="T120" s="484"/>
      <c r="U120" s="484"/>
      <c r="V120" s="484"/>
      <c r="W120" s="484"/>
      <c r="X120" s="484"/>
      <c r="Y120" s="484"/>
      <c r="Z120" s="484"/>
      <c r="AA120" s="484"/>
      <c r="AB120" s="484"/>
      <c r="AC120" s="484"/>
      <c r="AD120" s="484"/>
      <c r="AE120" s="484"/>
      <c r="AF120" s="484"/>
      <c r="AG120" s="484"/>
      <c r="AH120" s="484"/>
      <c r="AI120" s="484"/>
      <c r="AJ120" s="484"/>
      <c r="AK120" s="484"/>
    </row>
    <row r="121" spans="2:37" s="64" customFormat="1" x14ac:dyDescent="0.35">
      <c r="B121" s="30"/>
      <c r="C121" s="30"/>
      <c r="D121" s="30"/>
      <c r="E121" s="30"/>
      <c r="F121" s="258"/>
      <c r="G121" s="30"/>
      <c r="H121" s="482"/>
      <c r="I121" s="482"/>
      <c r="J121" s="482"/>
      <c r="K121" s="482"/>
      <c r="L121" s="483"/>
      <c r="M121" s="484"/>
      <c r="N121" s="484"/>
      <c r="O121" s="484"/>
      <c r="P121" s="484"/>
      <c r="Q121" s="484"/>
      <c r="R121" s="484"/>
      <c r="S121" s="484"/>
      <c r="T121" s="484"/>
      <c r="U121" s="484"/>
      <c r="V121" s="484"/>
      <c r="W121" s="484"/>
      <c r="X121" s="484"/>
      <c r="Y121" s="484"/>
      <c r="Z121" s="484"/>
      <c r="AA121" s="484"/>
      <c r="AB121" s="484"/>
      <c r="AC121" s="484"/>
      <c r="AD121" s="484"/>
      <c r="AE121" s="484"/>
      <c r="AF121" s="484"/>
      <c r="AG121" s="484"/>
      <c r="AH121" s="484"/>
      <c r="AI121" s="484"/>
      <c r="AJ121" s="484"/>
      <c r="AK121" s="484"/>
    </row>
    <row r="122" spans="2:37" s="64" customFormat="1" x14ac:dyDescent="0.35">
      <c r="B122" s="30"/>
      <c r="C122" s="30"/>
      <c r="D122" s="30"/>
      <c r="E122" s="30"/>
      <c r="F122" s="258"/>
      <c r="H122" s="487"/>
      <c r="I122" s="487"/>
      <c r="J122" s="487"/>
      <c r="K122" s="487"/>
      <c r="L122" s="483"/>
      <c r="M122" s="484"/>
      <c r="N122" s="484"/>
      <c r="O122" s="484"/>
      <c r="P122" s="484"/>
      <c r="Q122" s="484"/>
      <c r="R122" s="484"/>
      <c r="S122" s="484"/>
      <c r="T122" s="484"/>
      <c r="U122" s="484"/>
      <c r="V122" s="484"/>
      <c r="W122" s="484"/>
      <c r="X122" s="484"/>
      <c r="Y122" s="484"/>
      <c r="Z122" s="484"/>
      <c r="AA122" s="484"/>
      <c r="AB122" s="484"/>
      <c r="AC122" s="484"/>
      <c r="AD122" s="484"/>
      <c r="AE122" s="484"/>
      <c r="AF122" s="484"/>
      <c r="AG122" s="484"/>
      <c r="AH122" s="484"/>
      <c r="AI122" s="484"/>
      <c r="AJ122" s="484"/>
      <c r="AK122" s="484"/>
    </row>
    <row r="123" spans="2:37" s="64" customFormat="1" x14ac:dyDescent="0.35">
      <c r="B123" s="30"/>
      <c r="C123" s="30"/>
      <c r="D123" s="30"/>
      <c r="E123" s="30"/>
      <c r="F123" s="258"/>
      <c r="G123" s="30"/>
      <c r="H123" s="482"/>
      <c r="I123" s="482"/>
      <c r="J123" s="482"/>
      <c r="K123" s="482"/>
      <c r="L123" s="483"/>
      <c r="M123" s="484"/>
      <c r="N123" s="484"/>
      <c r="O123" s="484"/>
      <c r="P123" s="484"/>
      <c r="Q123" s="484"/>
      <c r="R123" s="484"/>
      <c r="S123" s="484"/>
      <c r="T123" s="484"/>
      <c r="U123" s="484"/>
      <c r="V123" s="484"/>
      <c r="W123" s="484"/>
      <c r="X123" s="484"/>
      <c r="Y123" s="484"/>
      <c r="Z123" s="484"/>
      <c r="AA123" s="484"/>
      <c r="AB123" s="484"/>
      <c r="AC123" s="484"/>
      <c r="AD123" s="484"/>
      <c r="AE123" s="484"/>
      <c r="AF123" s="484"/>
      <c r="AG123" s="484"/>
      <c r="AH123" s="484"/>
      <c r="AI123" s="484"/>
      <c r="AJ123" s="484"/>
      <c r="AK123" s="484"/>
    </row>
    <row r="124" spans="2:37" s="64" customFormat="1" x14ac:dyDescent="0.35">
      <c r="B124" s="30"/>
      <c r="C124" s="30"/>
      <c r="D124" s="30"/>
      <c r="E124" s="30"/>
      <c r="F124" s="258"/>
      <c r="H124" s="487"/>
      <c r="I124" s="487"/>
      <c r="J124" s="487"/>
      <c r="K124" s="487"/>
      <c r="L124" s="483"/>
      <c r="M124" s="484"/>
      <c r="N124" s="484"/>
      <c r="O124" s="484"/>
      <c r="P124" s="484"/>
      <c r="Q124" s="484"/>
      <c r="R124" s="484"/>
      <c r="S124" s="484"/>
      <c r="T124" s="484"/>
      <c r="U124" s="484"/>
      <c r="V124" s="484"/>
      <c r="W124" s="484"/>
      <c r="X124" s="484"/>
      <c r="Y124" s="484"/>
      <c r="Z124" s="484"/>
      <c r="AA124" s="484"/>
      <c r="AB124" s="484"/>
      <c r="AC124" s="484"/>
      <c r="AD124" s="484"/>
      <c r="AE124" s="484"/>
      <c r="AF124" s="484"/>
      <c r="AG124" s="484"/>
      <c r="AH124" s="484"/>
      <c r="AI124" s="484"/>
      <c r="AJ124" s="484"/>
      <c r="AK124" s="484"/>
    </row>
    <row r="125" spans="2:37" s="64" customFormat="1" x14ac:dyDescent="0.35">
      <c r="B125" s="30"/>
      <c r="C125" s="30"/>
      <c r="D125" s="30"/>
      <c r="E125" s="30"/>
      <c r="F125" s="258"/>
      <c r="G125" s="30"/>
      <c r="H125" s="482"/>
      <c r="I125" s="482"/>
      <c r="J125" s="482"/>
      <c r="K125" s="482"/>
      <c r="L125" s="483"/>
      <c r="M125" s="484"/>
      <c r="N125" s="484"/>
      <c r="O125" s="484"/>
      <c r="P125" s="484"/>
      <c r="Q125" s="484"/>
      <c r="R125" s="484"/>
      <c r="S125" s="484"/>
      <c r="T125" s="484"/>
      <c r="U125" s="484"/>
      <c r="V125" s="484"/>
      <c r="W125" s="484"/>
      <c r="X125" s="484"/>
      <c r="Y125" s="484"/>
      <c r="Z125" s="484"/>
      <c r="AA125" s="484"/>
      <c r="AB125" s="484"/>
      <c r="AC125" s="484"/>
      <c r="AD125" s="484"/>
      <c r="AE125" s="484"/>
      <c r="AF125" s="484"/>
      <c r="AG125" s="484"/>
      <c r="AH125" s="484"/>
      <c r="AI125" s="484"/>
      <c r="AJ125" s="484"/>
      <c r="AK125" s="484"/>
    </row>
    <row r="126" spans="2:37" s="64" customFormat="1" x14ac:dyDescent="0.35">
      <c r="B126" s="30"/>
      <c r="C126" s="30"/>
      <c r="D126" s="30"/>
      <c r="E126" s="30"/>
      <c r="F126" s="258"/>
      <c r="H126" s="487"/>
      <c r="I126" s="487"/>
      <c r="J126" s="487"/>
      <c r="K126" s="487"/>
      <c r="L126" s="483"/>
      <c r="M126" s="484"/>
      <c r="N126" s="484"/>
      <c r="O126" s="484"/>
      <c r="P126" s="484"/>
      <c r="Q126" s="484"/>
      <c r="R126" s="484"/>
      <c r="S126" s="484"/>
      <c r="T126" s="484"/>
      <c r="U126" s="484"/>
      <c r="V126" s="484"/>
      <c r="W126" s="484"/>
      <c r="X126" s="484"/>
      <c r="Y126" s="484"/>
      <c r="Z126" s="484"/>
      <c r="AA126" s="484"/>
      <c r="AB126" s="484"/>
      <c r="AC126" s="484"/>
      <c r="AD126" s="484"/>
      <c r="AE126" s="484"/>
      <c r="AF126" s="484"/>
      <c r="AG126" s="484"/>
      <c r="AH126" s="484"/>
      <c r="AI126" s="484"/>
      <c r="AJ126" s="484"/>
      <c r="AK126" s="484"/>
    </row>
    <row r="127" spans="2:37" s="64" customFormat="1" x14ac:dyDescent="0.35">
      <c r="B127" s="30"/>
      <c r="C127" s="30"/>
      <c r="D127" s="30"/>
      <c r="E127" s="30"/>
      <c r="F127" s="258"/>
      <c r="G127" s="30"/>
      <c r="H127" s="482"/>
      <c r="I127" s="482"/>
      <c r="J127" s="482"/>
      <c r="K127" s="482"/>
      <c r="L127" s="483"/>
      <c r="M127" s="484"/>
      <c r="N127" s="484"/>
      <c r="O127" s="484"/>
      <c r="P127" s="484"/>
      <c r="Q127" s="484"/>
      <c r="R127" s="484"/>
      <c r="S127" s="484"/>
      <c r="T127" s="484"/>
      <c r="U127" s="484"/>
      <c r="V127" s="484"/>
      <c r="W127" s="484"/>
      <c r="X127" s="484"/>
      <c r="Y127" s="484"/>
      <c r="Z127" s="484"/>
      <c r="AA127" s="484"/>
      <c r="AB127" s="484"/>
      <c r="AC127" s="484"/>
      <c r="AD127" s="484"/>
      <c r="AE127" s="484"/>
      <c r="AF127" s="484"/>
      <c r="AG127" s="484"/>
      <c r="AH127" s="484"/>
      <c r="AI127" s="484"/>
      <c r="AJ127" s="484"/>
      <c r="AK127" s="484"/>
    </row>
    <row r="128" spans="2:37" s="64" customFormat="1" x14ac:dyDescent="0.35">
      <c r="B128" s="30"/>
      <c r="C128" s="30"/>
      <c r="D128" s="30"/>
      <c r="E128" s="30"/>
      <c r="F128" s="258"/>
      <c r="H128" s="487"/>
      <c r="I128" s="487"/>
      <c r="J128" s="487"/>
      <c r="K128" s="487"/>
      <c r="L128" s="483"/>
      <c r="M128" s="484"/>
      <c r="N128" s="484"/>
      <c r="O128" s="484"/>
      <c r="P128" s="484"/>
      <c r="Q128" s="484"/>
      <c r="R128" s="484"/>
      <c r="S128" s="484"/>
      <c r="T128" s="484"/>
      <c r="U128" s="484"/>
      <c r="V128" s="484"/>
      <c r="W128" s="484"/>
      <c r="X128" s="484"/>
      <c r="Y128" s="484"/>
      <c r="Z128" s="484"/>
      <c r="AA128" s="484"/>
      <c r="AB128" s="484"/>
      <c r="AC128" s="484"/>
      <c r="AD128" s="484"/>
      <c r="AE128" s="484"/>
      <c r="AF128" s="484"/>
      <c r="AG128" s="484"/>
      <c r="AH128" s="484"/>
      <c r="AI128" s="484"/>
      <c r="AJ128" s="484"/>
      <c r="AK128" s="484"/>
    </row>
    <row r="129" spans="2:37" s="64" customFormat="1" x14ac:dyDescent="0.35">
      <c r="B129" s="30"/>
      <c r="C129" s="30"/>
      <c r="D129" s="30"/>
      <c r="E129" s="30"/>
      <c r="F129" s="258"/>
      <c r="G129" s="30"/>
      <c r="H129" s="482"/>
      <c r="I129" s="482"/>
      <c r="J129" s="482"/>
      <c r="K129" s="482"/>
      <c r="L129" s="483"/>
      <c r="M129" s="484"/>
      <c r="N129" s="484"/>
      <c r="O129" s="484"/>
      <c r="P129" s="484"/>
      <c r="Q129" s="484"/>
      <c r="R129" s="484"/>
      <c r="S129" s="484"/>
      <c r="T129" s="484"/>
      <c r="U129" s="484"/>
      <c r="V129" s="484"/>
      <c r="W129" s="484"/>
      <c r="X129" s="484"/>
      <c r="Y129" s="484"/>
      <c r="Z129" s="484"/>
      <c r="AA129" s="484"/>
      <c r="AB129" s="484"/>
      <c r="AC129" s="484"/>
      <c r="AD129" s="484"/>
      <c r="AE129" s="484"/>
      <c r="AF129" s="484"/>
      <c r="AG129" s="484"/>
      <c r="AH129" s="484"/>
      <c r="AI129" s="484"/>
      <c r="AJ129" s="484"/>
      <c r="AK129" s="484"/>
    </row>
    <row r="130" spans="2:37" s="64" customFormat="1" x14ac:dyDescent="0.35">
      <c r="B130" s="30"/>
      <c r="C130" s="30"/>
      <c r="D130" s="30"/>
      <c r="E130" s="30"/>
      <c r="F130" s="258"/>
      <c r="H130" s="487"/>
      <c r="I130" s="487"/>
      <c r="J130" s="487"/>
      <c r="K130" s="487"/>
      <c r="L130" s="483"/>
      <c r="M130" s="484"/>
      <c r="N130" s="484"/>
      <c r="O130" s="484"/>
      <c r="P130" s="484"/>
      <c r="Q130" s="484"/>
      <c r="R130" s="484"/>
      <c r="S130" s="484"/>
      <c r="T130" s="484"/>
      <c r="U130" s="484"/>
      <c r="V130" s="484"/>
      <c r="W130" s="484"/>
      <c r="X130" s="484"/>
      <c r="Y130" s="484"/>
      <c r="Z130" s="484"/>
      <c r="AA130" s="484"/>
      <c r="AB130" s="484"/>
      <c r="AC130" s="484"/>
      <c r="AD130" s="484"/>
      <c r="AE130" s="484"/>
      <c r="AF130" s="484"/>
      <c r="AG130" s="484"/>
      <c r="AH130" s="484"/>
      <c r="AI130" s="484"/>
      <c r="AJ130" s="484"/>
      <c r="AK130" s="484"/>
    </row>
    <row r="131" spans="2:37" s="64" customFormat="1" x14ac:dyDescent="0.35">
      <c r="B131" s="30"/>
      <c r="C131" s="30"/>
      <c r="D131" s="30"/>
      <c r="E131" s="30"/>
      <c r="F131" s="258"/>
      <c r="G131" s="30"/>
      <c r="H131" s="482"/>
      <c r="I131" s="482"/>
      <c r="J131" s="482"/>
      <c r="K131" s="482"/>
      <c r="L131" s="483"/>
      <c r="M131" s="484"/>
      <c r="N131" s="484"/>
      <c r="O131" s="484"/>
      <c r="P131" s="484"/>
      <c r="Q131" s="484"/>
      <c r="R131" s="484"/>
      <c r="S131" s="484"/>
      <c r="T131" s="484"/>
      <c r="U131" s="484"/>
      <c r="V131" s="484"/>
      <c r="W131" s="484"/>
      <c r="X131" s="484"/>
      <c r="Y131" s="484"/>
      <c r="Z131" s="484"/>
      <c r="AA131" s="484"/>
      <c r="AB131" s="484"/>
      <c r="AC131" s="484"/>
      <c r="AD131" s="484"/>
      <c r="AE131" s="484"/>
      <c r="AF131" s="484"/>
      <c r="AG131" s="484"/>
      <c r="AH131" s="484"/>
      <c r="AI131" s="484"/>
      <c r="AJ131" s="484"/>
      <c r="AK131" s="484"/>
    </row>
    <row r="132" spans="2:37" s="64" customFormat="1" x14ac:dyDescent="0.35">
      <c r="B132" s="30"/>
      <c r="C132" s="30"/>
      <c r="D132" s="30"/>
      <c r="E132" s="30"/>
      <c r="F132" s="258"/>
      <c r="H132" s="487"/>
      <c r="I132" s="487"/>
      <c r="J132" s="487"/>
      <c r="K132" s="487"/>
      <c r="L132" s="483"/>
      <c r="M132" s="484"/>
      <c r="N132" s="484"/>
      <c r="O132" s="484"/>
      <c r="P132" s="484"/>
      <c r="Q132" s="484"/>
      <c r="R132" s="484"/>
      <c r="S132" s="484"/>
      <c r="T132" s="484"/>
      <c r="U132" s="484"/>
      <c r="V132" s="484"/>
      <c r="W132" s="484"/>
      <c r="X132" s="484"/>
      <c r="Y132" s="484"/>
      <c r="Z132" s="484"/>
      <c r="AA132" s="484"/>
      <c r="AB132" s="484"/>
      <c r="AC132" s="484"/>
      <c r="AD132" s="484"/>
      <c r="AE132" s="484"/>
      <c r="AF132" s="484"/>
      <c r="AG132" s="484"/>
      <c r="AH132" s="484"/>
      <c r="AI132" s="484"/>
      <c r="AJ132" s="484"/>
      <c r="AK132" s="484"/>
    </row>
    <row r="133" spans="2:37" s="64" customFormat="1" x14ac:dyDescent="0.35">
      <c r="B133" s="30"/>
      <c r="C133" s="30"/>
      <c r="D133" s="30"/>
      <c r="E133" s="30"/>
      <c r="F133" s="258"/>
      <c r="G133" s="30"/>
      <c r="H133" s="482"/>
      <c r="I133" s="482"/>
      <c r="J133" s="482"/>
      <c r="K133" s="482"/>
      <c r="L133" s="483"/>
      <c r="M133" s="484"/>
      <c r="N133" s="484"/>
      <c r="O133" s="484"/>
      <c r="P133" s="484"/>
      <c r="Q133" s="484"/>
      <c r="R133" s="484"/>
      <c r="S133" s="484"/>
      <c r="T133" s="484"/>
      <c r="U133" s="484"/>
      <c r="V133" s="484"/>
      <c r="W133" s="484"/>
      <c r="X133" s="484"/>
      <c r="Y133" s="484"/>
      <c r="Z133" s="484"/>
      <c r="AA133" s="484"/>
      <c r="AB133" s="484"/>
      <c r="AC133" s="484"/>
      <c r="AD133" s="484"/>
      <c r="AE133" s="484"/>
      <c r="AF133" s="484"/>
      <c r="AG133" s="484"/>
      <c r="AH133" s="484"/>
      <c r="AI133" s="484"/>
      <c r="AJ133" s="484"/>
      <c r="AK133" s="484"/>
    </row>
    <row r="134" spans="2:37" s="64" customFormat="1" x14ac:dyDescent="0.35">
      <c r="B134" s="30"/>
      <c r="C134" s="30"/>
      <c r="D134" s="30"/>
      <c r="E134" s="30"/>
      <c r="F134" s="258"/>
      <c r="H134" s="487"/>
      <c r="I134" s="487"/>
      <c r="J134" s="487"/>
      <c r="K134" s="487"/>
      <c r="L134" s="483"/>
      <c r="M134" s="484"/>
      <c r="N134" s="484"/>
      <c r="O134" s="484"/>
      <c r="P134" s="484"/>
      <c r="Q134" s="484"/>
      <c r="R134" s="484"/>
      <c r="S134" s="484"/>
      <c r="T134" s="484"/>
      <c r="U134" s="484"/>
      <c r="V134" s="484"/>
      <c r="W134" s="484"/>
      <c r="X134" s="484"/>
      <c r="Y134" s="484"/>
      <c r="Z134" s="484"/>
      <c r="AA134" s="484"/>
      <c r="AB134" s="484"/>
      <c r="AC134" s="484"/>
      <c r="AD134" s="484"/>
      <c r="AE134" s="484"/>
      <c r="AF134" s="484"/>
      <c r="AG134" s="484"/>
      <c r="AH134" s="484"/>
      <c r="AI134" s="484"/>
      <c r="AJ134" s="484"/>
      <c r="AK134" s="484"/>
    </row>
    <row r="135" spans="2:37" s="64" customFormat="1" x14ac:dyDescent="0.35">
      <c r="B135" s="30"/>
      <c r="C135" s="30"/>
      <c r="D135" s="30"/>
      <c r="E135" s="30"/>
      <c r="F135" s="258"/>
      <c r="G135" s="30"/>
      <c r="H135" s="482"/>
      <c r="I135" s="482"/>
      <c r="J135" s="482"/>
      <c r="K135" s="482"/>
      <c r="L135" s="483"/>
      <c r="M135" s="484"/>
      <c r="N135" s="484"/>
      <c r="O135" s="484"/>
      <c r="P135" s="484"/>
      <c r="Q135" s="484"/>
      <c r="R135" s="484"/>
      <c r="S135" s="484"/>
      <c r="T135" s="484"/>
      <c r="U135" s="484"/>
      <c r="V135" s="484"/>
      <c r="W135" s="484"/>
      <c r="X135" s="484"/>
      <c r="Y135" s="484"/>
      <c r="Z135" s="484"/>
      <c r="AA135" s="484"/>
      <c r="AB135" s="484"/>
      <c r="AC135" s="484"/>
      <c r="AD135" s="484"/>
      <c r="AE135" s="484"/>
      <c r="AF135" s="484"/>
      <c r="AG135" s="484"/>
      <c r="AH135" s="484"/>
      <c r="AI135" s="484"/>
      <c r="AJ135" s="484"/>
      <c r="AK135" s="484"/>
    </row>
    <row r="136" spans="2:37" s="64" customFormat="1" x14ac:dyDescent="0.35">
      <c r="B136" s="30"/>
      <c r="C136" s="30"/>
      <c r="D136" s="30"/>
      <c r="E136" s="30"/>
      <c r="F136" s="258"/>
      <c r="H136" s="487"/>
      <c r="I136" s="487"/>
      <c r="J136" s="487"/>
      <c r="K136" s="487"/>
      <c r="L136" s="483"/>
      <c r="M136" s="484"/>
      <c r="N136" s="484"/>
      <c r="O136" s="484"/>
      <c r="P136" s="484"/>
      <c r="Q136" s="484"/>
      <c r="R136" s="484"/>
      <c r="S136" s="484"/>
      <c r="T136" s="484"/>
      <c r="U136" s="484"/>
      <c r="V136" s="484"/>
      <c r="W136" s="484"/>
      <c r="X136" s="484"/>
      <c r="Y136" s="484"/>
      <c r="Z136" s="484"/>
      <c r="AA136" s="484"/>
      <c r="AB136" s="484"/>
      <c r="AC136" s="484"/>
      <c r="AD136" s="484"/>
      <c r="AE136" s="484"/>
      <c r="AF136" s="484"/>
      <c r="AG136" s="484"/>
      <c r="AH136" s="484"/>
      <c r="AI136" s="484"/>
      <c r="AJ136" s="484"/>
      <c r="AK136" s="484"/>
    </row>
    <row r="137" spans="2:37" s="64" customFormat="1" x14ac:dyDescent="0.35">
      <c r="B137" s="30"/>
      <c r="C137" s="30"/>
      <c r="D137" s="30"/>
      <c r="E137" s="30"/>
      <c r="F137" s="258"/>
      <c r="G137" s="30"/>
      <c r="H137" s="482"/>
      <c r="I137" s="482"/>
      <c r="J137" s="482"/>
      <c r="K137" s="482"/>
      <c r="L137" s="483"/>
      <c r="M137" s="484"/>
      <c r="N137" s="484"/>
      <c r="O137" s="484"/>
      <c r="P137" s="484"/>
      <c r="Q137" s="484"/>
      <c r="R137" s="484"/>
      <c r="S137" s="484"/>
      <c r="T137" s="484"/>
      <c r="U137" s="484"/>
      <c r="V137" s="484"/>
      <c r="W137" s="484"/>
      <c r="X137" s="484"/>
      <c r="Y137" s="484"/>
      <c r="Z137" s="484"/>
      <c r="AA137" s="484"/>
      <c r="AB137" s="484"/>
      <c r="AC137" s="484"/>
      <c r="AD137" s="484"/>
      <c r="AE137" s="484"/>
      <c r="AF137" s="484"/>
      <c r="AG137" s="484"/>
      <c r="AH137" s="484"/>
      <c r="AI137" s="484"/>
      <c r="AJ137" s="484"/>
      <c r="AK137" s="484"/>
    </row>
    <row r="138" spans="2:37" s="64" customFormat="1" x14ac:dyDescent="0.35">
      <c r="B138" s="30"/>
      <c r="C138" s="30"/>
      <c r="D138" s="30"/>
      <c r="E138" s="30"/>
      <c r="F138" s="258"/>
      <c r="H138" s="487"/>
      <c r="I138" s="487"/>
      <c r="J138" s="487"/>
      <c r="K138" s="487"/>
      <c r="L138" s="483"/>
      <c r="M138" s="484"/>
      <c r="N138" s="484"/>
      <c r="O138" s="484"/>
      <c r="P138" s="484"/>
      <c r="Q138" s="484"/>
      <c r="R138" s="484"/>
      <c r="S138" s="484"/>
      <c r="T138" s="484"/>
      <c r="U138" s="484"/>
      <c r="V138" s="484"/>
      <c r="W138" s="484"/>
      <c r="X138" s="484"/>
      <c r="Y138" s="484"/>
      <c r="Z138" s="484"/>
      <c r="AA138" s="484"/>
      <c r="AB138" s="484"/>
      <c r="AC138" s="484"/>
      <c r="AD138" s="484"/>
      <c r="AE138" s="484"/>
      <c r="AF138" s="484"/>
      <c r="AG138" s="484"/>
      <c r="AH138" s="484"/>
      <c r="AI138" s="484"/>
      <c r="AJ138" s="484"/>
      <c r="AK138" s="484"/>
    </row>
    <row r="139" spans="2:37" s="64" customFormat="1" x14ac:dyDescent="0.35">
      <c r="B139" s="30"/>
      <c r="C139" s="30"/>
      <c r="D139" s="30"/>
      <c r="E139" s="30"/>
      <c r="F139" s="258"/>
      <c r="G139" s="30"/>
      <c r="H139" s="482"/>
      <c r="I139" s="482"/>
      <c r="J139" s="482"/>
      <c r="K139" s="482"/>
      <c r="L139" s="483"/>
      <c r="M139" s="484"/>
      <c r="N139" s="484"/>
      <c r="O139" s="484"/>
      <c r="P139" s="484"/>
      <c r="Q139" s="484"/>
      <c r="R139" s="484"/>
      <c r="S139" s="484"/>
      <c r="T139" s="484"/>
      <c r="U139" s="484"/>
      <c r="V139" s="484"/>
      <c r="W139" s="484"/>
      <c r="X139" s="484"/>
      <c r="Y139" s="484"/>
      <c r="Z139" s="484"/>
      <c r="AA139" s="484"/>
      <c r="AB139" s="484"/>
      <c r="AC139" s="484"/>
      <c r="AD139" s="484"/>
      <c r="AE139" s="484"/>
      <c r="AF139" s="484"/>
      <c r="AG139" s="484"/>
      <c r="AH139" s="484"/>
      <c r="AI139" s="484"/>
      <c r="AJ139" s="484"/>
      <c r="AK139" s="484"/>
    </row>
    <row r="140" spans="2:37" s="64" customFormat="1" x14ac:dyDescent="0.35">
      <c r="B140" s="30"/>
      <c r="C140" s="30"/>
      <c r="D140" s="30"/>
      <c r="E140" s="30"/>
      <c r="F140" s="258"/>
      <c r="H140" s="487"/>
      <c r="I140" s="487"/>
      <c r="J140" s="487"/>
      <c r="K140" s="487"/>
      <c r="L140" s="483"/>
      <c r="M140" s="484"/>
      <c r="N140" s="484"/>
      <c r="O140" s="484"/>
      <c r="P140" s="484"/>
      <c r="Q140" s="484"/>
      <c r="R140" s="484"/>
      <c r="S140" s="484"/>
      <c r="T140" s="484"/>
      <c r="U140" s="484"/>
      <c r="V140" s="484"/>
      <c r="W140" s="484"/>
      <c r="X140" s="484"/>
      <c r="Y140" s="484"/>
      <c r="Z140" s="484"/>
      <c r="AA140" s="484"/>
      <c r="AB140" s="484"/>
      <c r="AC140" s="484"/>
      <c r="AD140" s="484"/>
      <c r="AE140" s="484"/>
      <c r="AF140" s="484"/>
      <c r="AG140" s="484"/>
      <c r="AH140" s="484"/>
      <c r="AI140" s="484"/>
      <c r="AJ140" s="484"/>
      <c r="AK140" s="484"/>
    </row>
    <row r="141" spans="2:37" s="64" customFormat="1" x14ac:dyDescent="0.35">
      <c r="B141" s="30"/>
      <c r="C141" s="30"/>
      <c r="D141" s="30"/>
      <c r="E141" s="30"/>
      <c r="F141" s="258"/>
      <c r="G141" s="30"/>
      <c r="H141" s="482"/>
      <c r="I141" s="482"/>
      <c r="J141" s="482"/>
      <c r="K141" s="482"/>
      <c r="L141" s="483"/>
      <c r="M141" s="484"/>
      <c r="N141" s="484"/>
      <c r="O141" s="484"/>
      <c r="P141" s="484"/>
      <c r="Q141" s="484"/>
      <c r="R141" s="484"/>
      <c r="S141" s="484"/>
      <c r="T141" s="484"/>
      <c r="U141" s="484"/>
      <c r="V141" s="484"/>
      <c r="W141" s="484"/>
      <c r="X141" s="484"/>
      <c r="Y141" s="484"/>
      <c r="Z141" s="484"/>
      <c r="AA141" s="484"/>
      <c r="AB141" s="484"/>
      <c r="AC141" s="484"/>
      <c r="AD141" s="484"/>
      <c r="AE141" s="484"/>
      <c r="AF141" s="484"/>
      <c r="AG141" s="484"/>
      <c r="AH141" s="484"/>
      <c r="AI141" s="484"/>
      <c r="AJ141" s="484"/>
      <c r="AK141" s="484"/>
    </row>
    <row r="142" spans="2:37" s="64" customFormat="1" x14ac:dyDescent="0.35">
      <c r="B142" s="30"/>
      <c r="C142" s="30"/>
      <c r="D142" s="30"/>
      <c r="E142" s="30"/>
      <c r="F142" s="258"/>
      <c r="H142" s="487"/>
      <c r="I142" s="487"/>
      <c r="J142" s="487"/>
      <c r="K142" s="487"/>
      <c r="L142" s="483"/>
      <c r="M142" s="484"/>
      <c r="N142" s="484"/>
      <c r="O142" s="484"/>
      <c r="P142" s="484"/>
      <c r="Q142" s="484"/>
      <c r="R142" s="484"/>
      <c r="S142" s="484"/>
      <c r="T142" s="484"/>
      <c r="U142" s="484"/>
      <c r="V142" s="484"/>
      <c r="W142" s="484"/>
      <c r="X142" s="484"/>
      <c r="Y142" s="484"/>
      <c r="Z142" s="484"/>
      <c r="AA142" s="484"/>
      <c r="AB142" s="484"/>
      <c r="AC142" s="484"/>
      <c r="AD142" s="484"/>
      <c r="AE142" s="484"/>
      <c r="AF142" s="484"/>
      <c r="AG142" s="484"/>
      <c r="AH142" s="484"/>
      <c r="AI142" s="484"/>
      <c r="AJ142" s="484"/>
      <c r="AK142" s="484"/>
    </row>
    <row r="143" spans="2:37" s="64" customFormat="1" x14ac:dyDescent="0.35">
      <c r="B143" s="30"/>
      <c r="C143" s="30"/>
      <c r="D143" s="30"/>
      <c r="E143" s="30"/>
      <c r="F143" s="258"/>
      <c r="G143" s="30"/>
      <c r="H143" s="482"/>
      <c r="I143" s="482"/>
      <c r="J143" s="482"/>
      <c r="K143" s="482"/>
      <c r="L143" s="483"/>
      <c r="M143" s="484"/>
      <c r="N143" s="484"/>
      <c r="O143" s="484"/>
      <c r="P143" s="484"/>
      <c r="Q143" s="484"/>
      <c r="R143" s="484"/>
      <c r="S143" s="484"/>
      <c r="T143" s="484"/>
      <c r="U143" s="484"/>
      <c r="V143" s="484"/>
      <c r="W143" s="484"/>
      <c r="X143" s="484"/>
      <c r="Y143" s="484"/>
      <c r="Z143" s="484"/>
      <c r="AA143" s="484"/>
      <c r="AB143" s="484"/>
      <c r="AC143" s="484"/>
      <c r="AD143" s="484"/>
      <c r="AE143" s="484"/>
      <c r="AF143" s="484"/>
      <c r="AG143" s="484"/>
      <c r="AH143" s="484"/>
      <c r="AI143" s="484"/>
      <c r="AJ143" s="484"/>
      <c r="AK143" s="484"/>
    </row>
    <row r="144" spans="2:37" s="64" customFormat="1" x14ac:dyDescent="0.35">
      <c r="B144" s="30"/>
      <c r="C144" s="30"/>
      <c r="D144" s="30"/>
      <c r="E144" s="30"/>
      <c r="F144" s="258"/>
      <c r="H144" s="487"/>
      <c r="I144" s="487"/>
      <c r="J144" s="487"/>
      <c r="K144" s="487"/>
      <c r="L144" s="483"/>
      <c r="M144" s="484"/>
      <c r="N144" s="484"/>
      <c r="O144" s="484"/>
      <c r="P144" s="484"/>
      <c r="Q144" s="484"/>
      <c r="R144" s="484"/>
      <c r="S144" s="484"/>
      <c r="T144" s="484"/>
      <c r="U144" s="484"/>
      <c r="V144" s="484"/>
      <c r="W144" s="484"/>
      <c r="X144" s="484"/>
      <c r="Y144" s="484"/>
      <c r="Z144" s="484"/>
      <c r="AA144" s="484"/>
      <c r="AB144" s="484"/>
      <c r="AC144" s="484"/>
      <c r="AD144" s="484"/>
      <c r="AE144" s="484"/>
      <c r="AF144" s="484"/>
      <c r="AG144" s="484"/>
      <c r="AH144" s="484"/>
      <c r="AI144" s="484"/>
      <c r="AJ144" s="484"/>
      <c r="AK144" s="484"/>
    </row>
    <row r="145" spans="2:37" s="64" customFormat="1" x14ac:dyDescent="0.35">
      <c r="B145" s="30"/>
      <c r="C145" s="30"/>
      <c r="D145" s="30"/>
      <c r="E145" s="30"/>
      <c r="F145" s="258"/>
      <c r="G145" s="30"/>
      <c r="H145" s="482"/>
      <c r="I145" s="482"/>
      <c r="J145" s="482"/>
      <c r="K145" s="482"/>
      <c r="L145" s="483"/>
      <c r="M145" s="484"/>
      <c r="N145" s="484"/>
      <c r="O145" s="484"/>
      <c r="P145" s="484"/>
      <c r="Q145" s="484"/>
      <c r="R145" s="484"/>
      <c r="S145" s="484"/>
      <c r="T145" s="484"/>
      <c r="U145" s="484"/>
      <c r="V145" s="484"/>
      <c r="W145" s="484"/>
      <c r="X145" s="484"/>
      <c r="Y145" s="484"/>
      <c r="Z145" s="484"/>
      <c r="AA145" s="484"/>
      <c r="AB145" s="484"/>
      <c r="AC145" s="484"/>
      <c r="AD145" s="484"/>
      <c r="AE145" s="484"/>
      <c r="AF145" s="484"/>
      <c r="AG145" s="484"/>
      <c r="AH145" s="484"/>
      <c r="AI145" s="484"/>
      <c r="AJ145" s="484"/>
      <c r="AK145" s="484"/>
    </row>
    <row r="146" spans="2:37" s="64" customFormat="1" x14ac:dyDescent="0.35">
      <c r="B146" s="30"/>
      <c r="C146" s="30"/>
      <c r="D146" s="30"/>
      <c r="E146" s="30"/>
      <c r="F146" s="258"/>
      <c r="H146" s="487"/>
      <c r="I146" s="487"/>
      <c r="J146" s="487"/>
      <c r="K146" s="487"/>
      <c r="L146" s="483"/>
      <c r="M146" s="484"/>
      <c r="N146" s="484"/>
      <c r="O146" s="484"/>
      <c r="P146" s="484"/>
      <c r="Q146" s="484"/>
      <c r="R146" s="484"/>
      <c r="S146" s="484"/>
      <c r="T146" s="484"/>
      <c r="U146" s="484"/>
      <c r="V146" s="484"/>
      <c r="W146" s="484"/>
      <c r="X146" s="484"/>
      <c r="Y146" s="484"/>
      <c r="Z146" s="484"/>
      <c r="AA146" s="484"/>
      <c r="AB146" s="484"/>
      <c r="AC146" s="484"/>
      <c r="AD146" s="484"/>
      <c r="AE146" s="484"/>
      <c r="AF146" s="484"/>
      <c r="AG146" s="484"/>
      <c r="AH146" s="484"/>
      <c r="AI146" s="484"/>
      <c r="AJ146" s="484"/>
      <c r="AK146" s="484"/>
    </row>
    <row r="147" spans="2:37" s="64" customFormat="1" x14ac:dyDescent="0.35">
      <c r="B147" s="30"/>
      <c r="C147" s="30"/>
      <c r="D147" s="30"/>
      <c r="E147" s="30"/>
      <c r="F147" s="258"/>
      <c r="G147" s="30"/>
      <c r="H147" s="482"/>
      <c r="I147" s="482"/>
      <c r="J147" s="482"/>
      <c r="K147" s="482"/>
      <c r="L147" s="483"/>
      <c r="M147" s="484"/>
      <c r="N147" s="484"/>
      <c r="O147" s="484"/>
      <c r="P147" s="484"/>
      <c r="Q147" s="484"/>
      <c r="R147" s="484"/>
      <c r="S147" s="484"/>
      <c r="T147" s="484"/>
      <c r="U147" s="484"/>
      <c r="V147" s="484"/>
      <c r="W147" s="484"/>
      <c r="X147" s="484"/>
      <c r="Y147" s="484"/>
      <c r="Z147" s="484"/>
      <c r="AA147" s="484"/>
      <c r="AB147" s="484"/>
      <c r="AC147" s="484"/>
      <c r="AD147" s="484"/>
      <c r="AE147" s="484"/>
      <c r="AF147" s="484"/>
      <c r="AG147" s="484"/>
      <c r="AH147" s="484"/>
      <c r="AI147" s="484"/>
      <c r="AJ147" s="484"/>
      <c r="AK147" s="484"/>
    </row>
    <row r="148" spans="2:37" s="64" customFormat="1" x14ac:dyDescent="0.35">
      <c r="B148" s="30"/>
      <c r="C148" s="30"/>
      <c r="D148" s="30"/>
      <c r="E148" s="30"/>
      <c r="F148" s="258"/>
      <c r="H148" s="487"/>
      <c r="I148" s="487"/>
      <c r="J148" s="487"/>
      <c r="K148" s="487"/>
      <c r="L148" s="483"/>
      <c r="M148" s="484"/>
      <c r="N148" s="484"/>
      <c r="O148" s="484"/>
      <c r="P148" s="484"/>
      <c r="Q148" s="484"/>
      <c r="R148" s="484"/>
      <c r="S148" s="484"/>
      <c r="T148" s="484"/>
      <c r="U148" s="484"/>
      <c r="V148" s="484"/>
      <c r="W148" s="484"/>
      <c r="X148" s="484"/>
      <c r="Y148" s="484"/>
      <c r="Z148" s="484"/>
      <c r="AA148" s="484"/>
      <c r="AB148" s="484"/>
      <c r="AC148" s="484"/>
      <c r="AD148" s="484"/>
      <c r="AE148" s="484"/>
      <c r="AF148" s="484"/>
      <c r="AG148" s="484"/>
      <c r="AH148" s="484"/>
      <c r="AI148" s="484"/>
      <c r="AJ148" s="484"/>
      <c r="AK148" s="484"/>
    </row>
    <row r="149" spans="2:37" s="64" customFormat="1" x14ac:dyDescent="0.35">
      <c r="B149" s="30"/>
      <c r="C149" s="30"/>
      <c r="D149" s="30"/>
      <c r="E149" s="30"/>
      <c r="F149" s="258"/>
      <c r="G149" s="30"/>
      <c r="H149" s="482"/>
      <c r="I149" s="482"/>
      <c r="J149" s="482"/>
      <c r="K149" s="482"/>
      <c r="L149" s="483"/>
      <c r="M149" s="484"/>
      <c r="N149" s="484"/>
      <c r="O149" s="484"/>
      <c r="P149" s="484"/>
      <c r="Q149" s="484"/>
      <c r="R149" s="484"/>
      <c r="S149" s="484"/>
      <c r="T149" s="484"/>
      <c r="U149" s="484"/>
      <c r="V149" s="484"/>
      <c r="W149" s="484"/>
      <c r="X149" s="484"/>
      <c r="Y149" s="484"/>
      <c r="Z149" s="484"/>
      <c r="AA149" s="484"/>
      <c r="AB149" s="484"/>
      <c r="AC149" s="484"/>
      <c r="AD149" s="484"/>
      <c r="AE149" s="484"/>
      <c r="AF149" s="484"/>
      <c r="AG149" s="484"/>
      <c r="AH149" s="484"/>
      <c r="AI149" s="484"/>
      <c r="AJ149" s="484"/>
      <c r="AK149" s="484"/>
    </row>
    <row r="150" spans="2:37" s="64" customFormat="1" x14ac:dyDescent="0.35">
      <c r="B150" s="30"/>
      <c r="C150" s="30"/>
      <c r="D150" s="30"/>
      <c r="E150" s="30"/>
      <c r="F150" s="258"/>
      <c r="H150" s="487"/>
      <c r="I150" s="487"/>
      <c r="J150" s="487"/>
      <c r="K150" s="487"/>
      <c r="L150" s="483"/>
      <c r="M150" s="484"/>
      <c r="N150" s="484"/>
      <c r="O150" s="484"/>
      <c r="P150" s="484"/>
      <c r="Q150" s="484"/>
      <c r="R150" s="484"/>
      <c r="S150" s="484"/>
      <c r="T150" s="484"/>
      <c r="U150" s="484"/>
      <c r="V150" s="484"/>
      <c r="W150" s="484"/>
      <c r="X150" s="484"/>
      <c r="Y150" s="484"/>
      <c r="Z150" s="484"/>
      <c r="AA150" s="484"/>
      <c r="AB150" s="484"/>
      <c r="AC150" s="484"/>
      <c r="AD150" s="484"/>
      <c r="AE150" s="484"/>
      <c r="AF150" s="484"/>
      <c r="AG150" s="484"/>
      <c r="AH150" s="484"/>
      <c r="AI150" s="484"/>
      <c r="AJ150" s="484"/>
      <c r="AK150" s="484"/>
    </row>
    <row r="151" spans="2:37" s="64" customFormat="1" x14ac:dyDescent="0.35">
      <c r="B151" s="30"/>
      <c r="C151" s="30"/>
      <c r="D151" s="30"/>
      <c r="E151" s="30"/>
      <c r="F151" s="258"/>
      <c r="G151" s="30"/>
      <c r="H151" s="482"/>
      <c r="I151" s="482"/>
      <c r="J151" s="482"/>
      <c r="K151" s="482"/>
      <c r="L151" s="483"/>
      <c r="M151" s="484"/>
      <c r="N151" s="484"/>
      <c r="O151" s="484"/>
      <c r="P151" s="484"/>
      <c r="Q151" s="484"/>
      <c r="R151" s="484"/>
      <c r="S151" s="484"/>
      <c r="T151" s="484"/>
      <c r="U151" s="484"/>
      <c r="V151" s="484"/>
      <c r="W151" s="484"/>
      <c r="X151" s="484"/>
      <c r="Y151" s="484"/>
      <c r="Z151" s="484"/>
      <c r="AA151" s="484"/>
      <c r="AB151" s="484"/>
      <c r="AC151" s="484"/>
      <c r="AD151" s="484"/>
      <c r="AE151" s="484"/>
      <c r="AF151" s="484"/>
      <c r="AG151" s="484"/>
      <c r="AH151" s="484"/>
      <c r="AI151" s="484"/>
      <c r="AJ151" s="484"/>
      <c r="AK151" s="484"/>
    </row>
    <row r="152" spans="2:37" s="64" customFormat="1" x14ac:dyDescent="0.35">
      <c r="B152" s="30"/>
      <c r="C152" s="30"/>
      <c r="D152" s="30"/>
      <c r="E152" s="30"/>
      <c r="F152" s="258"/>
      <c r="H152" s="487"/>
      <c r="I152" s="487"/>
      <c r="J152" s="487"/>
      <c r="K152" s="487"/>
      <c r="L152" s="483"/>
      <c r="M152" s="484"/>
      <c r="N152" s="484"/>
      <c r="O152" s="484"/>
      <c r="P152" s="484"/>
      <c r="Q152" s="484"/>
      <c r="R152" s="484"/>
      <c r="S152" s="484"/>
      <c r="T152" s="484"/>
      <c r="U152" s="484"/>
      <c r="V152" s="484"/>
      <c r="W152" s="484"/>
      <c r="X152" s="484"/>
      <c r="Y152" s="484"/>
      <c r="Z152" s="484"/>
      <c r="AA152" s="484"/>
      <c r="AB152" s="484"/>
      <c r="AC152" s="484"/>
      <c r="AD152" s="484"/>
      <c r="AE152" s="484"/>
      <c r="AF152" s="484"/>
      <c r="AG152" s="484"/>
      <c r="AH152" s="484"/>
      <c r="AI152" s="484"/>
      <c r="AJ152" s="484"/>
      <c r="AK152" s="484"/>
    </row>
    <row r="153" spans="2:37" s="64" customFormat="1" x14ac:dyDescent="0.35">
      <c r="B153" s="30"/>
      <c r="C153" s="30"/>
      <c r="D153" s="30"/>
      <c r="E153" s="30"/>
      <c r="F153" s="258"/>
      <c r="G153" s="30"/>
      <c r="H153" s="482"/>
      <c r="I153" s="482"/>
      <c r="J153" s="482"/>
      <c r="K153" s="482"/>
      <c r="L153" s="483"/>
      <c r="M153" s="484"/>
      <c r="N153" s="484"/>
      <c r="O153" s="484"/>
      <c r="P153" s="484"/>
      <c r="Q153" s="484"/>
      <c r="R153" s="484"/>
      <c r="S153" s="484"/>
      <c r="T153" s="484"/>
      <c r="U153" s="484"/>
      <c r="V153" s="484"/>
      <c r="W153" s="484"/>
      <c r="X153" s="484"/>
      <c r="Y153" s="484"/>
      <c r="Z153" s="484"/>
      <c r="AA153" s="484"/>
      <c r="AB153" s="484"/>
      <c r="AC153" s="484"/>
      <c r="AD153" s="484"/>
      <c r="AE153" s="484"/>
      <c r="AF153" s="484"/>
      <c r="AG153" s="484"/>
      <c r="AH153" s="484"/>
      <c r="AI153" s="484"/>
      <c r="AJ153" s="484"/>
      <c r="AK153" s="484"/>
    </row>
    <row r="154" spans="2:37" s="64" customFormat="1" x14ac:dyDescent="0.35">
      <c r="B154" s="30"/>
      <c r="C154" s="30"/>
      <c r="D154" s="30"/>
      <c r="E154" s="30"/>
      <c r="F154" s="258"/>
      <c r="H154" s="487"/>
      <c r="I154" s="487"/>
      <c r="J154" s="487"/>
      <c r="K154" s="487"/>
      <c r="L154" s="483"/>
      <c r="M154" s="484"/>
      <c r="N154" s="484"/>
      <c r="O154" s="484"/>
      <c r="P154" s="484"/>
      <c r="Q154" s="484"/>
      <c r="R154" s="484"/>
      <c r="S154" s="484"/>
      <c r="T154" s="484"/>
      <c r="U154" s="484"/>
      <c r="V154" s="484"/>
      <c r="W154" s="484"/>
      <c r="X154" s="484"/>
      <c r="Y154" s="484"/>
      <c r="Z154" s="484"/>
      <c r="AA154" s="484"/>
      <c r="AB154" s="484"/>
      <c r="AC154" s="484"/>
      <c r="AD154" s="484"/>
      <c r="AE154" s="484"/>
      <c r="AF154" s="484"/>
      <c r="AG154" s="484"/>
      <c r="AH154" s="484"/>
      <c r="AI154" s="484"/>
      <c r="AJ154" s="484"/>
      <c r="AK154" s="484"/>
    </row>
    <row r="155" spans="2:37" s="64" customFormat="1" x14ac:dyDescent="0.35">
      <c r="B155" s="30"/>
      <c r="C155" s="30"/>
      <c r="D155" s="30"/>
      <c r="E155" s="30"/>
      <c r="F155" s="258"/>
      <c r="G155" s="30"/>
      <c r="H155" s="482"/>
      <c r="I155" s="482"/>
      <c r="J155" s="482"/>
      <c r="K155" s="482"/>
      <c r="L155" s="483"/>
      <c r="M155" s="484"/>
      <c r="N155" s="484"/>
      <c r="O155" s="484"/>
      <c r="P155" s="484"/>
      <c r="Q155" s="484"/>
      <c r="R155" s="484"/>
      <c r="S155" s="484"/>
      <c r="T155" s="484"/>
      <c r="U155" s="484"/>
      <c r="V155" s="484"/>
      <c r="W155" s="484"/>
      <c r="X155" s="484"/>
      <c r="Y155" s="484"/>
      <c r="Z155" s="484"/>
      <c r="AA155" s="484"/>
      <c r="AB155" s="484"/>
      <c r="AC155" s="484"/>
      <c r="AD155" s="484"/>
      <c r="AE155" s="484"/>
      <c r="AF155" s="484"/>
      <c r="AG155" s="484"/>
      <c r="AH155" s="484"/>
      <c r="AI155" s="484"/>
      <c r="AJ155" s="484"/>
      <c r="AK155" s="484"/>
    </row>
    <row r="156" spans="2:37" s="64" customFormat="1" x14ac:dyDescent="0.35">
      <c r="B156" s="30"/>
      <c r="C156" s="30"/>
      <c r="D156" s="30"/>
      <c r="E156" s="30"/>
      <c r="F156" s="258"/>
      <c r="H156" s="487"/>
      <c r="I156" s="487"/>
      <c r="J156" s="487"/>
      <c r="K156" s="487"/>
      <c r="L156" s="483"/>
      <c r="M156" s="484"/>
      <c r="N156" s="484"/>
      <c r="O156" s="484"/>
      <c r="P156" s="484"/>
      <c r="Q156" s="484"/>
      <c r="R156" s="484"/>
      <c r="S156" s="484"/>
      <c r="T156" s="484"/>
      <c r="U156" s="484"/>
      <c r="V156" s="484"/>
      <c r="W156" s="484"/>
      <c r="X156" s="484"/>
      <c r="Y156" s="484"/>
      <c r="Z156" s="484"/>
      <c r="AA156" s="484"/>
      <c r="AB156" s="484"/>
      <c r="AC156" s="484"/>
      <c r="AD156" s="484"/>
      <c r="AE156" s="484"/>
      <c r="AF156" s="484"/>
      <c r="AG156" s="484"/>
      <c r="AH156" s="484"/>
      <c r="AI156" s="484"/>
      <c r="AJ156" s="484"/>
      <c r="AK156" s="484"/>
    </row>
    <row r="157" spans="2:37" s="64" customFormat="1" x14ac:dyDescent="0.35">
      <c r="B157" s="30"/>
      <c r="C157" s="30"/>
      <c r="D157" s="30"/>
      <c r="E157" s="30"/>
      <c r="F157" s="258"/>
      <c r="G157" s="30"/>
      <c r="H157" s="482"/>
      <c r="I157" s="482"/>
      <c r="J157" s="482"/>
      <c r="K157" s="482"/>
      <c r="L157" s="483"/>
      <c r="M157" s="484"/>
      <c r="N157" s="484"/>
      <c r="O157" s="484"/>
      <c r="P157" s="484"/>
      <c r="Q157" s="484"/>
      <c r="R157" s="484"/>
      <c r="S157" s="484"/>
      <c r="T157" s="484"/>
      <c r="U157" s="484"/>
      <c r="V157" s="484"/>
      <c r="W157" s="484"/>
      <c r="X157" s="484"/>
      <c r="Y157" s="484"/>
      <c r="Z157" s="484"/>
      <c r="AA157" s="484"/>
      <c r="AB157" s="484"/>
      <c r="AC157" s="484"/>
      <c r="AD157" s="484"/>
      <c r="AE157" s="484"/>
      <c r="AF157" s="484"/>
      <c r="AG157" s="484"/>
      <c r="AH157" s="484"/>
      <c r="AI157" s="484"/>
      <c r="AJ157" s="484"/>
      <c r="AK157" s="484"/>
    </row>
    <row r="158" spans="2:37" s="64" customFormat="1" x14ac:dyDescent="0.35">
      <c r="B158" s="30"/>
      <c r="C158" s="30"/>
      <c r="D158" s="30"/>
      <c r="E158" s="30"/>
      <c r="F158" s="258"/>
      <c r="H158" s="487"/>
      <c r="I158" s="487"/>
      <c r="J158" s="487"/>
      <c r="K158" s="487"/>
      <c r="L158" s="483"/>
      <c r="M158" s="484"/>
      <c r="N158" s="484"/>
      <c r="O158" s="484"/>
      <c r="P158" s="484"/>
      <c r="Q158" s="484"/>
      <c r="R158" s="484"/>
      <c r="S158" s="484"/>
      <c r="T158" s="484"/>
      <c r="U158" s="484"/>
      <c r="V158" s="484"/>
      <c r="W158" s="484"/>
      <c r="X158" s="484"/>
      <c r="Y158" s="484"/>
      <c r="Z158" s="484"/>
      <c r="AA158" s="484"/>
      <c r="AB158" s="484"/>
      <c r="AC158" s="484"/>
      <c r="AD158" s="484"/>
      <c r="AE158" s="484"/>
      <c r="AF158" s="484"/>
      <c r="AG158" s="484"/>
      <c r="AH158" s="484"/>
      <c r="AI158" s="484"/>
      <c r="AJ158" s="484"/>
      <c r="AK158" s="484"/>
    </row>
    <row r="159" spans="2:37" s="64" customFormat="1" x14ac:dyDescent="0.35">
      <c r="B159" s="30"/>
      <c r="C159" s="30"/>
      <c r="D159" s="30"/>
      <c r="E159" s="30"/>
      <c r="F159" s="258"/>
      <c r="G159" s="30"/>
      <c r="H159" s="482"/>
      <c r="I159" s="482"/>
      <c r="J159" s="482"/>
      <c r="K159" s="482"/>
      <c r="L159" s="483"/>
      <c r="M159" s="484"/>
      <c r="N159" s="484"/>
      <c r="O159" s="484"/>
      <c r="P159" s="484"/>
      <c r="Q159" s="484"/>
      <c r="R159" s="484"/>
      <c r="S159" s="484"/>
      <c r="T159" s="484"/>
      <c r="U159" s="484"/>
      <c r="V159" s="484"/>
      <c r="W159" s="484"/>
      <c r="X159" s="484"/>
      <c r="Y159" s="484"/>
      <c r="Z159" s="484"/>
      <c r="AA159" s="484"/>
      <c r="AB159" s="484"/>
      <c r="AC159" s="484"/>
      <c r="AD159" s="484"/>
      <c r="AE159" s="484"/>
      <c r="AF159" s="484"/>
      <c r="AG159" s="484"/>
      <c r="AH159" s="484"/>
      <c r="AI159" s="484"/>
      <c r="AJ159" s="484"/>
      <c r="AK159" s="484"/>
    </row>
    <row r="160" spans="2:37" s="64" customFormat="1" x14ac:dyDescent="0.35">
      <c r="B160" s="30"/>
      <c r="C160" s="30"/>
      <c r="D160" s="30"/>
      <c r="E160" s="30"/>
      <c r="F160" s="258"/>
      <c r="H160" s="487"/>
      <c r="I160" s="487"/>
      <c r="J160" s="487"/>
      <c r="K160" s="487"/>
      <c r="L160" s="483"/>
      <c r="M160" s="484"/>
      <c r="N160" s="484"/>
      <c r="O160" s="484"/>
      <c r="P160" s="484"/>
      <c r="Q160" s="484"/>
      <c r="R160" s="484"/>
      <c r="S160" s="484"/>
      <c r="T160" s="484"/>
      <c r="U160" s="484"/>
      <c r="V160" s="484"/>
      <c r="W160" s="484"/>
      <c r="X160" s="484"/>
      <c r="Y160" s="484"/>
      <c r="Z160" s="484"/>
      <c r="AA160" s="484"/>
      <c r="AB160" s="484"/>
      <c r="AC160" s="484"/>
      <c r="AD160" s="484"/>
      <c r="AE160" s="484"/>
      <c r="AF160" s="484"/>
      <c r="AG160" s="484"/>
      <c r="AH160" s="484"/>
      <c r="AI160" s="484"/>
      <c r="AJ160" s="484"/>
      <c r="AK160" s="484"/>
    </row>
    <row r="161" spans="2:37" s="64" customFormat="1" x14ac:dyDescent="0.35">
      <c r="B161" s="30"/>
      <c r="C161" s="30"/>
      <c r="D161" s="30"/>
      <c r="E161" s="30"/>
      <c r="F161" s="258"/>
      <c r="G161" s="30"/>
      <c r="H161" s="482"/>
      <c r="I161" s="482"/>
      <c r="J161" s="482"/>
      <c r="K161" s="482"/>
      <c r="L161" s="483"/>
      <c r="M161" s="484"/>
      <c r="N161" s="484"/>
      <c r="O161" s="484"/>
      <c r="P161" s="484"/>
      <c r="Q161" s="484"/>
      <c r="R161" s="484"/>
      <c r="S161" s="484"/>
      <c r="T161" s="484"/>
      <c r="U161" s="484"/>
      <c r="V161" s="484"/>
      <c r="W161" s="484"/>
      <c r="X161" s="484"/>
      <c r="Y161" s="484"/>
      <c r="Z161" s="484"/>
      <c r="AA161" s="484"/>
      <c r="AB161" s="484"/>
      <c r="AC161" s="484"/>
      <c r="AD161" s="484"/>
      <c r="AE161" s="484"/>
      <c r="AF161" s="484"/>
      <c r="AG161" s="484"/>
      <c r="AH161" s="484"/>
      <c r="AI161" s="484"/>
      <c r="AJ161" s="484"/>
      <c r="AK161" s="484"/>
    </row>
    <row r="162" spans="2:37" s="64" customFormat="1" x14ac:dyDescent="0.35">
      <c r="B162" s="30"/>
      <c r="C162" s="30"/>
      <c r="D162" s="30"/>
      <c r="E162" s="30"/>
      <c r="F162" s="258"/>
      <c r="H162" s="487"/>
      <c r="I162" s="487"/>
      <c r="J162" s="487"/>
      <c r="K162" s="487"/>
      <c r="L162" s="483"/>
      <c r="M162" s="484"/>
      <c r="N162" s="484"/>
      <c r="O162" s="484"/>
      <c r="P162" s="484"/>
      <c r="Q162" s="484"/>
      <c r="R162" s="484"/>
      <c r="S162" s="484"/>
      <c r="T162" s="484"/>
      <c r="U162" s="484"/>
      <c r="V162" s="484"/>
      <c r="W162" s="484"/>
      <c r="X162" s="484"/>
      <c r="Y162" s="484"/>
      <c r="Z162" s="484"/>
      <c r="AA162" s="484"/>
      <c r="AB162" s="484"/>
      <c r="AC162" s="484"/>
      <c r="AD162" s="484"/>
      <c r="AE162" s="484"/>
      <c r="AF162" s="484"/>
      <c r="AG162" s="484"/>
      <c r="AH162" s="484"/>
      <c r="AI162" s="484"/>
      <c r="AJ162" s="484"/>
      <c r="AK162" s="484"/>
    </row>
    <row r="163" spans="2:37" s="64" customFormat="1" x14ac:dyDescent="0.35">
      <c r="B163" s="30"/>
      <c r="C163" s="30"/>
      <c r="D163" s="30"/>
      <c r="E163" s="30"/>
      <c r="F163" s="258"/>
      <c r="G163" s="30"/>
      <c r="H163" s="482"/>
      <c r="I163" s="482"/>
      <c r="J163" s="482"/>
      <c r="K163" s="482"/>
      <c r="L163" s="483"/>
      <c r="M163" s="484"/>
      <c r="N163" s="484"/>
      <c r="O163" s="484"/>
      <c r="P163" s="484"/>
      <c r="Q163" s="484"/>
      <c r="R163" s="484"/>
      <c r="S163" s="484"/>
      <c r="T163" s="484"/>
      <c r="U163" s="484"/>
      <c r="V163" s="484"/>
      <c r="W163" s="484"/>
      <c r="X163" s="484"/>
      <c r="Y163" s="484"/>
      <c r="Z163" s="484"/>
      <c r="AA163" s="484"/>
      <c r="AB163" s="484"/>
      <c r="AC163" s="484"/>
      <c r="AD163" s="484"/>
      <c r="AE163" s="484"/>
      <c r="AF163" s="484"/>
      <c r="AG163" s="484"/>
      <c r="AH163" s="484"/>
      <c r="AI163" s="484"/>
      <c r="AJ163" s="484"/>
      <c r="AK163" s="484"/>
    </row>
    <row r="164" spans="2:37" s="64" customFormat="1" x14ac:dyDescent="0.35">
      <c r="B164" s="30"/>
      <c r="C164" s="30"/>
      <c r="D164" s="30"/>
      <c r="E164" s="30"/>
      <c r="F164" s="258"/>
      <c r="H164" s="487"/>
      <c r="I164" s="487"/>
      <c r="J164" s="487"/>
      <c r="K164" s="487"/>
      <c r="L164" s="483"/>
      <c r="M164" s="484"/>
      <c r="N164" s="484"/>
      <c r="O164" s="484"/>
      <c r="P164" s="484"/>
      <c r="Q164" s="484"/>
      <c r="R164" s="484"/>
      <c r="S164" s="484"/>
      <c r="T164" s="484"/>
      <c r="U164" s="484"/>
      <c r="V164" s="484"/>
      <c r="W164" s="484"/>
      <c r="X164" s="484"/>
      <c r="Y164" s="484"/>
      <c r="Z164" s="484"/>
      <c r="AA164" s="484"/>
      <c r="AB164" s="484"/>
      <c r="AC164" s="484"/>
      <c r="AD164" s="484"/>
      <c r="AE164" s="484"/>
      <c r="AF164" s="484"/>
      <c r="AG164" s="484"/>
      <c r="AH164" s="484"/>
      <c r="AI164" s="484"/>
      <c r="AJ164" s="484"/>
      <c r="AK164" s="484"/>
    </row>
    <row r="165" spans="2:37" s="64" customFormat="1" x14ac:dyDescent="0.35">
      <c r="B165" s="30"/>
      <c r="C165" s="30"/>
      <c r="D165" s="30"/>
      <c r="E165" s="30"/>
      <c r="F165" s="258"/>
      <c r="G165" s="30"/>
      <c r="H165" s="482"/>
      <c r="I165" s="482"/>
      <c r="J165" s="482"/>
      <c r="K165" s="482"/>
      <c r="L165" s="483"/>
      <c r="M165" s="484"/>
      <c r="N165" s="484"/>
      <c r="O165" s="484"/>
      <c r="P165" s="484"/>
      <c r="Q165" s="484"/>
      <c r="R165" s="484"/>
      <c r="S165" s="484"/>
      <c r="T165" s="484"/>
      <c r="U165" s="484"/>
      <c r="V165" s="484"/>
      <c r="W165" s="484"/>
      <c r="X165" s="484"/>
      <c r="Y165" s="484"/>
      <c r="Z165" s="484"/>
      <c r="AA165" s="484"/>
      <c r="AB165" s="484"/>
      <c r="AC165" s="484"/>
      <c r="AD165" s="484"/>
      <c r="AE165" s="484"/>
      <c r="AF165" s="484"/>
      <c r="AG165" s="484"/>
      <c r="AH165" s="484"/>
      <c r="AI165" s="484"/>
      <c r="AJ165" s="484"/>
      <c r="AK165" s="484"/>
    </row>
    <row r="166" spans="2:37" s="64" customFormat="1" x14ac:dyDescent="0.35">
      <c r="B166" s="30"/>
      <c r="C166" s="30"/>
      <c r="D166" s="30"/>
      <c r="E166" s="30"/>
      <c r="F166" s="258"/>
      <c r="H166" s="487"/>
      <c r="I166" s="487"/>
      <c r="J166" s="487"/>
      <c r="K166" s="487"/>
      <c r="L166" s="483"/>
      <c r="M166" s="484"/>
      <c r="N166" s="484"/>
      <c r="O166" s="484"/>
      <c r="P166" s="484"/>
      <c r="Q166" s="484"/>
      <c r="R166" s="484"/>
      <c r="S166" s="484"/>
      <c r="T166" s="484"/>
      <c r="U166" s="484"/>
      <c r="V166" s="484"/>
      <c r="W166" s="484"/>
      <c r="X166" s="484"/>
      <c r="Y166" s="484"/>
      <c r="Z166" s="484"/>
      <c r="AA166" s="484"/>
      <c r="AB166" s="484"/>
      <c r="AC166" s="484"/>
      <c r="AD166" s="484"/>
      <c r="AE166" s="484"/>
      <c r="AF166" s="484"/>
      <c r="AG166" s="484"/>
      <c r="AH166" s="484"/>
      <c r="AI166" s="484"/>
      <c r="AJ166" s="484"/>
      <c r="AK166" s="484"/>
    </row>
    <row r="167" spans="2:37" s="64" customFormat="1" x14ac:dyDescent="0.35">
      <c r="B167" s="30"/>
      <c r="C167" s="30"/>
      <c r="D167" s="30"/>
      <c r="E167" s="30"/>
      <c r="F167" s="258"/>
      <c r="G167" s="30"/>
      <c r="H167" s="482"/>
      <c r="I167" s="482"/>
      <c r="J167" s="482"/>
      <c r="K167" s="482"/>
      <c r="L167" s="483"/>
      <c r="M167" s="484"/>
      <c r="N167" s="484"/>
      <c r="O167" s="484"/>
      <c r="P167" s="484"/>
      <c r="Q167" s="484"/>
      <c r="R167" s="484"/>
      <c r="S167" s="484"/>
      <c r="T167" s="484"/>
      <c r="U167" s="484"/>
      <c r="V167" s="484"/>
      <c r="W167" s="484"/>
      <c r="X167" s="484"/>
      <c r="Y167" s="484"/>
      <c r="Z167" s="484"/>
      <c r="AA167" s="484"/>
      <c r="AB167" s="484"/>
      <c r="AC167" s="484"/>
      <c r="AD167" s="484"/>
      <c r="AE167" s="484"/>
      <c r="AF167" s="484"/>
      <c r="AG167" s="484"/>
      <c r="AH167" s="484"/>
      <c r="AI167" s="484"/>
      <c r="AJ167" s="484"/>
      <c r="AK167" s="484"/>
    </row>
    <row r="168" spans="2:37" s="64" customFormat="1" x14ac:dyDescent="0.35">
      <c r="B168" s="30"/>
      <c r="C168" s="30"/>
      <c r="D168" s="30"/>
      <c r="E168" s="30"/>
      <c r="F168" s="258"/>
      <c r="H168" s="487"/>
      <c r="I168" s="487"/>
      <c r="J168" s="487"/>
      <c r="K168" s="487"/>
      <c r="L168" s="483"/>
      <c r="M168" s="484"/>
      <c r="N168" s="484"/>
      <c r="O168" s="484"/>
      <c r="P168" s="484"/>
      <c r="Q168" s="484"/>
      <c r="R168" s="484"/>
      <c r="S168" s="484"/>
      <c r="T168" s="484"/>
      <c r="U168" s="484"/>
      <c r="V168" s="484"/>
      <c r="W168" s="484"/>
      <c r="X168" s="484"/>
      <c r="Y168" s="484"/>
      <c r="Z168" s="484"/>
      <c r="AA168" s="484"/>
      <c r="AB168" s="484"/>
      <c r="AC168" s="484"/>
      <c r="AD168" s="484"/>
      <c r="AE168" s="484"/>
      <c r="AF168" s="484"/>
      <c r="AG168" s="484"/>
      <c r="AH168" s="484"/>
      <c r="AI168" s="484"/>
      <c r="AJ168" s="484"/>
      <c r="AK168" s="484"/>
    </row>
    <row r="169" spans="2:37" s="64" customFormat="1" x14ac:dyDescent="0.35">
      <c r="B169" s="30"/>
      <c r="C169" s="30"/>
      <c r="D169" s="30"/>
      <c r="E169" s="30"/>
      <c r="F169" s="258"/>
      <c r="G169" s="30"/>
      <c r="H169" s="482"/>
      <c r="I169" s="482"/>
      <c r="J169" s="482"/>
      <c r="K169" s="482"/>
      <c r="L169" s="483"/>
      <c r="M169" s="484"/>
      <c r="N169" s="484"/>
      <c r="O169" s="484"/>
      <c r="P169" s="484"/>
      <c r="Q169" s="484"/>
      <c r="R169" s="484"/>
      <c r="S169" s="484"/>
      <c r="T169" s="484"/>
      <c r="U169" s="484"/>
      <c r="V169" s="484"/>
      <c r="W169" s="484"/>
      <c r="X169" s="484"/>
      <c r="Y169" s="484"/>
      <c r="Z169" s="484"/>
      <c r="AA169" s="484"/>
      <c r="AB169" s="484"/>
      <c r="AC169" s="484"/>
      <c r="AD169" s="484"/>
      <c r="AE169" s="484"/>
      <c r="AF169" s="484"/>
      <c r="AG169" s="484"/>
      <c r="AH169" s="484"/>
      <c r="AI169" s="484"/>
      <c r="AJ169" s="484"/>
      <c r="AK169" s="484"/>
    </row>
    <row r="170" spans="2:37" s="64" customFormat="1" x14ac:dyDescent="0.35">
      <c r="B170" s="30"/>
      <c r="C170" s="30"/>
      <c r="D170" s="30"/>
      <c r="E170" s="30"/>
      <c r="F170" s="258"/>
      <c r="H170" s="487"/>
      <c r="I170" s="487"/>
      <c r="J170" s="487"/>
      <c r="K170" s="487"/>
      <c r="L170" s="483"/>
      <c r="M170" s="484"/>
      <c r="N170" s="484"/>
      <c r="O170" s="484"/>
      <c r="P170" s="484"/>
      <c r="Q170" s="484"/>
      <c r="R170" s="484"/>
      <c r="S170" s="484"/>
      <c r="T170" s="484"/>
      <c r="U170" s="484"/>
      <c r="V170" s="484"/>
      <c r="W170" s="484"/>
      <c r="X170" s="484"/>
      <c r="Y170" s="484"/>
      <c r="Z170" s="484"/>
      <c r="AA170" s="484"/>
      <c r="AB170" s="484"/>
      <c r="AC170" s="484"/>
      <c r="AD170" s="484"/>
      <c r="AE170" s="484"/>
      <c r="AF170" s="484"/>
      <c r="AG170" s="484"/>
      <c r="AH170" s="484"/>
      <c r="AI170" s="484"/>
      <c r="AJ170" s="484"/>
      <c r="AK170" s="484"/>
    </row>
    <row r="171" spans="2:37" s="64" customFormat="1" x14ac:dyDescent="0.35">
      <c r="B171" s="30"/>
      <c r="C171" s="30"/>
      <c r="D171" s="30"/>
      <c r="E171" s="30"/>
      <c r="F171" s="258"/>
      <c r="G171" s="30"/>
      <c r="H171" s="482"/>
      <c r="I171" s="482"/>
      <c r="J171" s="482"/>
      <c r="K171" s="482"/>
      <c r="L171" s="483"/>
      <c r="M171" s="484"/>
      <c r="N171" s="484"/>
      <c r="O171" s="484"/>
      <c r="P171" s="484"/>
      <c r="Q171" s="484"/>
      <c r="R171" s="484"/>
      <c r="S171" s="484"/>
      <c r="T171" s="484"/>
      <c r="U171" s="484"/>
      <c r="V171" s="484"/>
      <c r="W171" s="484"/>
      <c r="X171" s="484"/>
      <c r="Y171" s="484"/>
      <c r="Z171" s="484"/>
      <c r="AA171" s="484"/>
      <c r="AB171" s="484"/>
      <c r="AC171" s="484"/>
      <c r="AD171" s="484"/>
      <c r="AE171" s="484"/>
      <c r="AF171" s="484"/>
      <c r="AG171" s="484"/>
      <c r="AH171" s="484"/>
      <c r="AI171" s="484"/>
      <c r="AJ171" s="484"/>
      <c r="AK171" s="484"/>
    </row>
    <row r="172" spans="2:37" s="64" customFormat="1" x14ac:dyDescent="0.35">
      <c r="B172" s="30"/>
      <c r="C172" s="30"/>
      <c r="D172" s="30"/>
      <c r="E172" s="30"/>
      <c r="F172" s="258"/>
      <c r="H172" s="487"/>
      <c r="I172" s="487"/>
      <c r="J172" s="487"/>
      <c r="K172" s="487"/>
      <c r="L172" s="483"/>
      <c r="M172" s="484"/>
      <c r="N172" s="484"/>
      <c r="O172" s="484"/>
      <c r="P172" s="484"/>
      <c r="Q172" s="484"/>
      <c r="R172" s="484"/>
      <c r="S172" s="484"/>
      <c r="T172" s="484"/>
      <c r="U172" s="484"/>
      <c r="V172" s="484"/>
      <c r="W172" s="484"/>
      <c r="X172" s="484"/>
      <c r="Y172" s="484"/>
      <c r="Z172" s="484"/>
      <c r="AA172" s="484"/>
      <c r="AB172" s="484"/>
      <c r="AC172" s="484"/>
      <c r="AD172" s="484"/>
      <c r="AE172" s="484"/>
      <c r="AF172" s="484"/>
      <c r="AG172" s="484"/>
      <c r="AH172" s="484"/>
      <c r="AI172" s="484"/>
      <c r="AJ172" s="484"/>
      <c r="AK172" s="484"/>
    </row>
    <row r="173" spans="2:37" s="64" customFormat="1" x14ac:dyDescent="0.35">
      <c r="B173" s="30"/>
      <c r="C173" s="30"/>
      <c r="D173" s="30"/>
      <c r="E173" s="30"/>
      <c r="F173" s="258"/>
      <c r="G173" s="30"/>
      <c r="H173" s="482"/>
      <c r="I173" s="482"/>
      <c r="J173" s="482"/>
      <c r="K173" s="482"/>
      <c r="L173" s="483"/>
      <c r="M173" s="484"/>
      <c r="N173" s="484"/>
      <c r="O173" s="484"/>
      <c r="P173" s="484"/>
      <c r="Q173" s="484"/>
      <c r="R173" s="484"/>
      <c r="S173" s="484"/>
      <c r="T173" s="484"/>
      <c r="U173" s="484"/>
      <c r="V173" s="484"/>
      <c r="W173" s="484"/>
      <c r="X173" s="484"/>
      <c r="Y173" s="484"/>
      <c r="Z173" s="484"/>
      <c r="AA173" s="484"/>
      <c r="AB173" s="484"/>
      <c r="AC173" s="484"/>
      <c r="AD173" s="484"/>
      <c r="AE173" s="484"/>
      <c r="AF173" s="484"/>
      <c r="AG173" s="484"/>
      <c r="AH173" s="484"/>
      <c r="AI173" s="484"/>
      <c r="AJ173" s="484"/>
      <c r="AK173" s="484"/>
    </row>
    <row r="174" spans="2:37" s="64" customFormat="1" x14ac:dyDescent="0.35">
      <c r="B174" s="30"/>
      <c r="C174" s="30"/>
      <c r="D174" s="30"/>
      <c r="E174" s="30"/>
      <c r="F174" s="258"/>
      <c r="H174" s="487"/>
      <c r="I174" s="487"/>
      <c r="J174" s="487"/>
      <c r="K174" s="487"/>
      <c r="L174" s="483"/>
      <c r="M174" s="484"/>
      <c r="N174" s="484"/>
      <c r="O174" s="484"/>
      <c r="P174" s="484"/>
      <c r="Q174" s="484"/>
      <c r="R174" s="484"/>
      <c r="S174" s="484"/>
      <c r="T174" s="484"/>
      <c r="U174" s="484"/>
      <c r="V174" s="484"/>
      <c r="W174" s="484"/>
      <c r="X174" s="484"/>
      <c r="Y174" s="484"/>
      <c r="Z174" s="484"/>
      <c r="AA174" s="484"/>
      <c r="AB174" s="484"/>
      <c r="AC174" s="484"/>
      <c r="AD174" s="484"/>
      <c r="AE174" s="484"/>
      <c r="AF174" s="484"/>
      <c r="AG174" s="484"/>
      <c r="AH174" s="484"/>
      <c r="AI174" s="484"/>
      <c r="AJ174" s="484"/>
      <c r="AK174" s="484"/>
    </row>
    <row r="175" spans="2:37" s="64" customFormat="1" x14ac:dyDescent="0.35">
      <c r="B175" s="30"/>
      <c r="C175" s="30"/>
      <c r="D175" s="30"/>
      <c r="E175" s="30"/>
      <c r="F175" s="258"/>
      <c r="G175" s="30"/>
      <c r="H175" s="482"/>
      <c r="I175" s="482"/>
      <c r="J175" s="482"/>
      <c r="K175" s="482"/>
      <c r="L175" s="483"/>
      <c r="M175" s="484"/>
      <c r="N175" s="484"/>
      <c r="O175" s="484"/>
      <c r="P175" s="484"/>
      <c r="Q175" s="484"/>
      <c r="R175" s="484"/>
      <c r="S175" s="484"/>
      <c r="T175" s="484"/>
      <c r="U175" s="484"/>
      <c r="V175" s="484"/>
      <c r="W175" s="484"/>
      <c r="X175" s="484"/>
      <c r="Y175" s="484"/>
      <c r="Z175" s="484"/>
      <c r="AA175" s="484"/>
      <c r="AB175" s="484"/>
      <c r="AC175" s="484"/>
      <c r="AD175" s="484"/>
      <c r="AE175" s="484"/>
      <c r="AF175" s="484"/>
      <c r="AG175" s="484"/>
      <c r="AH175" s="484"/>
      <c r="AI175" s="484"/>
      <c r="AJ175" s="484"/>
      <c r="AK175" s="484"/>
    </row>
    <row r="176" spans="2:37" s="64" customFormat="1" x14ac:dyDescent="0.35">
      <c r="B176" s="30"/>
      <c r="C176" s="30"/>
      <c r="D176" s="30"/>
      <c r="E176" s="30"/>
      <c r="F176" s="258"/>
      <c r="H176" s="487"/>
      <c r="I176" s="487"/>
      <c r="J176" s="487"/>
      <c r="K176" s="487"/>
      <c r="L176" s="483"/>
      <c r="M176" s="484"/>
      <c r="N176" s="484"/>
      <c r="O176" s="484"/>
      <c r="P176" s="484"/>
      <c r="Q176" s="484"/>
      <c r="R176" s="484"/>
      <c r="S176" s="484"/>
      <c r="T176" s="484"/>
      <c r="U176" s="484"/>
      <c r="V176" s="484"/>
      <c r="W176" s="484"/>
      <c r="X176" s="484"/>
      <c r="Y176" s="484"/>
      <c r="Z176" s="484"/>
      <c r="AA176" s="484"/>
      <c r="AB176" s="484"/>
      <c r="AC176" s="484"/>
      <c r="AD176" s="484"/>
      <c r="AE176" s="484"/>
      <c r="AF176" s="484"/>
      <c r="AG176" s="484"/>
      <c r="AH176" s="484"/>
      <c r="AI176" s="484"/>
      <c r="AJ176" s="484"/>
      <c r="AK176" s="484"/>
    </row>
    <row r="177" spans="2:37" s="64" customFormat="1" x14ac:dyDescent="0.35">
      <c r="B177" s="30"/>
      <c r="C177" s="30"/>
      <c r="D177" s="30"/>
      <c r="E177" s="30"/>
      <c r="F177" s="258"/>
      <c r="G177" s="30"/>
      <c r="H177" s="482"/>
      <c r="I177" s="482"/>
      <c r="J177" s="482"/>
      <c r="K177" s="482"/>
      <c r="L177" s="483"/>
      <c r="M177" s="484"/>
      <c r="N177" s="484"/>
      <c r="O177" s="484"/>
      <c r="P177" s="484"/>
      <c r="Q177" s="484"/>
      <c r="R177" s="484"/>
      <c r="S177" s="484"/>
      <c r="T177" s="484"/>
      <c r="U177" s="484"/>
      <c r="V177" s="484"/>
      <c r="W177" s="484"/>
      <c r="X177" s="484"/>
      <c r="Y177" s="484"/>
      <c r="Z177" s="484"/>
      <c r="AA177" s="484"/>
      <c r="AB177" s="484"/>
      <c r="AC177" s="484"/>
      <c r="AD177" s="484"/>
      <c r="AE177" s="484"/>
      <c r="AF177" s="484"/>
      <c r="AG177" s="484"/>
      <c r="AH177" s="484"/>
      <c r="AI177" s="484"/>
      <c r="AJ177" s="484"/>
      <c r="AK177" s="484"/>
    </row>
    <row r="178" spans="2:37" s="64" customFormat="1" x14ac:dyDescent="0.35">
      <c r="B178" s="30"/>
      <c r="C178" s="30"/>
      <c r="D178" s="30"/>
      <c r="E178" s="30"/>
      <c r="F178" s="258"/>
      <c r="H178" s="487"/>
      <c r="I178" s="487"/>
      <c r="J178" s="487"/>
      <c r="K178" s="487"/>
      <c r="L178" s="483"/>
      <c r="M178" s="484"/>
      <c r="N178" s="484"/>
      <c r="O178" s="484"/>
      <c r="P178" s="484"/>
      <c r="Q178" s="484"/>
      <c r="R178" s="484"/>
      <c r="S178" s="484"/>
      <c r="T178" s="484"/>
      <c r="U178" s="484"/>
      <c r="V178" s="484"/>
      <c r="W178" s="484"/>
      <c r="X178" s="484"/>
      <c r="Y178" s="484"/>
      <c r="Z178" s="484"/>
      <c r="AA178" s="484"/>
      <c r="AB178" s="484"/>
      <c r="AC178" s="484"/>
      <c r="AD178" s="484"/>
      <c r="AE178" s="484"/>
      <c r="AF178" s="484"/>
      <c r="AG178" s="484"/>
      <c r="AH178" s="484"/>
      <c r="AI178" s="484"/>
      <c r="AJ178" s="484"/>
      <c r="AK178" s="484"/>
    </row>
    <row r="179" spans="2:37" s="64" customFormat="1" x14ac:dyDescent="0.35">
      <c r="B179" s="30"/>
      <c r="C179" s="30"/>
      <c r="D179" s="30"/>
      <c r="E179" s="30"/>
      <c r="F179" s="258"/>
      <c r="G179" s="30"/>
      <c r="H179" s="482"/>
      <c r="I179" s="482"/>
      <c r="J179" s="482"/>
      <c r="K179" s="482"/>
      <c r="L179" s="483"/>
      <c r="M179" s="484"/>
      <c r="N179" s="484"/>
      <c r="O179" s="484"/>
      <c r="P179" s="484"/>
      <c r="Q179" s="484"/>
      <c r="R179" s="484"/>
      <c r="S179" s="484"/>
      <c r="T179" s="484"/>
      <c r="U179" s="484"/>
      <c r="V179" s="484"/>
      <c r="W179" s="484"/>
      <c r="X179" s="484"/>
      <c r="Y179" s="484"/>
      <c r="Z179" s="484"/>
      <c r="AA179" s="484"/>
      <c r="AB179" s="484"/>
      <c r="AC179" s="484"/>
      <c r="AD179" s="484"/>
      <c r="AE179" s="484"/>
      <c r="AF179" s="484"/>
      <c r="AG179" s="484"/>
      <c r="AH179" s="484"/>
      <c r="AI179" s="484"/>
      <c r="AJ179" s="484"/>
      <c r="AK179" s="484"/>
    </row>
    <row r="180" spans="2:37" s="64" customFormat="1" x14ac:dyDescent="0.35">
      <c r="B180" s="30"/>
      <c r="C180" s="30"/>
      <c r="D180" s="30"/>
      <c r="E180" s="30"/>
      <c r="F180" s="258"/>
      <c r="H180" s="487"/>
      <c r="I180" s="487"/>
      <c r="J180" s="487"/>
      <c r="K180" s="487"/>
      <c r="L180" s="483"/>
      <c r="M180" s="484"/>
      <c r="N180" s="484"/>
      <c r="O180" s="484"/>
      <c r="P180" s="484"/>
      <c r="Q180" s="484"/>
      <c r="R180" s="484"/>
      <c r="S180" s="484"/>
      <c r="T180" s="484"/>
      <c r="U180" s="484"/>
      <c r="V180" s="484"/>
      <c r="W180" s="484"/>
      <c r="X180" s="484"/>
      <c r="Y180" s="484"/>
      <c r="Z180" s="484"/>
      <c r="AA180" s="484"/>
      <c r="AB180" s="484"/>
      <c r="AC180" s="484"/>
      <c r="AD180" s="484"/>
      <c r="AE180" s="484"/>
      <c r="AF180" s="484"/>
      <c r="AG180" s="484"/>
      <c r="AH180" s="484"/>
      <c r="AI180" s="484"/>
      <c r="AJ180" s="484"/>
      <c r="AK180" s="484"/>
    </row>
    <row r="181" spans="2:37" s="64" customFormat="1" x14ac:dyDescent="0.35">
      <c r="B181" s="30"/>
      <c r="C181" s="30"/>
      <c r="D181" s="30"/>
      <c r="E181" s="30"/>
      <c r="F181" s="258"/>
      <c r="G181" s="30"/>
      <c r="H181" s="482"/>
      <c r="I181" s="482"/>
      <c r="J181" s="482"/>
      <c r="K181" s="482"/>
      <c r="L181" s="483"/>
      <c r="M181" s="484"/>
      <c r="N181" s="484"/>
      <c r="O181" s="484"/>
      <c r="P181" s="484"/>
      <c r="Q181" s="484"/>
      <c r="R181" s="484"/>
      <c r="S181" s="484"/>
      <c r="T181" s="484"/>
      <c r="U181" s="484"/>
      <c r="V181" s="484"/>
      <c r="W181" s="484"/>
      <c r="X181" s="484"/>
      <c r="Y181" s="484"/>
      <c r="Z181" s="484"/>
      <c r="AA181" s="484"/>
      <c r="AB181" s="484"/>
      <c r="AC181" s="484"/>
      <c r="AD181" s="484"/>
      <c r="AE181" s="484"/>
      <c r="AF181" s="484"/>
      <c r="AG181" s="484"/>
      <c r="AH181" s="484"/>
      <c r="AI181" s="484"/>
      <c r="AJ181" s="484"/>
      <c r="AK181" s="484"/>
    </row>
    <row r="182" spans="2:37" s="64" customFormat="1" x14ac:dyDescent="0.35">
      <c r="B182" s="30"/>
      <c r="C182" s="30"/>
      <c r="D182" s="30"/>
      <c r="E182" s="30"/>
      <c r="F182" s="258"/>
      <c r="H182" s="487"/>
      <c r="I182" s="487"/>
      <c r="J182" s="487"/>
      <c r="K182" s="487"/>
      <c r="L182" s="483"/>
      <c r="M182" s="484"/>
      <c r="N182" s="484"/>
      <c r="O182" s="484"/>
      <c r="P182" s="484"/>
      <c r="Q182" s="484"/>
      <c r="R182" s="484"/>
      <c r="S182" s="484"/>
      <c r="T182" s="484"/>
      <c r="U182" s="484"/>
      <c r="V182" s="484"/>
      <c r="W182" s="484"/>
      <c r="X182" s="484"/>
      <c r="Y182" s="484"/>
      <c r="Z182" s="484"/>
      <c r="AA182" s="484"/>
      <c r="AB182" s="484"/>
      <c r="AC182" s="484"/>
      <c r="AD182" s="484"/>
      <c r="AE182" s="484"/>
      <c r="AF182" s="484"/>
      <c r="AG182" s="484"/>
      <c r="AH182" s="484"/>
      <c r="AI182" s="484"/>
      <c r="AJ182" s="484"/>
      <c r="AK182" s="484"/>
    </row>
    <row r="183" spans="2:37" s="64" customFormat="1" x14ac:dyDescent="0.35">
      <c r="B183" s="30"/>
      <c r="C183" s="30"/>
      <c r="D183" s="30"/>
      <c r="E183" s="30"/>
      <c r="F183" s="258"/>
      <c r="G183" s="30"/>
      <c r="H183" s="482"/>
      <c r="I183" s="482"/>
      <c r="J183" s="482"/>
      <c r="K183" s="482"/>
      <c r="L183" s="483"/>
      <c r="M183" s="484"/>
      <c r="N183" s="484"/>
      <c r="O183" s="484"/>
      <c r="P183" s="484"/>
      <c r="Q183" s="484"/>
      <c r="R183" s="484"/>
      <c r="S183" s="484"/>
      <c r="T183" s="484"/>
      <c r="U183" s="484"/>
      <c r="V183" s="484"/>
      <c r="W183" s="484"/>
      <c r="X183" s="484"/>
      <c r="Y183" s="484"/>
      <c r="Z183" s="484"/>
      <c r="AA183" s="484"/>
      <c r="AB183" s="484"/>
      <c r="AC183" s="484"/>
      <c r="AD183" s="484"/>
      <c r="AE183" s="484"/>
      <c r="AF183" s="484"/>
      <c r="AG183" s="484"/>
      <c r="AH183" s="484"/>
      <c r="AI183" s="484"/>
      <c r="AJ183" s="484"/>
      <c r="AK183" s="484"/>
    </row>
    <row r="184" spans="2:37" s="64" customFormat="1" x14ac:dyDescent="0.35">
      <c r="B184" s="30"/>
      <c r="C184" s="30"/>
      <c r="D184" s="30"/>
      <c r="E184" s="30"/>
      <c r="F184" s="258"/>
      <c r="H184" s="487"/>
      <c r="I184" s="487"/>
      <c r="J184" s="487"/>
      <c r="K184" s="487"/>
      <c r="L184" s="483"/>
      <c r="M184" s="484"/>
      <c r="N184" s="484"/>
      <c r="O184" s="484"/>
      <c r="P184" s="484"/>
      <c r="Q184" s="484"/>
      <c r="R184" s="484"/>
      <c r="S184" s="484"/>
      <c r="T184" s="484"/>
      <c r="U184" s="484"/>
      <c r="V184" s="484"/>
      <c r="W184" s="484"/>
      <c r="X184" s="484"/>
      <c r="Y184" s="484"/>
      <c r="Z184" s="484"/>
      <c r="AA184" s="484"/>
      <c r="AB184" s="484"/>
      <c r="AC184" s="484"/>
      <c r="AD184" s="484"/>
      <c r="AE184" s="484"/>
      <c r="AF184" s="484"/>
      <c r="AG184" s="484"/>
      <c r="AH184" s="484"/>
      <c r="AI184" s="484"/>
      <c r="AJ184" s="484"/>
      <c r="AK184" s="484"/>
    </row>
    <row r="185" spans="2:37" s="64" customFormat="1" x14ac:dyDescent="0.35">
      <c r="B185" s="30"/>
      <c r="C185" s="30"/>
      <c r="D185" s="30"/>
      <c r="E185" s="30"/>
      <c r="F185" s="258"/>
      <c r="G185" s="30"/>
      <c r="H185" s="482"/>
      <c r="I185" s="482"/>
      <c r="J185" s="482"/>
      <c r="K185" s="482"/>
      <c r="L185" s="483"/>
      <c r="M185" s="484"/>
      <c r="N185" s="484"/>
      <c r="O185" s="484"/>
      <c r="P185" s="484"/>
      <c r="Q185" s="484"/>
      <c r="R185" s="484"/>
      <c r="S185" s="484"/>
      <c r="T185" s="484"/>
      <c r="U185" s="484"/>
      <c r="V185" s="484"/>
      <c r="W185" s="484"/>
      <c r="X185" s="484"/>
      <c r="Y185" s="484"/>
      <c r="Z185" s="484"/>
      <c r="AA185" s="484"/>
      <c r="AB185" s="484"/>
      <c r="AC185" s="484"/>
      <c r="AD185" s="484"/>
      <c r="AE185" s="484"/>
      <c r="AF185" s="484"/>
      <c r="AG185" s="484"/>
      <c r="AH185" s="484"/>
      <c r="AI185" s="484"/>
      <c r="AJ185" s="484"/>
      <c r="AK185" s="484"/>
    </row>
    <row r="186" spans="2:37" s="64" customFormat="1" x14ac:dyDescent="0.35">
      <c r="B186" s="30"/>
      <c r="C186" s="30"/>
      <c r="D186" s="30"/>
      <c r="E186" s="30"/>
      <c r="F186" s="258"/>
      <c r="H186" s="487"/>
      <c r="I186" s="487"/>
      <c r="J186" s="487"/>
      <c r="K186" s="487"/>
      <c r="L186" s="483"/>
      <c r="M186" s="484"/>
      <c r="N186" s="484"/>
      <c r="O186" s="484"/>
      <c r="P186" s="484"/>
      <c r="Q186" s="484"/>
      <c r="R186" s="484"/>
      <c r="S186" s="484"/>
      <c r="T186" s="484"/>
      <c r="U186" s="484"/>
      <c r="V186" s="484"/>
      <c r="W186" s="484"/>
      <c r="X186" s="484"/>
      <c r="Y186" s="484"/>
      <c r="Z186" s="484"/>
      <c r="AA186" s="484"/>
      <c r="AB186" s="484"/>
      <c r="AC186" s="484"/>
      <c r="AD186" s="484"/>
      <c r="AE186" s="484"/>
      <c r="AF186" s="484"/>
      <c r="AG186" s="484"/>
      <c r="AH186" s="484"/>
      <c r="AI186" s="484"/>
      <c r="AJ186" s="484"/>
      <c r="AK186" s="484"/>
    </row>
    <row r="187" spans="2:37" s="64" customFormat="1" x14ac:dyDescent="0.35">
      <c r="B187" s="30"/>
      <c r="C187" s="30"/>
      <c r="D187" s="30"/>
      <c r="E187" s="30"/>
      <c r="F187" s="258"/>
      <c r="G187" s="30"/>
      <c r="H187" s="482"/>
      <c r="I187" s="482"/>
      <c r="J187" s="482"/>
      <c r="K187" s="482"/>
      <c r="L187" s="483"/>
      <c r="M187" s="484"/>
      <c r="N187" s="484"/>
      <c r="O187" s="484"/>
      <c r="P187" s="484"/>
      <c r="Q187" s="484"/>
      <c r="R187" s="484"/>
      <c r="S187" s="484"/>
      <c r="T187" s="484"/>
      <c r="U187" s="484"/>
      <c r="V187" s="484"/>
      <c r="W187" s="484"/>
      <c r="X187" s="484"/>
      <c r="Y187" s="484"/>
      <c r="Z187" s="484"/>
      <c r="AA187" s="484"/>
      <c r="AB187" s="484"/>
      <c r="AC187" s="484"/>
      <c r="AD187" s="484"/>
      <c r="AE187" s="484"/>
      <c r="AF187" s="484"/>
      <c r="AG187" s="484"/>
      <c r="AH187" s="484"/>
      <c r="AI187" s="484"/>
      <c r="AJ187" s="484"/>
      <c r="AK187" s="484"/>
    </row>
    <row r="188" spans="2:37" s="64" customFormat="1" x14ac:dyDescent="0.35">
      <c r="B188" s="30"/>
      <c r="C188" s="30"/>
      <c r="D188" s="30"/>
      <c r="E188" s="30"/>
      <c r="F188" s="258"/>
      <c r="H188" s="487"/>
      <c r="I188" s="487"/>
      <c r="J188" s="487"/>
      <c r="K188" s="487"/>
      <c r="L188" s="483"/>
      <c r="M188" s="484"/>
      <c r="N188" s="484"/>
      <c r="O188" s="484"/>
      <c r="P188" s="484"/>
      <c r="Q188" s="484"/>
      <c r="R188" s="484"/>
      <c r="S188" s="484"/>
      <c r="T188" s="484"/>
      <c r="U188" s="484"/>
      <c r="V188" s="484"/>
      <c r="W188" s="484"/>
      <c r="X188" s="484"/>
      <c r="Y188" s="484"/>
      <c r="Z188" s="484"/>
      <c r="AA188" s="484"/>
      <c r="AB188" s="484"/>
      <c r="AC188" s="484"/>
      <c r="AD188" s="484"/>
      <c r="AE188" s="484"/>
      <c r="AF188" s="484"/>
      <c r="AG188" s="484"/>
      <c r="AH188" s="484"/>
      <c r="AI188" s="484"/>
      <c r="AJ188" s="484"/>
      <c r="AK188" s="484"/>
    </row>
    <row r="189" spans="2:37" s="64" customFormat="1" x14ac:dyDescent="0.35">
      <c r="B189" s="30"/>
      <c r="C189" s="30"/>
      <c r="D189" s="30"/>
      <c r="E189" s="30"/>
      <c r="F189" s="258"/>
      <c r="G189" s="30"/>
      <c r="H189" s="482"/>
      <c r="I189" s="482"/>
      <c r="J189" s="482"/>
      <c r="K189" s="482"/>
      <c r="L189" s="483"/>
      <c r="M189" s="484"/>
      <c r="N189" s="484"/>
      <c r="O189" s="484"/>
      <c r="P189" s="484"/>
      <c r="Q189" s="484"/>
      <c r="R189" s="484"/>
      <c r="S189" s="484"/>
      <c r="T189" s="484"/>
      <c r="U189" s="484"/>
      <c r="V189" s="484"/>
      <c r="W189" s="484"/>
      <c r="X189" s="484"/>
      <c r="Y189" s="484"/>
      <c r="Z189" s="484"/>
      <c r="AA189" s="484"/>
      <c r="AB189" s="484"/>
      <c r="AC189" s="484"/>
      <c r="AD189" s="484"/>
      <c r="AE189" s="484"/>
      <c r="AF189" s="484"/>
      <c r="AG189" s="484"/>
      <c r="AH189" s="484"/>
      <c r="AI189" s="484"/>
      <c r="AJ189" s="484"/>
      <c r="AK189" s="484"/>
    </row>
    <row r="190" spans="2:37" s="64" customFormat="1" x14ac:dyDescent="0.35">
      <c r="B190" s="30"/>
      <c r="C190" s="30"/>
      <c r="D190" s="30"/>
      <c r="E190" s="30"/>
      <c r="F190" s="258"/>
      <c r="H190" s="487"/>
      <c r="I190" s="487"/>
      <c r="J190" s="487"/>
      <c r="K190" s="487"/>
      <c r="L190" s="483"/>
      <c r="M190" s="484"/>
      <c r="N190" s="484"/>
      <c r="O190" s="484"/>
      <c r="P190" s="484"/>
      <c r="Q190" s="484"/>
      <c r="R190" s="484"/>
      <c r="S190" s="484"/>
      <c r="T190" s="484"/>
      <c r="U190" s="484"/>
      <c r="V190" s="484"/>
      <c r="W190" s="484"/>
      <c r="X190" s="484"/>
      <c r="Y190" s="484"/>
      <c r="Z190" s="484"/>
      <c r="AA190" s="484"/>
      <c r="AB190" s="484"/>
      <c r="AC190" s="484"/>
      <c r="AD190" s="484"/>
      <c r="AE190" s="484"/>
      <c r="AF190" s="484"/>
      <c r="AG190" s="484"/>
      <c r="AH190" s="484"/>
      <c r="AI190" s="484"/>
      <c r="AJ190" s="484"/>
      <c r="AK190" s="484"/>
    </row>
    <row r="191" spans="2:37" s="64" customFormat="1" x14ac:dyDescent="0.35">
      <c r="B191" s="30"/>
      <c r="C191" s="30"/>
      <c r="D191" s="30"/>
      <c r="E191" s="30"/>
      <c r="F191" s="258"/>
      <c r="G191" s="30"/>
      <c r="H191" s="482"/>
      <c r="I191" s="482"/>
      <c r="J191" s="482"/>
      <c r="K191" s="482"/>
      <c r="L191" s="483"/>
      <c r="M191" s="484"/>
      <c r="N191" s="484"/>
      <c r="O191" s="484"/>
      <c r="P191" s="484"/>
      <c r="Q191" s="484"/>
      <c r="R191" s="484"/>
      <c r="S191" s="484"/>
      <c r="T191" s="484"/>
      <c r="U191" s="484"/>
      <c r="V191" s="484"/>
      <c r="W191" s="484"/>
      <c r="X191" s="484"/>
      <c r="Y191" s="484"/>
      <c r="Z191" s="484"/>
      <c r="AA191" s="484"/>
      <c r="AB191" s="484"/>
      <c r="AC191" s="484"/>
      <c r="AD191" s="484"/>
      <c r="AE191" s="484"/>
      <c r="AF191" s="484"/>
      <c r="AG191" s="484"/>
      <c r="AH191" s="484"/>
      <c r="AI191" s="484"/>
      <c r="AJ191" s="484"/>
      <c r="AK191" s="484"/>
    </row>
    <row r="192" spans="2:37" s="64" customFormat="1" x14ac:dyDescent="0.35">
      <c r="B192" s="30"/>
      <c r="C192" s="30"/>
      <c r="D192" s="30"/>
      <c r="E192" s="30"/>
      <c r="F192" s="258"/>
      <c r="H192" s="487"/>
      <c r="I192" s="487"/>
      <c r="J192" s="487"/>
      <c r="K192" s="487"/>
      <c r="L192" s="483"/>
      <c r="M192" s="484"/>
      <c r="N192" s="484"/>
      <c r="O192" s="484"/>
      <c r="P192" s="484"/>
      <c r="Q192" s="484"/>
      <c r="R192" s="484"/>
      <c r="S192" s="484"/>
      <c r="T192" s="484"/>
      <c r="U192" s="484"/>
      <c r="V192" s="484"/>
      <c r="W192" s="484"/>
      <c r="X192" s="484"/>
      <c r="Y192" s="484"/>
      <c r="Z192" s="484"/>
      <c r="AA192" s="484"/>
      <c r="AB192" s="484"/>
      <c r="AC192" s="484"/>
      <c r="AD192" s="484"/>
      <c r="AE192" s="484"/>
      <c r="AF192" s="484"/>
      <c r="AG192" s="484"/>
      <c r="AH192" s="484"/>
      <c r="AI192" s="484"/>
      <c r="AJ192" s="484"/>
      <c r="AK192" s="484"/>
    </row>
    <row r="193" spans="2:37" s="64" customFormat="1" x14ac:dyDescent="0.35">
      <c r="B193" s="30"/>
      <c r="C193" s="30"/>
      <c r="D193" s="30"/>
      <c r="E193" s="30"/>
      <c r="F193" s="258"/>
      <c r="G193" s="30"/>
      <c r="H193" s="482"/>
      <c r="I193" s="482"/>
      <c r="J193" s="482"/>
      <c r="K193" s="482"/>
      <c r="L193" s="483"/>
      <c r="M193" s="484"/>
      <c r="N193" s="484"/>
      <c r="O193" s="484"/>
      <c r="P193" s="484"/>
      <c r="Q193" s="484"/>
      <c r="R193" s="484"/>
      <c r="S193" s="484"/>
      <c r="T193" s="484"/>
      <c r="U193" s="484"/>
      <c r="V193" s="484"/>
      <c r="W193" s="484"/>
      <c r="X193" s="484"/>
      <c r="Y193" s="484"/>
      <c r="Z193" s="484"/>
      <c r="AA193" s="484"/>
      <c r="AB193" s="484"/>
      <c r="AC193" s="484"/>
      <c r="AD193" s="484"/>
      <c r="AE193" s="484"/>
      <c r="AF193" s="484"/>
      <c r="AG193" s="484"/>
      <c r="AH193" s="484"/>
      <c r="AI193" s="484"/>
      <c r="AJ193" s="484"/>
      <c r="AK193" s="484"/>
    </row>
    <row r="194" spans="2:37" s="64" customFormat="1" x14ac:dyDescent="0.35">
      <c r="B194" s="30"/>
      <c r="C194" s="30"/>
      <c r="D194" s="30"/>
      <c r="E194" s="30"/>
      <c r="F194" s="258"/>
      <c r="H194" s="487"/>
      <c r="I194" s="487"/>
      <c r="J194" s="487"/>
      <c r="K194" s="487"/>
      <c r="L194" s="483"/>
      <c r="M194" s="484"/>
      <c r="N194" s="484"/>
      <c r="O194" s="484"/>
      <c r="P194" s="484"/>
      <c r="Q194" s="484"/>
      <c r="R194" s="484"/>
      <c r="S194" s="484"/>
      <c r="T194" s="484"/>
      <c r="U194" s="484"/>
      <c r="V194" s="484"/>
      <c r="W194" s="484"/>
      <c r="X194" s="484"/>
      <c r="Y194" s="484"/>
      <c r="Z194" s="484"/>
      <c r="AA194" s="484"/>
      <c r="AB194" s="484"/>
      <c r="AC194" s="484"/>
      <c r="AD194" s="484"/>
      <c r="AE194" s="484"/>
      <c r="AF194" s="484"/>
      <c r="AG194" s="484"/>
      <c r="AH194" s="484"/>
      <c r="AI194" s="484"/>
      <c r="AJ194" s="484"/>
      <c r="AK194" s="484"/>
    </row>
    <row r="195" spans="2:37" s="64" customFormat="1" x14ac:dyDescent="0.35">
      <c r="B195" s="30"/>
      <c r="C195" s="30"/>
      <c r="D195" s="30"/>
      <c r="E195" s="30"/>
      <c r="F195" s="258"/>
      <c r="G195" s="30"/>
      <c r="H195" s="482"/>
      <c r="I195" s="482"/>
      <c r="J195" s="482"/>
      <c r="K195" s="482"/>
      <c r="L195" s="483"/>
      <c r="M195" s="484"/>
      <c r="N195" s="484"/>
      <c r="O195" s="484"/>
      <c r="P195" s="484"/>
      <c r="Q195" s="484"/>
      <c r="R195" s="484"/>
      <c r="S195" s="484"/>
      <c r="T195" s="484"/>
      <c r="U195" s="484"/>
      <c r="V195" s="484"/>
      <c r="W195" s="484"/>
      <c r="X195" s="484"/>
      <c r="Y195" s="484"/>
      <c r="Z195" s="484"/>
      <c r="AA195" s="484"/>
      <c r="AB195" s="484"/>
      <c r="AC195" s="484"/>
      <c r="AD195" s="484"/>
      <c r="AE195" s="484"/>
      <c r="AF195" s="484"/>
      <c r="AG195" s="484"/>
      <c r="AH195" s="484"/>
      <c r="AI195" s="484"/>
      <c r="AJ195" s="484"/>
      <c r="AK195" s="484"/>
    </row>
    <row r="196" spans="2:37" s="64" customFormat="1" x14ac:dyDescent="0.35">
      <c r="B196" s="30"/>
      <c r="C196" s="30"/>
      <c r="D196" s="30"/>
      <c r="E196" s="30"/>
      <c r="F196" s="258"/>
      <c r="H196" s="487"/>
      <c r="I196" s="487"/>
      <c r="J196" s="487"/>
      <c r="K196" s="487"/>
      <c r="L196" s="483"/>
      <c r="M196" s="484"/>
      <c r="N196" s="484"/>
      <c r="O196" s="484"/>
      <c r="P196" s="484"/>
      <c r="Q196" s="484"/>
      <c r="R196" s="484"/>
      <c r="S196" s="484"/>
      <c r="T196" s="484"/>
      <c r="U196" s="484"/>
      <c r="V196" s="484"/>
      <c r="W196" s="484"/>
      <c r="X196" s="484"/>
      <c r="Y196" s="484"/>
      <c r="Z196" s="484"/>
      <c r="AA196" s="484"/>
      <c r="AB196" s="484"/>
      <c r="AC196" s="484"/>
      <c r="AD196" s="484"/>
      <c r="AE196" s="484"/>
      <c r="AF196" s="484"/>
      <c r="AG196" s="484"/>
      <c r="AH196" s="484"/>
      <c r="AI196" s="484"/>
      <c r="AJ196" s="484"/>
      <c r="AK196" s="484"/>
    </row>
    <row r="197" spans="2:37" s="64" customFormat="1" x14ac:dyDescent="0.35">
      <c r="B197" s="30"/>
      <c r="C197" s="30"/>
      <c r="D197" s="30"/>
      <c r="E197" s="30"/>
      <c r="F197" s="258"/>
      <c r="G197" s="30"/>
      <c r="H197" s="482"/>
      <c r="I197" s="482"/>
      <c r="J197" s="482"/>
      <c r="K197" s="482"/>
      <c r="L197" s="483"/>
      <c r="M197" s="484"/>
      <c r="N197" s="484"/>
      <c r="O197" s="484"/>
      <c r="P197" s="484"/>
      <c r="Q197" s="484"/>
      <c r="R197" s="484"/>
      <c r="S197" s="484"/>
      <c r="T197" s="484"/>
      <c r="U197" s="484"/>
      <c r="V197" s="484"/>
      <c r="W197" s="484"/>
      <c r="X197" s="484"/>
      <c r="Y197" s="484"/>
      <c r="Z197" s="484"/>
      <c r="AA197" s="484"/>
      <c r="AB197" s="484"/>
      <c r="AC197" s="484"/>
      <c r="AD197" s="484"/>
      <c r="AE197" s="484"/>
      <c r="AF197" s="484"/>
      <c r="AG197" s="484"/>
      <c r="AH197" s="484"/>
      <c r="AI197" s="484"/>
      <c r="AJ197" s="484"/>
      <c r="AK197" s="484"/>
    </row>
    <row r="198" spans="2:37" s="64" customFormat="1" x14ac:dyDescent="0.35">
      <c r="B198" s="30"/>
      <c r="C198" s="30"/>
      <c r="D198" s="30"/>
      <c r="E198" s="30"/>
      <c r="F198" s="258"/>
      <c r="H198" s="487"/>
      <c r="I198" s="487"/>
      <c r="J198" s="487"/>
      <c r="K198" s="487"/>
      <c r="L198" s="483"/>
      <c r="M198" s="484"/>
      <c r="N198" s="484"/>
      <c r="O198" s="484"/>
      <c r="P198" s="484"/>
      <c r="Q198" s="484"/>
      <c r="R198" s="484"/>
      <c r="S198" s="484"/>
      <c r="T198" s="484"/>
      <c r="U198" s="484"/>
      <c r="V198" s="484"/>
      <c r="W198" s="484"/>
      <c r="X198" s="484"/>
      <c r="Y198" s="484"/>
      <c r="Z198" s="484"/>
      <c r="AA198" s="484"/>
      <c r="AB198" s="484"/>
      <c r="AC198" s="484"/>
      <c r="AD198" s="484"/>
      <c r="AE198" s="484"/>
      <c r="AF198" s="484"/>
      <c r="AG198" s="484"/>
      <c r="AH198" s="484"/>
      <c r="AI198" s="484"/>
      <c r="AJ198" s="484"/>
      <c r="AK198" s="484"/>
    </row>
    <row r="199" spans="2:37" s="64" customFormat="1" x14ac:dyDescent="0.35">
      <c r="B199" s="30"/>
      <c r="C199" s="30"/>
      <c r="D199" s="30"/>
      <c r="E199" s="30"/>
      <c r="F199" s="258"/>
      <c r="G199" s="30"/>
      <c r="H199" s="482"/>
      <c r="I199" s="482"/>
      <c r="J199" s="482"/>
      <c r="K199" s="482"/>
      <c r="L199" s="483"/>
      <c r="M199" s="484"/>
      <c r="N199" s="484"/>
      <c r="O199" s="484"/>
      <c r="P199" s="484"/>
      <c r="Q199" s="484"/>
      <c r="R199" s="484"/>
      <c r="S199" s="484"/>
      <c r="T199" s="484"/>
      <c r="U199" s="484"/>
      <c r="V199" s="484"/>
      <c r="W199" s="484"/>
      <c r="X199" s="484"/>
      <c r="Y199" s="484"/>
      <c r="Z199" s="484"/>
      <c r="AA199" s="484"/>
      <c r="AB199" s="484"/>
      <c r="AC199" s="484"/>
      <c r="AD199" s="484"/>
      <c r="AE199" s="484"/>
      <c r="AF199" s="484"/>
      <c r="AG199" s="484"/>
      <c r="AH199" s="484"/>
      <c r="AI199" s="484"/>
      <c r="AJ199" s="484"/>
      <c r="AK199" s="484"/>
    </row>
    <row r="200" spans="2:37" s="64" customFormat="1" x14ac:dyDescent="0.35">
      <c r="B200" s="30"/>
      <c r="C200" s="30"/>
      <c r="D200" s="30"/>
      <c r="E200" s="30"/>
      <c r="F200" s="258"/>
      <c r="H200" s="487"/>
      <c r="I200" s="487"/>
      <c r="J200" s="487"/>
      <c r="K200" s="487"/>
      <c r="L200" s="483"/>
      <c r="M200" s="484"/>
      <c r="N200" s="484"/>
      <c r="O200" s="484"/>
      <c r="P200" s="484"/>
      <c r="Q200" s="484"/>
      <c r="R200" s="484"/>
      <c r="S200" s="484"/>
      <c r="T200" s="484"/>
      <c r="U200" s="484"/>
      <c r="V200" s="484"/>
      <c r="W200" s="484"/>
      <c r="X200" s="484"/>
      <c r="Y200" s="484"/>
      <c r="Z200" s="484"/>
      <c r="AA200" s="484"/>
      <c r="AB200" s="484"/>
      <c r="AC200" s="484"/>
      <c r="AD200" s="484"/>
      <c r="AE200" s="484"/>
      <c r="AF200" s="484"/>
      <c r="AG200" s="484"/>
      <c r="AH200" s="484"/>
      <c r="AI200" s="484"/>
      <c r="AJ200" s="484"/>
      <c r="AK200" s="484"/>
    </row>
    <row r="201" spans="2:37" s="64" customFormat="1" x14ac:dyDescent="0.35">
      <c r="B201" s="30"/>
      <c r="C201" s="30"/>
      <c r="D201" s="30"/>
      <c r="E201" s="30"/>
      <c r="F201" s="258"/>
      <c r="G201" s="30"/>
      <c r="H201" s="482"/>
      <c r="I201" s="482"/>
      <c r="J201" s="482"/>
      <c r="K201" s="482"/>
      <c r="L201" s="483"/>
      <c r="M201" s="484"/>
      <c r="N201" s="484"/>
      <c r="O201" s="484"/>
      <c r="P201" s="484"/>
      <c r="Q201" s="484"/>
      <c r="R201" s="484"/>
      <c r="S201" s="484"/>
      <c r="T201" s="484"/>
      <c r="U201" s="484"/>
      <c r="V201" s="484"/>
      <c r="W201" s="484"/>
      <c r="X201" s="484"/>
      <c r="Y201" s="484"/>
      <c r="Z201" s="484"/>
      <c r="AA201" s="484"/>
      <c r="AB201" s="484"/>
      <c r="AC201" s="484"/>
      <c r="AD201" s="484"/>
      <c r="AE201" s="484"/>
      <c r="AF201" s="484"/>
      <c r="AG201" s="484"/>
      <c r="AH201" s="484"/>
      <c r="AI201" s="484"/>
      <c r="AJ201" s="484"/>
      <c r="AK201" s="484"/>
    </row>
    <row r="202" spans="2:37" s="64" customFormat="1" x14ac:dyDescent="0.35">
      <c r="B202" s="30"/>
      <c r="C202" s="30"/>
      <c r="D202" s="30"/>
      <c r="E202" s="30"/>
      <c r="F202" s="258"/>
      <c r="H202" s="487"/>
      <c r="I202" s="487"/>
      <c r="J202" s="487"/>
      <c r="K202" s="487"/>
      <c r="L202" s="483"/>
      <c r="M202" s="484"/>
      <c r="N202" s="484"/>
      <c r="O202" s="484"/>
      <c r="P202" s="484"/>
      <c r="Q202" s="484"/>
      <c r="R202" s="484"/>
      <c r="S202" s="484"/>
      <c r="T202" s="484"/>
      <c r="U202" s="484"/>
      <c r="V202" s="484"/>
      <c r="W202" s="484"/>
      <c r="X202" s="484"/>
      <c r="Y202" s="484"/>
      <c r="Z202" s="484"/>
      <c r="AA202" s="484"/>
      <c r="AB202" s="484"/>
      <c r="AC202" s="484"/>
      <c r="AD202" s="484"/>
      <c r="AE202" s="484"/>
      <c r="AF202" s="484"/>
      <c r="AG202" s="484"/>
      <c r="AH202" s="484"/>
      <c r="AI202" s="484"/>
      <c r="AJ202" s="484"/>
      <c r="AK202" s="484"/>
    </row>
    <row r="203" spans="2:37" s="64" customFormat="1" x14ac:dyDescent="0.35">
      <c r="B203" s="30"/>
      <c r="C203" s="30"/>
      <c r="D203" s="30"/>
      <c r="E203" s="30"/>
      <c r="F203" s="258"/>
      <c r="G203" s="30"/>
      <c r="H203" s="482"/>
      <c r="I203" s="482"/>
      <c r="J203" s="482"/>
      <c r="K203" s="482"/>
      <c r="L203" s="483"/>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84"/>
      <c r="AK203" s="484"/>
    </row>
    <row r="204" spans="2:37" s="64" customFormat="1" x14ac:dyDescent="0.35">
      <c r="B204" s="30"/>
      <c r="C204" s="30"/>
      <c r="D204" s="30"/>
      <c r="E204" s="30"/>
      <c r="F204" s="258"/>
      <c r="H204" s="487"/>
      <c r="I204" s="487"/>
      <c r="J204" s="487"/>
      <c r="K204" s="487"/>
      <c r="L204" s="483"/>
      <c r="M204" s="484"/>
      <c r="N204" s="484"/>
      <c r="O204" s="484"/>
      <c r="P204" s="484"/>
      <c r="Q204" s="484"/>
      <c r="R204" s="484"/>
      <c r="S204" s="484"/>
      <c r="T204" s="484"/>
      <c r="U204" s="484"/>
      <c r="V204" s="484"/>
      <c r="W204" s="484"/>
      <c r="X204" s="484"/>
      <c r="Y204" s="484"/>
      <c r="Z204" s="484"/>
      <c r="AA204" s="484"/>
      <c r="AB204" s="484"/>
      <c r="AC204" s="484"/>
      <c r="AD204" s="484"/>
      <c r="AE204" s="484"/>
      <c r="AF204" s="484"/>
      <c r="AG204" s="484"/>
      <c r="AH204" s="484"/>
      <c r="AI204" s="484"/>
      <c r="AJ204" s="484"/>
      <c r="AK204" s="484"/>
    </row>
    <row r="205" spans="2:37" s="64" customFormat="1" x14ac:dyDescent="0.35">
      <c r="B205" s="30"/>
      <c r="C205" s="30"/>
      <c r="D205" s="30"/>
      <c r="E205" s="30"/>
      <c r="F205" s="258"/>
      <c r="G205" s="30"/>
      <c r="H205" s="482"/>
      <c r="I205" s="482"/>
      <c r="J205" s="482"/>
      <c r="K205" s="482"/>
      <c r="L205" s="483"/>
      <c r="M205" s="484"/>
      <c r="N205" s="484"/>
      <c r="O205" s="484"/>
      <c r="P205" s="484"/>
      <c r="Q205" s="484"/>
      <c r="R205" s="484"/>
      <c r="S205" s="484"/>
      <c r="T205" s="484"/>
      <c r="U205" s="484"/>
      <c r="V205" s="484"/>
      <c r="W205" s="484"/>
      <c r="X205" s="484"/>
      <c r="Y205" s="484"/>
      <c r="Z205" s="484"/>
      <c r="AA205" s="484"/>
      <c r="AB205" s="484"/>
      <c r="AC205" s="484"/>
      <c r="AD205" s="484"/>
      <c r="AE205" s="484"/>
      <c r="AF205" s="484"/>
      <c r="AG205" s="484"/>
      <c r="AH205" s="484"/>
      <c r="AI205" s="484"/>
      <c r="AJ205" s="484"/>
      <c r="AK205" s="484"/>
    </row>
    <row r="206" spans="2:37" s="64" customFormat="1" x14ac:dyDescent="0.35">
      <c r="B206" s="30"/>
      <c r="C206" s="30"/>
      <c r="D206" s="30"/>
      <c r="E206" s="30"/>
      <c r="F206" s="258"/>
      <c r="H206" s="487"/>
      <c r="I206" s="487"/>
      <c r="J206" s="487"/>
      <c r="K206" s="487"/>
      <c r="L206" s="483"/>
      <c r="M206" s="484"/>
      <c r="N206" s="484"/>
      <c r="O206" s="484"/>
      <c r="P206" s="484"/>
      <c r="Q206" s="484"/>
      <c r="R206" s="484"/>
      <c r="S206" s="484"/>
      <c r="T206" s="484"/>
      <c r="U206" s="484"/>
      <c r="V206" s="484"/>
      <c r="W206" s="484"/>
      <c r="X206" s="484"/>
      <c r="Y206" s="484"/>
      <c r="Z206" s="484"/>
      <c r="AA206" s="484"/>
      <c r="AB206" s="484"/>
      <c r="AC206" s="484"/>
      <c r="AD206" s="484"/>
      <c r="AE206" s="484"/>
      <c r="AF206" s="484"/>
      <c r="AG206" s="484"/>
      <c r="AH206" s="484"/>
      <c r="AI206" s="484"/>
      <c r="AJ206" s="484"/>
      <c r="AK206" s="484"/>
    </row>
    <row r="207" spans="2:37" s="64" customFormat="1" x14ac:dyDescent="0.35">
      <c r="B207" s="30"/>
      <c r="C207" s="30"/>
      <c r="D207" s="30"/>
      <c r="E207" s="30"/>
      <c r="F207" s="258"/>
      <c r="G207" s="30"/>
      <c r="H207" s="482"/>
      <c r="I207" s="482"/>
      <c r="J207" s="482"/>
      <c r="K207" s="482"/>
      <c r="L207" s="483"/>
      <c r="M207" s="484"/>
      <c r="N207" s="484"/>
      <c r="O207" s="484"/>
      <c r="P207" s="484"/>
      <c r="Q207" s="484"/>
      <c r="R207" s="484"/>
      <c r="S207" s="484"/>
      <c r="T207" s="484"/>
      <c r="U207" s="484"/>
      <c r="V207" s="484"/>
      <c r="W207" s="484"/>
      <c r="X207" s="484"/>
      <c r="Y207" s="484"/>
      <c r="Z207" s="484"/>
      <c r="AA207" s="484"/>
      <c r="AB207" s="484"/>
      <c r="AC207" s="484"/>
      <c r="AD207" s="484"/>
      <c r="AE207" s="484"/>
      <c r="AF207" s="484"/>
      <c r="AG207" s="484"/>
      <c r="AH207" s="484"/>
      <c r="AI207" s="484"/>
      <c r="AJ207" s="484"/>
      <c r="AK207" s="484"/>
    </row>
    <row r="208" spans="2:37" s="64" customFormat="1" x14ac:dyDescent="0.35">
      <c r="B208" s="30"/>
      <c r="C208" s="30"/>
      <c r="D208" s="30"/>
      <c r="E208" s="30"/>
      <c r="F208" s="258"/>
      <c r="H208" s="487"/>
      <c r="I208" s="487"/>
      <c r="J208" s="487"/>
      <c r="K208" s="487"/>
      <c r="L208" s="483"/>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4"/>
      <c r="AJ208" s="484"/>
      <c r="AK208" s="484"/>
    </row>
    <row r="209" spans="2:37" s="64" customFormat="1" x14ac:dyDescent="0.35">
      <c r="B209" s="30"/>
      <c r="C209" s="30"/>
      <c r="D209" s="30"/>
      <c r="E209" s="30"/>
      <c r="F209" s="258"/>
      <c r="G209" s="30"/>
      <c r="H209" s="482"/>
      <c r="I209" s="482"/>
      <c r="J209" s="482"/>
      <c r="K209" s="482"/>
      <c r="L209" s="483"/>
      <c r="M209" s="484"/>
      <c r="N209" s="484"/>
      <c r="O209" s="484"/>
      <c r="P209" s="484"/>
      <c r="Q209" s="484"/>
      <c r="R209" s="484"/>
      <c r="S209" s="484"/>
      <c r="T209" s="484"/>
      <c r="U209" s="484"/>
      <c r="V209" s="484"/>
      <c r="W209" s="484"/>
      <c r="X209" s="484"/>
      <c r="Y209" s="484"/>
      <c r="Z209" s="484"/>
      <c r="AA209" s="484"/>
      <c r="AB209" s="484"/>
      <c r="AC209" s="484"/>
      <c r="AD209" s="484"/>
      <c r="AE209" s="484"/>
      <c r="AF209" s="484"/>
      <c r="AG209" s="484"/>
      <c r="AH209" s="484"/>
      <c r="AI209" s="484"/>
      <c r="AJ209" s="484"/>
      <c r="AK209" s="484"/>
    </row>
    <row r="210" spans="2:37" s="64" customFormat="1" x14ac:dyDescent="0.35">
      <c r="B210" s="30"/>
      <c r="C210" s="30"/>
      <c r="D210" s="30"/>
      <c r="E210" s="30"/>
      <c r="F210" s="258"/>
      <c r="H210" s="487"/>
      <c r="I210" s="487"/>
      <c r="J210" s="487"/>
      <c r="K210" s="487"/>
      <c r="L210" s="483"/>
      <c r="M210" s="484"/>
      <c r="N210" s="484"/>
      <c r="O210" s="484"/>
      <c r="P210" s="484"/>
      <c r="Q210" s="484"/>
      <c r="R210" s="484"/>
      <c r="S210" s="484"/>
      <c r="T210" s="484"/>
      <c r="U210" s="484"/>
      <c r="V210" s="484"/>
      <c r="W210" s="484"/>
      <c r="X210" s="484"/>
      <c r="Y210" s="484"/>
      <c r="Z210" s="484"/>
      <c r="AA210" s="484"/>
      <c r="AB210" s="484"/>
      <c r="AC210" s="484"/>
      <c r="AD210" s="484"/>
      <c r="AE210" s="484"/>
      <c r="AF210" s="484"/>
      <c r="AG210" s="484"/>
      <c r="AH210" s="484"/>
      <c r="AI210" s="484"/>
      <c r="AJ210" s="484"/>
      <c r="AK210" s="484"/>
    </row>
    <row r="211" spans="2:37" s="64" customFormat="1" x14ac:dyDescent="0.35">
      <c r="B211" s="30"/>
      <c r="C211" s="30"/>
      <c r="D211" s="30"/>
      <c r="E211" s="30"/>
      <c r="F211" s="258"/>
      <c r="G211" s="30"/>
      <c r="H211" s="482"/>
      <c r="I211" s="482"/>
      <c r="J211" s="482"/>
      <c r="K211" s="482"/>
      <c r="L211" s="483"/>
      <c r="M211" s="484"/>
      <c r="N211" s="484"/>
      <c r="O211" s="484"/>
      <c r="P211" s="484"/>
      <c r="Q211" s="484"/>
      <c r="R211" s="484"/>
      <c r="S211" s="484"/>
      <c r="T211" s="484"/>
      <c r="U211" s="484"/>
      <c r="V211" s="484"/>
      <c r="W211" s="484"/>
      <c r="X211" s="484"/>
      <c r="Y211" s="484"/>
      <c r="Z211" s="484"/>
      <c r="AA211" s="484"/>
      <c r="AB211" s="484"/>
      <c r="AC211" s="484"/>
      <c r="AD211" s="484"/>
      <c r="AE211" s="484"/>
      <c r="AF211" s="484"/>
      <c r="AG211" s="484"/>
      <c r="AH211" s="484"/>
      <c r="AI211" s="484"/>
      <c r="AJ211" s="484"/>
      <c r="AK211" s="484"/>
    </row>
    <row r="212" spans="2:37" s="64" customFormat="1" x14ac:dyDescent="0.35">
      <c r="B212" s="30"/>
      <c r="C212" s="30"/>
      <c r="D212" s="30"/>
      <c r="E212" s="30"/>
      <c r="F212" s="258"/>
      <c r="H212" s="487"/>
      <c r="I212" s="487"/>
      <c r="J212" s="487"/>
      <c r="K212" s="487"/>
      <c r="L212" s="483"/>
      <c r="M212" s="484"/>
      <c r="N212" s="484"/>
      <c r="O212" s="484"/>
      <c r="P212" s="484"/>
      <c r="Q212" s="484"/>
      <c r="R212" s="484"/>
      <c r="S212" s="484"/>
      <c r="T212" s="484"/>
      <c r="U212" s="484"/>
      <c r="V212" s="484"/>
      <c r="W212" s="484"/>
      <c r="X212" s="484"/>
      <c r="Y212" s="484"/>
      <c r="Z212" s="484"/>
      <c r="AA212" s="484"/>
      <c r="AB212" s="484"/>
      <c r="AC212" s="484"/>
      <c r="AD212" s="484"/>
      <c r="AE212" s="484"/>
      <c r="AF212" s="484"/>
      <c r="AG212" s="484"/>
      <c r="AH212" s="484"/>
      <c r="AI212" s="484"/>
      <c r="AJ212" s="484"/>
      <c r="AK212" s="484"/>
    </row>
    <row r="213" spans="2:37" s="64" customFormat="1" x14ac:dyDescent="0.35">
      <c r="B213" s="30"/>
      <c r="C213" s="30"/>
      <c r="D213" s="30"/>
      <c r="E213" s="30"/>
      <c r="F213" s="258"/>
      <c r="G213" s="30"/>
      <c r="H213" s="482"/>
      <c r="I213" s="482"/>
      <c r="J213" s="482"/>
      <c r="K213" s="482"/>
      <c r="L213" s="483"/>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84"/>
      <c r="AK213" s="484"/>
    </row>
    <row r="214" spans="2:37" s="64" customFormat="1" x14ac:dyDescent="0.35">
      <c r="B214" s="30"/>
      <c r="C214" s="30"/>
      <c r="D214" s="30"/>
      <c r="E214" s="30"/>
      <c r="F214" s="258"/>
      <c r="H214" s="487"/>
      <c r="I214" s="487"/>
      <c r="J214" s="487"/>
      <c r="K214" s="487"/>
      <c r="L214" s="483"/>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row>
    <row r="215" spans="2:37" s="64" customFormat="1" x14ac:dyDescent="0.35">
      <c r="B215" s="30"/>
      <c r="C215" s="30"/>
      <c r="D215" s="30"/>
      <c r="E215" s="30"/>
      <c r="F215" s="258"/>
      <c r="G215" s="30"/>
      <c r="H215" s="482"/>
      <c r="I215" s="482"/>
      <c r="J215" s="482"/>
      <c r="K215" s="482"/>
      <c r="L215" s="483"/>
      <c r="M215" s="484"/>
      <c r="N215" s="484"/>
      <c r="O215" s="484"/>
      <c r="P215" s="484"/>
      <c r="Q215" s="484"/>
      <c r="R215" s="484"/>
      <c r="S215" s="484"/>
      <c r="T215" s="484"/>
      <c r="U215" s="484"/>
      <c r="V215" s="484"/>
      <c r="W215" s="484"/>
      <c r="X215" s="484"/>
      <c r="Y215" s="484"/>
      <c r="Z215" s="484"/>
      <c r="AA215" s="484"/>
      <c r="AB215" s="484"/>
      <c r="AC215" s="484"/>
      <c r="AD215" s="484"/>
      <c r="AE215" s="484"/>
      <c r="AF215" s="484"/>
      <c r="AG215" s="484"/>
      <c r="AH215" s="484"/>
      <c r="AI215" s="484"/>
      <c r="AJ215" s="484"/>
      <c r="AK215" s="484"/>
    </row>
    <row r="216" spans="2:37" s="64" customFormat="1" x14ac:dyDescent="0.35">
      <c r="B216" s="30"/>
      <c r="C216" s="30"/>
      <c r="D216" s="30"/>
      <c r="E216" s="30"/>
      <c r="F216" s="258"/>
      <c r="H216" s="487"/>
      <c r="I216" s="487"/>
      <c r="J216" s="487"/>
      <c r="K216" s="487"/>
      <c r="L216" s="483"/>
      <c r="M216" s="484"/>
      <c r="N216" s="484"/>
      <c r="O216" s="484"/>
      <c r="P216" s="484"/>
      <c r="Q216" s="484"/>
      <c r="R216" s="484"/>
      <c r="S216" s="484"/>
      <c r="T216" s="484"/>
      <c r="U216" s="484"/>
      <c r="V216" s="484"/>
      <c r="W216" s="484"/>
      <c r="X216" s="484"/>
      <c r="Y216" s="484"/>
      <c r="Z216" s="484"/>
      <c r="AA216" s="484"/>
      <c r="AB216" s="484"/>
      <c r="AC216" s="484"/>
      <c r="AD216" s="484"/>
      <c r="AE216" s="484"/>
      <c r="AF216" s="484"/>
      <c r="AG216" s="484"/>
      <c r="AH216" s="484"/>
      <c r="AI216" s="484"/>
      <c r="AJ216" s="484"/>
      <c r="AK216" s="484"/>
    </row>
    <row r="217" spans="2:37" s="64" customFormat="1" x14ac:dyDescent="0.35">
      <c r="B217" s="30"/>
      <c r="C217" s="30"/>
      <c r="D217" s="30"/>
      <c r="E217" s="30"/>
      <c r="F217" s="258"/>
      <c r="G217" s="30"/>
      <c r="H217" s="482"/>
      <c r="I217" s="482"/>
      <c r="J217" s="482"/>
      <c r="K217" s="482"/>
      <c r="L217" s="483"/>
      <c r="M217" s="484"/>
      <c r="N217" s="484"/>
      <c r="O217" s="484"/>
      <c r="P217" s="484"/>
      <c r="Q217" s="484"/>
      <c r="R217" s="484"/>
      <c r="S217" s="484"/>
      <c r="T217" s="484"/>
      <c r="U217" s="484"/>
      <c r="V217" s="484"/>
      <c r="W217" s="484"/>
      <c r="X217" s="484"/>
      <c r="Y217" s="484"/>
      <c r="Z217" s="484"/>
      <c r="AA217" s="484"/>
      <c r="AB217" s="484"/>
      <c r="AC217" s="484"/>
      <c r="AD217" s="484"/>
      <c r="AE217" s="484"/>
      <c r="AF217" s="484"/>
      <c r="AG217" s="484"/>
      <c r="AH217" s="484"/>
      <c r="AI217" s="484"/>
      <c r="AJ217" s="484"/>
      <c r="AK217" s="484"/>
    </row>
    <row r="218" spans="2:37" s="64" customFormat="1" x14ac:dyDescent="0.35">
      <c r="B218" s="30"/>
      <c r="C218" s="30"/>
      <c r="D218" s="30"/>
      <c r="E218" s="30"/>
      <c r="F218" s="258"/>
      <c r="H218" s="487"/>
      <c r="I218" s="487"/>
      <c r="J218" s="487"/>
      <c r="K218" s="487"/>
      <c r="L218" s="483"/>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row>
    <row r="219" spans="2:37" s="64" customFormat="1" x14ac:dyDescent="0.35">
      <c r="B219" s="30"/>
      <c r="C219" s="30"/>
      <c r="D219" s="30"/>
      <c r="E219" s="30"/>
      <c r="F219" s="258"/>
      <c r="G219" s="30"/>
      <c r="H219" s="482"/>
      <c r="I219" s="482"/>
      <c r="J219" s="482"/>
      <c r="K219" s="482"/>
      <c r="L219" s="483"/>
      <c r="M219" s="484"/>
      <c r="N219" s="484"/>
      <c r="O219" s="484"/>
      <c r="P219" s="484"/>
      <c r="Q219" s="484"/>
      <c r="R219" s="484"/>
      <c r="S219" s="484"/>
      <c r="T219" s="484"/>
      <c r="U219" s="484"/>
      <c r="V219" s="484"/>
      <c r="W219" s="484"/>
      <c r="X219" s="484"/>
      <c r="Y219" s="484"/>
      <c r="Z219" s="484"/>
      <c r="AA219" s="484"/>
      <c r="AB219" s="484"/>
      <c r="AC219" s="484"/>
      <c r="AD219" s="484"/>
      <c r="AE219" s="484"/>
      <c r="AF219" s="484"/>
      <c r="AG219" s="484"/>
      <c r="AH219" s="484"/>
      <c r="AI219" s="484"/>
      <c r="AJ219" s="484"/>
      <c r="AK219" s="484"/>
    </row>
    <row r="220" spans="2:37" s="64" customFormat="1" x14ac:dyDescent="0.35">
      <c r="B220" s="30"/>
      <c r="C220" s="30"/>
      <c r="D220" s="30"/>
      <c r="E220" s="30"/>
      <c r="F220" s="258"/>
      <c r="H220" s="487"/>
      <c r="I220" s="487"/>
      <c r="J220" s="487"/>
      <c r="K220" s="487"/>
      <c r="L220" s="483"/>
      <c r="M220" s="484"/>
      <c r="N220" s="484"/>
      <c r="O220" s="484"/>
      <c r="P220" s="484"/>
      <c r="Q220" s="484"/>
      <c r="R220" s="484"/>
      <c r="S220" s="484"/>
      <c r="T220" s="484"/>
      <c r="U220" s="484"/>
      <c r="V220" s="484"/>
      <c r="W220" s="484"/>
      <c r="X220" s="484"/>
      <c r="Y220" s="484"/>
      <c r="Z220" s="484"/>
      <c r="AA220" s="484"/>
      <c r="AB220" s="484"/>
      <c r="AC220" s="484"/>
      <c r="AD220" s="484"/>
      <c r="AE220" s="484"/>
      <c r="AF220" s="484"/>
      <c r="AG220" s="484"/>
      <c r="AH220" s="484"/>
      <c r="AI220" s="484"/>
      <c r="AJ220" s="484"/>
      <c r="AK220" s="484"/>
    </row>
    <row r="221" spans="2:37" s="64" customFormat="1" x14ac:dyDescent="0.35">
      <c r="B221" s="30"/>
      <c r="C221" s="30"/>
      <c r="D221" s="30"/>
      <c r="E221" s="30"/>
      <c r="F221" s="258"/>
      <c r="G221" s="30"/>
      <c r="H221" s="482"/>
      <c r="I221" s="482"/>
      <c r="J221" s="482"/>
      <c r="K221" s="482"/>
      <c r="L221" s="483"/>
      <c r="M221" s="484"/>
      <c r="N221" s="484"/>
      <c r="O221" s="484"/>
      <c r="P221" s="484"/>
      <c r="Q221" s="484"/>
      <c r="R221" s="484"/>
      <c r="S221" s="484"/>
      <c r="T221" s="484"/>
      <c r="U221" s="484"/>
      <c r="V221" s="484"/>
      <c r="W221" s="484"/>
      <c r="X221" s="484"/>
      <c r="Y221" s="484"/>
      <c r="Z221" s="484"/>
      <c r="AA221" s="484"/>
      <c r="AB221" s="484"/>
      <c r="AC221" s="484"/>
      <c r="AD221" s="484"/>
      <c r="AE221" s="484"/>
      <c r="AF221" s="484"/>
      <c r="AG221" s="484"/>
      <c r="AH221" s="484"/>
      <c r="AI221" s="484"/>
      <c r="AJ221" s="484"/>
      <c r="AK221" s="484"/>
    </row>
    <row r="222" spans="2:37" s="64" customFormat="1" x14ac:dyDescent="0.35">
      <c r="B222" s="30"/>
      <c r="C222" s="30"/>
      <c r="D222" s="30"/>
      <c r="E222" s="30"/>
      <c r="F222" s="258"/>
      <c r="H222" s="487"/>
      <c r="I222" s="487"/>
      <c r="J222" s="487"/>
      <c r="K222" s="487"/>
      <c r="L222" s="483"/>
      <c r="M222" s="484"/>
      <c r="N222" s="484"/>
      <c r="O222" s="484"/>
      <c r="P222" s="484"/>
      <c r="Q222" s="484"/>
      <c r="R222" s="484"/>
      <c r="S222" s="484"/>
      <c r="T222" s="484"/>
      <c r="U222" s="484"/>
      <c r="V222" s="484"/>
      <c r="W222" s="484"/>
      <c r="X222" s="484"/>
      <c r="Y222" s="484"/>
      <c r="Z222" s="484"/>
      <c r="AA222" s="484"/>
      <c r="AB222" s="484"/>
      <c r="AC222" s="484"/>
      <c r="AD222" s="484"/>
      <c r="AE222" s="484"/>
      <c r="AF222" s="484"/>
      <c r="AG222" s="484"/>
      <c r="AH222" s="484"/>
      <c r="AI222" s="484"/>
      <c r="AJ222" s="484"/>
      <c r="AK222" s="484"/>
    </row>
    <row r="223" spans="2:37" s="64" customFormat="1" x14ac:dyDescent="0.35">
      <c r="B223" s="30"/>
      <c r="C223" s="30"/>
      <c r="D223" s="30"/>
      <c r="E223" s="30"/>
      <c r="F223" s="258"/>
      <c r="G223" s="30"/>
      <c r="H223" s="482"/>
      <c r="I223" s="482"/>
      <c r="J223" s="482"/>
      <c r="K223" s="482"/>
      <c r="L223" s="483"/>
      <c r="M223" s="484"/>
      <c r="N223" s="484"/>
      <c r="O223" s="484"/>
      <c r="P223" s="484"/>
      <c r="Q223" s="484"/>
      <c r="R223" s="484"/>
      <c r="S223" s="484"/>
      <c r="T223" s="484"/>
      <c r="U223" s="484"/>
      <c r="V223" s="484"/>
      <c r="W223" s="484"/>
      <c r="X223" s="484"/>
      <c r="Y223" s="484"/>
      <c r="Z223" s="484"/>
      <c r="AA223" s="484"/>
      <c r="AB223" s="484"/>
      <c r="AC223" s="484"/>
      <c r="AD223" s="484"/>
      <c r="AE223" s="484"/>
      <c r="AF223" s="484"/>
      <c r="AG223" s="484"/>
      <c r="AH223" s="484"/>
      <c r="AI223" s="484"/>
      <c r="AJ223" s="484"/>
      <c r="AK223" s="484"/>
    </row>
    <row r="224" spans="2:37" s="64" customFormat="1" x14ac:dyDescent="0.35">
      <c r="B224" s="30"/>
      <c r="C224" s="30"/>
      <c r="D224" s="30"/>
      <c r="E224" s="30"/>
      <c r="F224" s="258"/>
      <c r="H224" s="487"/>
      <c r="I224" s="487"/>
      <c r="J224" s="487"/>
      <c r="K224" s="487"/>
      <c r="L224" s="483"/>
      <c r="M224" s="484"/>
      <c r="N224" s="484"/>
      <c r="O224" s="484"/>
      <c r="P224" s="484"/>
      <c r="Q224" s="484"/>
      <c r="R224" s="484"/>
      <c r="S224" s="484"/>
      <c r="T224" s="484"/>
      <c r="U224" s="484"/>
      <c r="V224" s="484"/>
      <c r="W224" s="484"/>
      <c r="X224" s="484"/>
      <c r="Y224" s="484"/>
      <c r="Z224" s="484"/>
      <c r="AA224" s="484"/>
      <c r="AB224" s="484"/>
      <c r="AC224" s="484"/>
      <c r="AD224" s="484"/>
      <c r="AE224" s="484"/>
      <c r="AF224" s="484"/>
      <c r="AG224" s="484"/>
      <c r="AH224" s="484"/>
      <c r="AI224" s="484"/>
      <c r="AJ224" s="484"/>
      <c r="AK224" s="484"/>
    </row>
    <row r="225" spans="2:37" s="64" customFormat="1" x14ac:dyDescent="0.35">
      <c r="B225" s="30"/>
      <c r="C225" s="30"/>
      <c r="D225" s="30"/>
      <c r="E225" s="30"/>
      <c r="F225" s="258"/>
      <c r="G225" s="30"/>
      <c r="H225" s="482"/>
      <c r="I225" s="482"/>
      <c r="J225" s="482"/>
      <c r="K225" s="482"/>
      <c r="L225" s="483"/>
      <c r="M225" s="484"/>
      <c r="N225" s="484"/>
      <c r="O225" s="484"/>
      <c r="P225" s="484"/>
      <c r="Q225" s="484"/>
      <c r="R225" s="484"/>
      <c r="S225" s="484"/>
      <c r="T225" s="484"/>
      <c r="U225" s="484"/>
      <c r="V225" s="484"/>
      <c r="W225" s="484"/>
      <c r="X225" s="484"/>
      <c r="Y225" s="484"/>
      <c r="Z225" s="484"/>
      <c r="AA225" s="484"/>
      <c r="AB225" s="484"/>
      <c r="AC225" s="484"/>
      <c r="AD225" s="484"/>
      <c r="AE225" s="484"/>
      <c r="AF225" s="484"/>
      <c r="AG225" s="484"/>
      <c r="AH225" s="484"/>
      <c r="AI225" s="484"/>
      <c r="AJ225" s="484"/>
      <c r="AK225" s="484"/>
    </row>
    <row r="226" spans="2:37" s="64" customFormat="1" x14ac:dyDescent="0.35">
      <c r="B226" s="30"/>
      <c r="C226" s="30"/>
      <c r="D226" s="30"/>
      <c r="E226" s="30"/>
      <c r="F226" s="258"/>
      <c r="H226" s="487"/>
      <c r="I226" s="487"/>
      <c r="J226" s="487"/>
      <c r="K226" s="487"/>
      <c r="L226" s="483"/>
      <c r="M226" s="484"/>
      <c r="N226" s="484"/>
      <c r="O226" s="484"/>
      <c r="P226" s="484"/>
      <c r="Q226" s="484"/>
      <c r="R226" s="484"/>
      <c r="S226" s="484"/>
      <c r="T226" s="484"/>
      <c r="U226" s="484"/>
      <c r="V226" s="484"/>
      <c r="W226" s="484"/>
      <c r="X226" s="484"/>
      <c r="Y226" s="484"/>
      <c r="Z226" s="484"/>
      <c r="AA226" s="484"/>
      <c r="AB226" s="484"/>
      <c r="AC226" s="484"/>
      <c r="AD226" s="484"/>
      <c r="AE226" s="484"/>
      <c r="AF226" s="484"/>
      <c r="AG226" s="484"/>
      <c r="AH226" s="484"/>
      <c r="AI226" s="484"/>
      <c r="AJ226" s="484"/>
      <c r="AK226" s="484"/>
    </row>
    <row r="227" spans="2:37" s="64" customFormat="1" x14ac:dyDescent="0.35">
      <c r="B227" s="30"/>
      <c r="C227" s="30"/>
      <c r="D227" s="30"/>
      <c r="E227" s="30"/>
      <c r="F227" s="258"/>
      <c r="G227" s="30"/>
      <c r="H227" s="482"/>
      <c r="I227" s="482"/>
      <c r="J227" s="482"/>
      <c r="K227" s="482"/>
      <c r="L227" s="483"/>
      <c r="M227" s="484"/>
      <c r="N227" s="484"/>
      <c r="O227" s="484"/>
      <c r="P227" s="484"/>
      <c r="Q227" s="484"/>
      <c r="R227" s="484"/>
      <c r="S227" s="484"/>
      <c r="T227" s="484"/>
      <c r="U227" s="484"/>
      <c r="V227" s="484"/>
      <c r="W227" s="484"/>
      <c r="X227" s="484"/>
      <c r="Y227" s="484"/>
      <c r="Z227" s="484"/>
      <c r="AA227" s="484"/>
      <c r="AB227" s="484"/>
      <c r="AC227" s="484"/>
      <c r="AD227" s="484"/>
      <c r="AE227" s="484"/>
      <c r="AF227" s="484"/>
      <c r="AG227" s="484"/>
      <c r="AH227" s="484"/>
      <c r="AI227" s="484"/>
      <c r="AJ227" s="484"/>
      <c r="AK227" s="484"/>
    </row>
    <row r="228" spans="2:37" s="64" customFormat="1" x14ac:dyDescent="0.35">
      <c r="B228" s="30"/>
      <c r="C228" s="30"/>
      <c r="D228" s="30"/>
      <c r="E228" s="30"/>
      <c r="F228" s="258"/>
      <c r="H228" s="487"/>
      <c r="I228" s="487"/>
      <c r="J228" s="487"/>
      <c r="K228" s="487"/>
      <c r="L228" s="483"/>
      <c r="M228" s="484"/>
      <c r="N228" s="484"/>
      <c r="O228" s="484"/>
      <c r="P228" s="484"/>
      <c r="Q228" s="484"/>
      <c r="R228" s="484"/>
      <c r="S228" s="484"/>
      <c r="T228" s="484"/>
      <c r="U228" s="484"/>
      <c r="V228" s="484"/>
      <c r="W228" s="484"/>
      <c r="X228" s="484"/>
      <c r="Y228" s="484"/>
      <c r="Z228" s="484"/>
      <c r="AA228" s="484"/>
      <c r="AB228" s="484"/>
      <c r="AC228" s="484"/>
      <c r="AD228" s="484"/>
      <c r="AE228" s="484"/>
      <c r="AF228" s="484"/>
      <c r="AG228" s="484"/>
      <c r="AH228" s="484"/>
      <c r="AI228" s="484"/>
      <c r="AJ228" s="484"/>
      <c r="AK228" s="484"/>
    </row>
    <row r="229" spans="2:37" s="64" customFormat="1" x14ac:dyDescent="0.35">
      <c r="B229" s="30"/>
      <c r="C229" s="30"/>
      <c r="D229" s="30"/>
      <c r="E229" s="30"/>
      <c r="F229" s="258"/>
      <c r="G229" s="30"/>
      <c r="H229" s="482"/>
      <c r="I229" s="482"/>
      <c r="J229" s="482"/>
      <c r="K229" s="482"/>
      <c r="L229" s="483"/>
      <c r="M229" s="484"/>
      <c r="N229" s="484"/>
      <c r="O229" s="484"/>
      <c r="P229" s="484"/>
      <c r="Q229" s="484"/>
      <c r="R229" s="484"/>
      <c r="S229" s="484"/>
      <c r="T229" s="484"/>
      <c r="U229" s="484"/>
      <c r="V229" s="484"/>
      <c r="W229" s="484"/>
      <c r="X229" s="484"/>
      <c r="Y229" s="484"/>
      <c r="Z229" s="484"/>
      <c r="AA229" s="484"/>
      <c r="AB229" s="484"/>
      <c r="AC229" s="484"/>
      <c r="AD229" s="484"/>
      <c r="AE229" s="484"/>
      <c r="AF229" s="484"/>
      <c r="AG229" s="484"/>
      <c r="AH229" s="484"/>
      <c r="AI229" s="484"/>
      <c r="AJ229" s="484"/>
      <c r="AK229" s="484"/>
    </row>
    <row r="230" spans="2:37" s="64" customFormat="1" x14ac:dyDescent="0.35">
      <c r="B230" s="30"/>
      <c r="C230" s="30"/>
      <c r="D230" s="30"/>
      <c r="E230" s="30"/>
      <c r="F230" s="258"/>
      <c r="H230" s="487"/>
      <c r="I230" s="487"/>
      <c r="J230" s="487"/>
      <c r="K230" s="487"/>
      <c r="L230" s="483"/>
      <c r="M230" s="484"/>
      <c r="N230" s="484"/>
      <c r="O230" s="484"/>
      <c r="P230" s="484"/>
      <c r="Q230" s="484"/>
      <c r="R230" s="484"/>
      <c r="S230" s="484"/>
      <c r="T230" s="484"/>
      <c r="U230" s="484"/>
      <c r="V230" s="484"/>
      <c r="W230" s="484"/>
      <c r="X230" s="484"/>
      <c r="Y230" s="484"/>
      <c r="Z230" s="484"/>
      <c r="AA230" s="484"/>
      <c r="AB230" s="484"/>
      <c r="AC230" s="484"/>
      <c r="AD230" s="484"/>
      <c r="AE230" s="484"/>
      <c r="AF230" s="484"/>
      <c r="AG230" s="484"/>
      <c r="AH230" s="484"/>
      <c r="AI230" s="484"/>
      <c r="AJ230" s="484"/>
      <c r="AK230" s="484"/>
    </row>
    <row r="231" spans="2:37" s="64" customFormat="1" x14ac:dyDescent="0.35">
      <c r="B231" s="30"/>
      <c r="C231" s="30"/>
      <c r="D231" s="30"/>
      <c r="E231" s="30"/>
      <c r="F231" s="258"/>
      <c r="G231" s="30"/>
      <c r="H231" s="482"/>
      <c r="I231" s="482"/>
      <c r="J231" s="482"/>
      <c r="K231" s="482"/>
      <c r="L231" s="483"/>
      <c r="M231" s="484"/>
      <c r="N231" s="484"/>
      <c r="O231" s="484"/>
      <c r="P231" s="484"/>
      <c r="Q231" s="484"/>
      <c r="R231" s="484"/>
      <c r="S231" s="484"/>
      <c r="T231" s="484"/>
      <c r="U231" s="484"/>
      <c r="V231" s="484"/>
      <c r="W231" s="484"/>
      <c r="X231" s="484"/>
      <c r="Y231" s="484"/>
      <c r="Z231" s="484"/>
      <c r="AA231" s="484"/>
      <c r="AB231" s="484"/>
      <c r="AC231" s="484"/>
      <c r="AD231" s="484"/>
      <c r="AE231" s="484"/>
      <c r="AF231" s="484"/>
      <c r="AG231" s="484"/>
      <c r="AH231" s="484"/>
      <c r="AI231" s="484"/>
      <c r="AJ231" s="484"/>
      <c r="AK231" s="484"/>
    </row>
    <row r="232" spans="2:37" s="64" customFormat="1" x14ac:dyDescent="0.35">
      <c r="B232" s="30"/>
      <c r="C232" s="30"/>
      <c r="D232" s="30"/>
      <c r="E232" s="30"/>
      <c r="F232" s="258"/>
      <c r="H232" s="487"/>
      <c r="I232" s="487"/>
      <c r="J232" s="487"/>
      <c r="K232" s="487"/>
      <c r="L232" s="483"/>
      <c r="M232" s="484"/>
      <c r="N232" s="484"/>
      <c r="O232" s="484"/>
      <c r="P232" s="484"/>
      <c r="Q232" s="484"/>
      <c r="R232" s="484"/>
      <c r="S232" s="484"/>
      <c r="T232" s="484"/>
      <c r="U232" s="484"/>
      <c r="V232" s="484"/>
      <c r="W232" s="484"/>
      <c r="X232" s="484"/>
      <c r="Y232" s="484"/>
      <c r="Z232" s="484"/>
      <c r="AA232" s="484"/>
      <c r="AB232" s="484"/>
      <c r="AC232" s="484"/>
      <c r="AD232" s="484"/>
      <c r="AE232" s="484"/>
      <c r="AF232" s="484"/>
      <c r="AG232" s="484"/>
      <c r="AH232" s="484"/>
      <c r="AI232" s="484"/>
      <c r="AJ232" s="484"/>
      <c r="AK232" s="484"/>
    </row>
    <row r="233" spans="2:37" s="64" customFormat="1" x14ac:dyDescent="0.35">
      <c r="B233" s="30"/>
      <c r="C233" s="30"/>
      <c r="D233" s="30"/>
      <c r="E233" s="30"/>
      <c r="F233" s="258"/>
      <c r="G233" s="30"/>
      <c r="H233" s="482"/>
      <c r="I233" s="482"/>
      <c r="J233" s="482"/>
      <c r="K233" s="482"/>
      <c r="L233" s="483"/>
      <c r="M233" s="484"/>
      <c r="N233" s="484"/>
      <c r="O233" s="484"/>
      <c r="P233" s="484"/>
      <c r="Q233" s="484"/>
      <c r="R233" s="484"/>
      <c r="S233" s="484"/>
      <c r="T233" s="484"/>
      <c r="U233" s="484"/>
      <c r="V233" s="484"/>
      <c r="W233" s="484"/>
      <c r="X233" s="484"/>
      <c r="Y233" s="484"/>
      <c r="Z233" s="484"/>
      <c r="AA233" s="484"/>
      <c r="AB233" s="484"/>
      <c r="AC233" s="484"/>
      <c r="AD233" s="484"/>
      <c r="AE233" s="484"/>
      <c r="AF233" s="484"/>
      <c r="AG233" s="484"/>
      <c r="AH233" s="484"/>
      <c r="AI233" s="484"/>
      <c r="AJ233" s="484"/>
      <c r="AK233" s="484"/>
    </row>
    <row r="234" spans="2:37" s="64" customFormat="1" x14ac:dyDescent="0.35">
      <c r="B234" s="30"/>
      <c r="C234" s="30"/>
      <c r="D234" s="30"/>
      <c r="E234" s="30"/>
      <c r="F234" s="258"/>
      <c r="H234" s="487"/>
      <c r="I234" s="487"/>
      <c r="J234" s="487"/>
      <c r="K234" s="487"/>
      <c r="L234" s="483"/>
      <c r="M234" s="484"/>
      <c r="N234" s="484"/>
      <c r="O234" s="484"/>
      <c r="P234" s="484"/>
      <c r="Q234" s="484"/>
      <c r="R234" s="484"/>
      <c r="S234" s="484"/>
      <c r="T234" s="484"/>
      <c r="U234" s="484"/>
      <c r="V234" s="484"/>
      <c r="W234" s="484"/>
      <c r="X234" s="484"/>
      <c r="Y234" s="484"/>
      <c r="Z234" s="484"/>
      <c r="AA234" s="484"/>
      <c r="AB234" s="484"/>
      <c r="AC234" s="484"/>
      <c r="AD234" s="484"/>
      <c r="AE234" s="484"/>
      <c r="AF234" s="484"/>
      <c r="AG234" s="484"/>
      <c r="AH234" s="484"/>
      <c r="AI234" s="484"/>
      <c r="AJ234" s="484"/>
      <c r="AK234" s="484"/>
    </row>
    <row r="235" spans="2:37" s="64" customFormat="1" x14ac:dyDescent="0.35">
      <c r="B235" s="30"/>
      <c r="C235" s="30"/>
      <c r="D235" s="30"/>
      <c r="E235" s="30"/>
      <c r="F235" s="258"/>
      <c r="G235" s="30"/>
      <c r="H235" s="482"/>
      <c r="I235" s="482"/>
      <c r="J235" s="482"/>
      <c r="K235" s="482"/>
      <c r="L235" s="483"/>
      <c r="M235" s="484"/>
      <c r="N235" s="484"/>
      <c r="O235" s="484"/>
      <c r="P235" s="484"/>
      <c r="Q235" s="484"/>
      <c r="R235" s="484"/>
      <c r="S235" s="484"/>
      <c r="T235" s="484"/>
      <c r="U235" s="484"/>
      <c r="V235" s="484"/>
      <c r="W235" s="484"/>
      <c r="X235" s="484"/>
      <c r="Y235" s="484"/>
      <c r="Z235" s="484"/>
      <c r="AA235" s="484"/>
      <c r="AB235" s="484"/>
      <c r="AC235" s="484"/>
      <c r="AD235" s="484"/>
      <c r="AE235" s="484"/>
      <c r="AF235" s="484"/>
      <c r="AG235" s="484"/>
      <c r="AH235" s="484"/>
      <c r="AI235" s="484"/>
      <c r="AJ235" s="484"/>
      <c r="AK235" s="484"/>
    </row>
    <row r="236" spans="2:37" s="64" customFormat="1" x14ac:dyDescent="0.35">
      <c r="B236" s="30"/>
      <c r="C236" s="30"/>
      <c r="D236" s="30"/>
      <c r="E236" s="30"/>
      <c r="F236" s="258"/>
      <c r="H236" s="487"/>
      <c r="I236" s="487"/>
      <c r="J236" s="487"/>
      <c r="K236" s="487"/>
      <c r="L236" s="483"/>
      <c r="M236" s="484"/>
      <c r="N236" s="484"/>
      <c r="O236" s="484"/>
      <c r="P236" s="484"/>
      <c r="Q236" s="484"/>
      <c r="R236" s="484"/>
      <c r="S236" s="484"/>
      <c r="T236" s="484"/>
      <c r="U236" s="484"/>
      <c r="V236" s="484"/>
      <c r="W236" s="484"/>
      <c r="X236" s="484"/>
      <c r="Y236" s="484"/>
      <c r="Z236" s="484"/>
      <c r="AA236" s="484"/>
      <c r="AB236" s="484"/>
      <c r="AC236" s="484"/>
      <c r="AD236" s="484"/>
      <c r="AE236" s="484"/>
      <c r="AF236" s="484"/>
      <c r="AG236" s="484"/>
      <c r="AH236" s="484"/>
      <c r="AI236" s="484"/>
      <c r="AJ236" s="484"/>
      <c r="AK236" s="484"/>
    </row>
    <row r="237" spans="2:37" s="64" customFormat="1" x14ac:dyDescent="0.35">
      <c r="B237" s="30"/>
      <c r="C237" s="30"/>
      <c r="D237" s="30"/>
      <c r="E237" s="30"/>
      <c r="F237" s="258"/>
      <c r="G237" s="30"/>
      <c r="H237" s="482"/>
      <c r="I237" s="482"/>
      <c r="J237" s="482"/>
      <c r="K237" s="482"/>
      <c r="L237" s="483"/>
      <c r="M237" s="484"/>
      <c r="N237" s="484"/>
      <c r="O237" s="484"/>
      <c r="P237" s="484"/>
      <c r="Q237" s="484"/>
      <c r="R237" s="484"/>
      <c r="S237" s="484"/>
      <c r="T237" s="484"/>
      <c r="U237" s="484"/>
      <c r="V237" s="484"/>
      <c r="W237" s="484"/>
      <c r="X237" s="484"/>
      <c r="Y237" s="484"/>
      <c r="Z237" s="484"/>
      <c r="AA237" s="484"/>
      <c r="AB237" s="484"/>
      <c r="AC237" s="484"/>
      <c r="AD237" s="484"/>
      <c r="AE237" s="484"/>
      <c r="AF237" s="484"/>
      <c r="AG237" s="484"/>
      <c r="AH237" s="484"/>
      <c r="AI237" s="484"/>
      <c r="AJ237" s="484"/>
      <c r="AK237" s="484"/>
    </row>
    <row r="238" spans="2:37" s="64" customFormat="1" x14ac:dyDescent="0.35">
      <c r="B238" s="30"/>
      <c r="C238" s="30"/>
      <c r="D238" s="30"/>
      <c r="E238" s="30"/>
      <c r="F238" s="258"/>
      <c r="H238" s="487"/>
      <c r="I238" s="487"/>
      <c r="J238" s="487"/>
      <c r="K238" s="487"/>
      <c r="L238" s="483"/>
      <c r="M238" s="484"/>
      <c r="N238" s="484"/>
      <c r="O238" s="484"/>
      <c r="P238" s="484"/>
      <c r="Q238" s="484"/>
      <c r="R238" s="484"/>
      <c r="S238" s="484"/>
      <c r="T238" s="484"/>
      <c r="U238" s="484"/>
      <c r="V238" s="484"/>
      <c r="W238" s="484"/>
      <c r="X238" s="484"/>
      <c r="Y238" s="484"/>
      <c r="Z238" s="484"/>
      <c r="AA238" s="484"/>
      <c r="AB238" s="484"/>
      <c r="AC238" s="484"/>
      <c r="AD238" s="484"/>
      <c r="AE238" s="484"/>
      <c r="AF238" s="484"/>
      <c r="AG238" s="484"/>
      <c r="AH238" s="484"/>
      <c r="AI238" s="484"/>
      <c r="AJ238" s="484"/>
      <c r="AK238" s="484"/>
    </row>
    <row r="239" spans="2:37" s="64" customFormat="1" x14ac:dyDescent="0.35">
      <c r="B239" s="30"/>
      <c r="C239" s="30"/>
      <c r="D239" s="30"/>
      <c r="E239" s="30"/>
      <c r="F239" s="258"/>
      <c r="G239" s="30"/>
      <c r="H239" s="482"/>
      <c r="I239" s="482"/>
      <c r="J239" s="482"/>
      <c r="K239" s="482"/>
      <c r="L239" s="483"/>
      <c r="M239" s="484"/>
      <c r="N239" s="484"/>
      <c r="O239" s="484"/>
      <c r="P239" s="484"/>
      <c r="Q239" s="484"/>
      <c r="R239" s="484"/>
      <c r="S239" s="484"/>
      <c r="T239" s="484"/>
      <c r="U239" s="484"/>
      <c r="V239" s="484"/>
      <c r="W239" s="484"/>
      <c r="X239" s="484"/>
      <c r="Y239" s="484"/>
      <c r="Z239" s="484"/>
      <c r="AA239" s="484"/>
      <c r="AB239" s="484"/>
      <c r="AC239" s="484"/>
      <c r="AD239" s="484"/>
      <c r="AE239" s="484"/>
      <c r="AF239" s="484"/>
      <c r="AG239" s="484"/>
      <c r="AH239" s="484"/>
      <c r="AI239" s="484"/>
      <c r="AJ239" s="484"/>
      <c r="AK239" s="484"/>
    </row>
    <row r="240" spans="2:37" s="64" customFormat="1" x14ac:dyDescent="0.35">
      <c r="B240" s="30"/>
      <c r="C240" s="30"/>
      <c r="D240" s="30"/>
      <c r="E240" s="30"/>
      <c r="F240" s="258"/>
      <c r="H240" s="487"/>
      <c r="I240" s="487"/>
      <c r="J240" s="487"/>
      <c r="K240" s="487"/>
      <c r="L240" s="483"/>
      <c r="M240" s="484"/>
      <c r="N240" s="484"/>
      <c r="O240" s="484"/>
      <c r="P240" s="484"/>
      <c r="Q240" s="484"/>
      <c r="R240" s="484"/>
      <c r="S240" s="484"/>
      <c r="T240" s="484"/>
      <c r="U240" s="484"/>
      <c r="V240" s="484"/>
      <c r="W240" s="484"/>
      <c r="X240" s="484"/>
      <c r="Y240" s="484"/>
      <c r="Z240" s="484"/>
      <c r="AA240" s="484"/>
      <c r="AB240" s="484"/>
      <c r="AC240" s="484"/>
      <c r="AD240" s="484"/>
      <c r="AE240" s="484"/>
      <c r="AF240" s="484"/>
      <c r="AG240" s="484"/>
      <c r="AH240" s="484"/>
      <c r="AI240" s="484"/>
      <c r="AJ240" s="484"/>
      <c r="AK240" s="484"/>
    </row>
    <row r="241" spans="2:37" s="64" customFormat="1" x14ac:dyDescent="0.35">
      <c r="B241" s="30"/>
      <c r="C241" s="30"/>
      <c r="D241" s="30"/>
      <c r="E241" s="30"/>
      <c r="F241" s="258"/>
      <c r="G241" s="30"/>
      <c r="H241" s="482"/>
      <c r="I241" s="482"/>
      <c r="J241" s="482"/>
      <c r="K241" s="482"/>
      <c r="L241" s="483"/>
      <c r="M241" s="484"/>
      <c r="N241" s="484"/>
      <c r="O241" s="484"/>
      <c r="P241" s="484"/>
      <c r="Q241" s="484"/>
      <c r="R241" s="484"/>
      <c r="S241" s="484"/>
      <c r="T241" s="484"/>
      <c r="U241" s="484"/>
      <c r="V241" s="484"/>
      <c r="W241" s="484"/>
      <c r="X241" s="484"/>
      <c r="Y241" s="484"/>
      <c r="Z241" s="484"/>
      <c r="AA241" s="484"/>
      <c r="AB241" s="484"/>
      <c r="AC241" s="484"/>
      <c r="AD241" s="484"/>
      <c r="AE241" s="484"/>
      <c r="AF241" s="484"/>
      <c r="AG241" s="484"/>
      <c r="AH241" s="484"/>
      <c r="AI241" s="484"/>
      <c r="AJ241" s="484"/>
      <c r="AK241" s="484"/>
    </row>
    <row r="242" spans="2:37" s="64" customFormat="1" x14ac:dyDescent="0.35">
      <c r="B242" s="30"/>
      <c r="C242" s="30"/>
      <c r="D242" s="30"/>
      <c r="E242" s="30"/>
      <c r="F242" s="258"/>
      <c r="H242" s="487"/>
      <c r="I242" s="487"/>
      <c r="J242" s="487"/>
      <c r="K242" s="487"/>
      <c r="L242" s="483"/>
      <c r="M242" s="484"/>
      <c r="N242" s="484"/>
      <c r="O242" s="484"/>
      <c r="P242" s="484"/>
      <c r="Q242" s="484"/>
      <c r="R242" s="484"/>
      <c r="S242" s="484"/>
      <c r="T242" s="484"/>
      <c r="U242" s="484"/>
      <c r="V242" s="484"/>
      <c r="W242" s="484"/>
      <c r="X242" s="484"/>
      <c r="Y242" s="484"/>
      <c r="Z242" s="484"/>
      <c r="AA242" s="484"/>
      <c r="AB242" s="484"/>
      <c r="AC242" s="484"/>
      <c r="AD242" s="484"/>
      <c r="AE242" s="484"/>
      <c r="AF242" s="484"/>
      <c r="AG242" s="484"/>
      <c r="AH242" s="484"/>
      <c r="AI242" s="484"/>
      <c r="AJ242" s="484"/>
      <c r="AK242" s="484"/>
    </row>
    <row r="243" spans="2:37" s="64" customFormat="1" x14ac:dyDescent="0.35">
      <c r="B243" s="30"/>
      <c r="C243" s="30"/>
      <c r="D243" s="30"/>
      <c r="E243" s="30"/>
      <c r="F243" s="258"/>
      <c r="G243" s="30"/>
      <c r="H243" s="482"/>
      <c r="I243" s="482"/>
      <c r="J243" s="482"/>
      <c r="K243" s="482"/>
      <c r="L243" s="483"/>
      <c r="M243" s="484"/>
      <c r="N243" s="484"/>
      <c r="O243" s="484"/>
      <c r="P243" s="484"/>
      <c r="Q243" s="484"/>
      <c r="R243" s="484"/>
      <c r="S243" s="484"/>
      <c r="T243" s="484"/>
      <c r="U243" s="484"/>
      <c r="V243" s="484"/>
      <c r="W243" s="484"/>
      <c r="X243" s="484"/>
      <c r="Y243" s="484"/>
      <c r="Z243" s="484"/>
      <c r="AA243" s="484"/>
      <c r="AB243" s="484"/>
      <c r="AC243" s="484"/>
      <c r="AD243" s="484"/>
      <c r="AE243" s="484"/>
      <c r="AF243" s="484"/>
      <c r="AG243" s="484"/>
      <c r="AH243" s="484"/>
      <c r="AI243" s="484"/>
      <c r="AJ243" s="484"/>
      <c r="AK243" s="484"/>
    </row>
    <row r="244" spans="2:37" s="64" customFormat="1" x14ac:dyDescent="0.35">
      <c r="B244" s="30"/>
      <c r="C244" s="30"/>
      <c r="D244" s="30"/>
      <c r="E244" s="30"/>
      <c r="F244" s="258"/>
      <c r="H244" s="487"/>
      <c r="I244" s="487"/>
      <c r="J244" s="487"/>
      <c r="K244" s="487"/>
      <c r="L244" s="483"/>
      <c r="M244" s="484"/>
      <c r="N244" s="484"/>
      <c r="O244" s="484"/>
      <c r="P244" s="484"/>
      <c r="Q244" s="484"/>
      <c r="R244" s="484"/>
      <c r="S244" s="484"/>
      <c r="T244" s="484"/>
      <c r="U244" s="484"/>
      <c r="V244" s="484"/>
      <c r="W244" s="484"/>
      <c r="X244" s="484"/>
      <c r="Y244" s="484"/>
      <c r="Z244" s="484"/>
      <c r="AA244" s="484"/>
      <c r="AB244" s="484"/>
      <c r="AC244" s="484"/>
      <c r="AD244" s="484"/>
      <c r="AE244" s="484"/>
      <c r="AF244" s="484"/>
      <c r="AG244" s="484"/>
      <c r="AH244" s="484"/>
      <c r="AI244" s="484"/>
      <c r="AJ244" s="484"/>
      <c r="AK244" s="484"/>
    </row>
    <row r="245" spans="2:37" s="64" customFormat="1" x14ac:dyDescent="0.35">
      <c r="B245" s="30"/>
      <c r="C245" s="30"/>
      <c r="D245" s="30"/>
      <c r="E245" s="30"/>
      <c r="F245" s="258"/>
      <c r="G245" s="30"/>
      <c r="H245" s="482"/>
      <c r="I245" s="482"/>
      <c r="J245" s="482"/>
      <c r="K245" s="482"/>
      <c r="L245" s="483"/>
      <c r="M245" s="484"/>
      <c r="N245" s="484"/>
      <c r="O245" s="484"/>
      <c r="P245" s="484"/>
      <c r="Q245" s="484"/>
      <c r="R245" s="484"/>
      <c r="S245" s="484"/>
      <c r="T245" s="484"/>
      <c r="U245" s="484"/>
      <c r="V245" s="484"/>
      <c r="W245" s="484"/>
      <c r="X245" s="484"/>
      <c r="Y245" s="484"/>
      <c r="Z245" s="484"/>
      <c r="AA245" s="484"/>
      <c r="AB245" s="484"/>
      <c r="AC245" s="484"/>
      <c r="AD245" s="484"/>
      <c r="AE245" s="484"/>
      <c r="AF245" s="484"/>
      <c r="AG245" s="484"/>
      <c r="AH245" s="484"/>
      <c r="AI245" s="484"/>
      <c r="AJ245" s="484"/>
      <c r="AK245" s="484"/>
    </row>
    <row r="246" spans="2:37" s="64" customFormat="1" x14ac:dyDescent="0.35">
      <c r="B246" s="30"/>
      <c r="C246" s="30"/>
      <c r="D246" s="30"/>
      <c r="E246" s="30"/>
      <c r="F246" s="258"/>
      <c r="H246" s="487"/>
      <c r="I246" s="487"/>
      <c r="J246" s="487"/>
      <c r="K246" s="487"/>
      <c r="L246" s="483"/>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4"/>
      <c r="AK246" s="484"/>
    </row>
    <row r="247" spans="2:37" s="64" customFormat="1" x14ac:dyDescent="0.35">
      <c r="B247" s="30"/>
      <c r="C247" s="30"/>
      <c r="D247" s="30"/>
      <c r="E247" s="30"/>
      <c r="F247" s="258"/>
      <c r="G247" s="30"/>
      <c r="H247" s="482"/>
      <c r="I247" s="482"/>
      <c r="J247" s="482"/>
      <c r="K247" s="482"/>
      <c r="L247" s="483"/>
      <c r="M247" s="484"/>
      <c r="N247" s="484"/>
      <c r="O247" s="484"/>
      <c r="P247" s="484"/>
      <c r="Q247" s="484"/>
      <c r="R247" s="484"/>
      <c r="S247" s="484"/>
      <c r="T247" s="484"/>
      <c r="U247" s="484"/>
      <c r="V247" s="484"/>
      <c r="W247" s="484"/>
      <c r="X247" s="484"/>
      <c r="Y247" s="484"/>
      <c r="Z247" s="484"/>
      <c r="AA247" s="484"/>
      <c r="AB247" s="484"/>
      <c r="AC247" s="484"/>
      <c r="AD247" s="484"/>
      <c r="AE247" s="484"/>
      <c r="AF247" s="484"/>
      <c r="AG247" s="484"/>
      <c r="AH247" s="484"/>
      <c r="AI247" s="484"/>
      <c r="AJ247" s="484"/>
      <c r="AK247" s="484"/>
    </row>
    <row r="248" spans="2:37" s="64" customFormat="1" x14ac:dyDescent="0.35">
      <c r="B248" s="30"/>
      <c r="C248" s="30"/>
      <c r="D248" s="30"/>
      <c r="E248" s="30"/>
      <c r="F248" s="258"/>
      <c r="H248" s="487"/>
      <c r="I248" s="487"/>
      <c r="J248" s="487"/>
      <c r="K248" s="487"/>
      <c r="L248" s="483"/>
      <c r="M248" s="484"/>
      <c r="N248" s="484"/>
      <c r="O248" s="484"/>
      <c r="P248" s="484"/>
      <c r="Q248" s="484"/>
      <c r="R248" s="484"/>
      <c r="S248" s="484"/>
      <c r="T248" s="484"/>
      <c r="U248" s="484"/>
      <c r="V248" s="484"/>
      <c r="W248" s="484"/>
      <c r="X248" s="484"/>
      <c r="Y248" s="484"/>
      <c r="Z248" s="484"/>
      <c r="AA248" s="484"/>
      <c r="AB248" s="484"/>
      <c r="AC248" s="484"/>
      <c r="AD248" s="484"/>
      <c r="AE248" s="484"/>
      <c r="AF248" s="484"/>
      <c r="AG248" s="484"/>
      <c r="AH248" s="484"/>
      <c r="AI248" s="484"/>
      <c r="AJ248" s="484"/>
      <c r="AK248" s="484"/>
    </row>
    <row r="249" spans="2:37" s="64" customFormat="1" x14ac:dyDescent="0.35">
      <c r="B249" s="30"/>
      <c r="C249" s="30"/>
      <c r="D249" s="30"/>
      <c r="E249" s="30"/>
      <c r="F249" s="258"/>
      <c r="G249" s="30"/>
      <c r="H249" s="482"/>
      <c r="I249" s="482"/>
      <c r="J249" s="482"/>
      <c r="K249" s="482"/>
      <c r="L249" s="483"/>
      <c r="M249" s="484"/>
      <c r="N249" s="484"/>
      <c r="O249" s="484"/>
      <c r="P249" s="484"/>
      <c r="Q249" s="484"/>
      <c r="R249" s="484"/>
      <c r="S249" s="484"/>
      <c r="T249" s="484"/>
      <c r="U249" s="484"/>
      <c r="V249" s="484"/>
      <c r="W249" s="484"/>
      <c r="X249" s="484"/>
      <c r="Y249" s="484"/>
      <c r="Z249" s="484"/>
      <c r="AA249" s="484"/>
      <c r="AB249" s="484"/>
      <c r="AC249" s="484"/>
      <c r="AD249" s="484"/>
      <c r="AE249" s="484"/>
      <c r="AF249" s="484"/>
      <c r="AG249" s="484"/>
      <c r="AH249" s="484"/>
      <c r="AI249" s="484"/>
      <c r="AJ249" s="484"/>
      <c r="AK249" s="484"/>
    </row>
    <row r="250" spans="2:37" s="64" customFormat="1" x14ac:dyDescent="0.35">
      <c r="B250" s="30"/>
      <c r="C250" s="30"/>
      <c r="D250" s="30"/>
      <c r="E250" s="30"/>
      <c r="F250" s="258"/>
      <c r="H250" s="487"/>
      <c r="I250" s="487"/>
      <c r="J250" s="487"/>
      <c r="K250" s="487"/>
      <c r="L250" s="483"/>
      <c r="M250" s="484"/>
      <c r="N250" s="484"/>
      <c r="O250" s="484"/>
      <c r="P250" s="484"/>
      <c r="Q250" s="484"/>
      <c r="R250" s="484"/>
      <c r="S250" s="484"/>
      <c r="T250" s="484"/>
      <c r="U250" s="484"/>
      <c r="V250" s="484"/>
      <c r="W250" s="484"/>
      <c r="X250" s="484"/>
      <c r="Y250" s="484"/>
      <c r="Z250" s="484"/>
      <c r="AA250" s="484"/>
      <c r="AB250" s="484"/>
      <c r="AC250" s="484"/>
      <c r="AD250" s="484"/>
      <c r="AE250" s="484"/>
      <c r="AF250" s="484"/>
      <c r="AG250" s="484"/>
      <c r="AH250" s="484"/>
      <c r="AI250" s="484"/>
      <c r="AJ250" s="484"/>
      <c r="AK250" s="484"/>
    </row>
    <row r="251" spans="2:37" s="64" customFormat="1" x14ac:dyDescent="0.35">
      <c r="B251" s="30"/>
      <c r="C251" s="30"/>
      <c r="D251" s="30"/>
      <c r="E251" s="30"/>
      <c r="F251" s="258"/>
      <c r="G251" s="30"/>
      <c r="H251" s="482"/>
      <c r="I251" s="482"/>
      <c r="J251" s="482"/>
      <c r="K251" s="482"/>
      <c r="L251" s="483"/>
      <c r="M251" s="484"/>
      <c r="N251" s="484"/>
      <c r="O251" s="484"/>
      <c r="P251" s="484"/>
      <c r="Q251" s="484"/>
      <c r="R251" s="484"/>
      <c r="S251" s="484"/>
      <c r="T251" s="484"/>
      <c r="U251" s="484"/>
      <c r="V251" s="484"/>
      <c r="W251" s="484"/>
      <c r="X251" s="484"/>
      <c r="Y251" s="484"/>
      <c r="Z251" s="484"/>
      <c r="AA251" s="484"/>
      <c r="AB251" s="484"/>
      <c r="AC251" s="484"/>
      <c r="AD251" s="484"/>
      <c r="AE251" s="484"/>
      <c r="AF251" s="484"/>
      <c r="AG251" s="484"/>
      <c r="AH251" s="484"/>
      <c r="AI251" s="484"/>
      <c r="AJ251" s="484"/>
      <c r="AK251" s="484"/>
    </row>
    <row r="252" spans="2:37" s="64" customFormat="1" x14ac:dyDescent="0.35">
      <c r="B252" s="30"/>
      <c r="C252" s="30"/>
      <c r="D252" s="30"/>
      <c r="E252" s="30"/>
      <c r="F252" s="258"/>
      <c r="H252" s="487"/>
      <c r="I252" s="487"/>
      <c r="J252" s="487"/>
      <c r="K252" s="487"/>
      <c r="L252" s="483"/>
      <c r="M252" s="484"/>
      <c r="N252" s="484"/>
      <c r="O252" s="484"/>
      <c r="P252" s="484"/>
      <c r="Q252" s="484"/>
      <c r="R252" s="484"/>
      <c r="S252" s="484"/>
      <c r="T252" s="484"/>
      <c r="U252" s="484"/>
      <c r="V252" s="484"/>
      <c r="W252" s="484"/>
      <c r="X252" s="484"/>
      <c r="Y252" s="484"/>
      <c r="Z252" s="484"/>
      <c r="AA252" s="484"/>
      <c r="AB252" s="484"/>
      <c r="AC252" s="484"/>
      <c r="AD252" s="484"/>
      <c r="AE252" s="484"/>
      <c r="AF252" s="484"/>
      <c r="AG252" s="484"/>
      <c r="AH252" s="484"/>
      <c r="AI252" s="484"/>
      <c r="AJ252" s="484"/>
      <c r="AK252" s="484"/>
    </row>
    <row r="253" spans="2:37" s="64" customFormat="1" x14ac:dyDescent="0.35">
      <c r="B253" s="30"/>
      <c r="C253" s="30"/>
      <c r="D253" s="30"/>
      <c r="E253" s="30"/>
      <c r="F253" s="258"/>
      <c r="G253" s="30"/>
      <c r="H253" s="482"/>
      <c r="I253" s="482"/>
      <c r="J253" s="482"/>
      <c r="K253" s="482"/>
      <c r="L253" s="483"/>
      <c r="M253" s="484"/>
      <c r="N253" s="484"/>
      <c r="O253" s="484"/>
      <c r="P253" s="484"/>
      <c r="Q253" s="484"/>
      <c r="R253" s="484"/>
      <c r="S253" s="484"/>
      <c r="T253" s="484"/>
      <c r="U253" s="484"/>
      <c r="V253" s="484"/>
      <c r="W253" s="484"/>
      <c r="X253" s="484"/>
      <c r="Y253" s="484"/>
      <c r="Z253" s="484"/>
      <c r="AA253" s="484"/>
      <c r="AB253" s="484"/>
      <c r="AC253" s="484"/>
      <c r="AD253" s="484"/>
      <c r="AE253" s="484"/>
      <c r="AF253" s="484"/>
      <c r="AG253" s="484"/>
      <c r="AH253" s="484"/>
      <c r="AI253" s="484"/>
      <c r="AJ253" s="484"/>
      <c r="AK253" s="484"/>
    </row>
    <row r="254" spans="2:37" s="64" customFormat="1" x14ac:dyDescent="0.35">
      <c r="B254" s="30"/>
      <c r="C254" s="30"/>
      <c r="D254" s="30"/>
      <c r="E254" s="30"/>
      <c r="F254" s="258"/>
      <c r="H254" s="487"/>
      <c r="I254" s="487"/>
      <c r="J254" s="487"/>
      <c r="K254" s="487"/>
      <c r="L254" s="483"/>
      <c r="M254" s="484"/>
      <c r="N254" s="484"/>
      <c r="O254" s="484"/>
      <c r="P254" s="484"/>
      <c r="Q254" s="484"/>
      <c r="R254" s="484"/>
      <c r="S254" s="484"/>
      <c r="T254" s="484"/>
      <c r="U254" s="484"/>
      <c r="V254" s="484"/>
      <c r="W254" s="484"/>
      <c r="X254" s="484"/>
      <c r="Y254" s="484"/>
      <c r="Z254" s="484"/>
      <c r="AA254" s="484"/>
      <c r="AB254" s="484"/>
      <c r="AC254" s="484"/>
      <c r="AD254" s="484"/>
      <c r="AE254" s="484"/>
      <c r="AF254" s="484"/>
      <c r="AG254" s="484"/>
      <c r="AH254" s="484"/>
      <c r="AI254" s="484"/>
      <c r="AJ254" s="484"/>
      <c r="AK254" s="484"/>
    </row>
    <row r="255" spans="2:37" s="64" customFormat="1" x14ac:dyDescent="0.35">
      <c r="B255" s="30"/>
      <c r="C255" s="30"/>
      <c r="D255" s="30"/>
      <c r="E255" s="30"/>
      <c r="F255" s="258"/>
      <c r="G255" s="30"/>
      <c r="H255" s="482"/>
      <c r="I255" s="482"/>
      <c r="J255" s="482"/>
      <c r="K255" s="482"/>
      <c r="L255" s="483"/>
      <c r="M255" s="484"/>
      <c r="N255" s="484"/>
      <c r="O255" s="484"/>
      <c r="P255" s="484"/>
      <c r="Q255" s="484"/>
      <c r="R255" s="484"/>
      <c r="S255" s="484"/>
      <c r="T255" s="484"/>
      <c r="U255" s="484"/>
      <c r="V255" s="484"/>
      <c r="W255" s="484"/>
      <c r="X255" s="484"/>
      <c r="Y255" s="484"/>
      <c r="Z255" s="484"/>
      <c r="AA255" s="484"/>
      <c r="AB255" s="484"/>
      <c r="AC255" s="484"/>
      <c r="AD255" s="484"/>
      <c r="AE255" s="484"/>
      <c r="AF255" s="484"/>
      <c r="AG255" s="484"/>
      <c r="AH255" s="484"/>
      <c r="AI255" s="484"/>
      <c r="AJ255" s="484"/>
      <c r="AK255" s="484"/>
    </row>
    <row r="256" spans="2:37" s="64" customFormat="1" x14ac:dyDescent="0.35">
      <c r="B256" s="30"/>
      <c r="C256" s="30"/>
      <c r="D256" s="30"/>
      <c r="E256" s="30"/>
      <c r="F256" s="258"/>
      <c r="H256" s="487"/>
      <c r="I256" s="487"/>
      <c r="J256" s="487"/>
      <c r="K256" s="487"/>
      <c r="L256" s="483"/>
      <c r="M256" s="484"/>
      <c r="N256" s="484"/>
      <c r="O256" s="484"/>
      <c r="P256" s="484"/>
      <c r="Q256" s="484"/>
      <c r="R256" s="484"/>
      <c r="S256" s="484"/>
      <c r="T256" s="484"/>
      <c r="U256" s="484"/>
      <c r="V256" s="484"/>
      <c r="W256" s="484"/>
      <c r="X256" s="484"/>
      <c r="Y256" s="484"/>
      <c r="Z256" s="484"/>
      <c r="AA256" s="484"/>
      <c r="AB256" s="484"/>
      <c r="AC256" s="484"/>
      <c r="AD256" s="484"/>
      <c r="AE256" s="484"/>
      <c r="AF256" s="484"/>
      <c r="AG256" s="484"/>
      <c r="AH256" s="484"/>
      <c r="AI256" s="484"/>
      <c r="AJ256" s="484"/>
      <c r="AK256" s="484"/>
    </row>
    <row r="257" spans="2:37" s="64" customFormat="1" x14ac:dyDescent="0.35">
      <c r="B257" s="30"/>
      <c r="C257" s="30"/>
      <c r="D257" s="30"/>
      <c r="E257" s="30"/>
      <c r="F257" s="258"/>
      <c r="G257" s="30"/>
      <c r="H257" s="482"/>
      <c r="I257" s="482"/>
      <c r="J257" s="482"/>
      <c r="K257" s="482"/>
      <c r="L257" s="483"/>
      <c r="M257" s="484"/>
      <c r="N257" s="484"/>
      <c r="O257" s="484"/>
      <c r="P257" s="484"/>
      <c r="Q257" s="484"/>
      <c r="R257" s="484"/>
      <c r="S257" s="484"/>
      <c r="T257" s="484"/>
      <c r="U257" s="484"/>
      <c r="V257" s="484"/>
      <c r="W257" s="484"/>
      <c r="X257" s="484"/>
      <c r="Y257" s="484"/>
      <c r="Z257" s="484"/>
      <c r="AA257" s="484"/>
      <c r="AB257" s="484"/>
      <c r="AC257" s="484"/>
      <c r="AD257" s="484"/>
      <c r="AE257" s="484"/>
      <c r="AF257" s="484"/>
      <c r="AG257" s="484"/>
      <c r="AH257" s="484"/>
      <c r="AI257" s="484"/>
      <c r="AJ257" s="484"/>
      <c r="AK257" s="484"/>
    </row>
    <row r="258" spans="2:37" s="64" customFormat="1" x14ac:dyDescent="0.35">
      <c r="B258" s="30"/>
      <c r="C258" s="30"/>
      <c r="D258" s="30"/>
      <c r="E258" s="30"/>
      <c r="F258" s="258"/>
      <c r="H258" s="487"/>
      <c r="I258" s="487"/>
      <c r="J258" s="487"/>
      <c r="K258" s="487"/>
      <c r="L258" s="483"/>
      <c r="M258" s="484"/>
      <c r="N258" s="484"/>
      <c r="O258" s="484"/>
      <c r="P258" s="484"/>
      <c r="Q258" s="484"/>
      <c r="R258" s="484"/>
      <c r="S258" s="484"/>
      <c r="T258" s="484"/>
      <c r="U258" s="484"/>
      <c r="V258" s="484"/>
      <c r="W258" s="484"/>
      <c r="X258" s="484"/>
      <c r="Y258" s="484"/>
      <c r="Z258" s="484"/>
      <c r="AA258" s="484"/>
      <c r="AB258" s="484"/>
      <c r="AC258" s="484"/>
      <c r="AD258" s="484"/>
      <c r="AE258" s="484"/>
      <c r="AF258" s="484"/>
      <c r="AG258" s="484"/>
      <c r="AH258" s="484"/>
      <c r="AI258" s="484"/>
      <c r="AJ258" s="484"/>
      <c r="AK258" s="484"/>
    </row>
    <row r="259" spans="2:37" s="64" customFormat="1" x14ac:dyDescent="0.35">
      <c r="B259" s="30"/>
      <c r="C259" s="30"/>
      <c r="D259" s="30"/>
      <c r="E259" s="30"/>
      <c r="F259" s="258"/>
      <c r="G259" s="30"/>
      <c r="H259" s="482"/>
      <c r="I259" s="482"/>
      <c r="J259" s="482"/>
      <c r="K259" s="482"/>
      <c r="L259" s="483"/>
      <c r="M259" s="484"/>
      <c r="N259" s="484"/>
      <c r="O259" s="484"/>
      <c r="P259" s="484"/>
      <c r="Q259" s="484"/>
      <c r="R259" s="484"/>
      <c r="S259" s="484"/>
      <c r="T259" s="484"/>
      <c r="U259" s="484"/>
      <c r="V259" s="484"/>
      <c r="W259" s="484"/>
      <c r="X259" s="484"/>
      <c r="Y259" s="484"/>
      <c r="Z259" s="484"/>
      <c r="AA259" s="484"/>
      <c r="AB259" s="484"/>
      <c r="AC259" s="484"/>
      <c r="AD259" s="484"/>
      <c r="AE259" s="484"/>
      <c r="AF259" s="484"/>
      <c r="AG259" s="484"/>
      <c r="AH259" s="484"/>
      <c r="AI259" s="484"/>
      <c r="AJ259" s="484"/>
      <c r="AK259" s="484"/>
    </row>
    <row r="260" spans="2:37" s="64" customFormat="1" x14ac:dyDescent="0.35">
      <c r="B260" s="30"/>
      <c r="C260" s="30"/>
      <c r="D260" s="30"/>
      <c r="E260" s="30"/>
      <c r="F260" s="258"/>
      <c r="H260" s="487"/>
      <c r="I260" s="487"/>
      <c r="J260" s="487"/>
      <c r="K260" s="487"/>
      <c r="L260" s="483"/>
      <c r="M260" s="484"/>
      <c r="N260" s="484"/>
      <c r="O260" s="484"/>
      <c r="P260" s="484"/>
      <c r="Q260" s="484"/>
      <c r="R260" s="484"/>
      <c r="S260" s="484"/>
      <c r="T260" s="484"/>
      <c r="U260" s="484"/>
      <c r="V260" s="484"/>
      <c r="W260" s="484"/>
      <c r="X260" s="484"/>
      <c r="Y260" s="484"/>
      <c r="Z260" s="484"/>
      <c r="AA260" s="484"/>
      <c r="AB260" s="484"/>
      <c r="AC260" s="484"/>
      <c r="AD260" s="484"/>
      <c r="AE260" s="484"/>
      <c r="AF260" s="484"/>
      <c r="AG260" s="484"/>
      <c r="AH260" s="484"/>
      <c r="AI260" s="484"/>
      <c r="AJ260" s="484"/>
      <c r="AK260" s="484"/>
    </row>
    <row r="261" spans="2:37" s="64" customFormat="1" x14ac:dyDescent="0.35">
      <c r="B261" s="30"/>
      <c r="C261" s="30"/>
      <c r="D261" s="30"/>
      <c r="E261" s="30"/>
      <c r="F261" s="258"/>
      <c r="G261" s="30"/>
      <c r="H261" s="482"/>
      <c r="I261" s="482"/>
      <c r="J261" s="482"/>
      <c r="K261" s="482"/>
      <c r="L261" s="483"/>
      <c r="M261" s="484"/>
      <c r="N261" s="484"/>
      <c r="O261" s="484"/>
      <c r="P261" s="484"/>
      <c r="Q261" s="484"/>
      <c r="R261" s="484"/>
      <c r="S261" s="484"/>
      <c r="T261" s="484"/>
      <c r="U261" s="484"/>
      <c r="V261" s="484"/>
      <c r="W261" s="484"/>
      <c r="X261" s="484"/>
      <c r="Y261" s="484"/>
      <c r="Z261" s="484"/>
      <c r="AA261" s="484"/>
      <c r="AB261" s="484"/>
      <c r="AC261" s="484"/>
      <c r="AD261" s="484"/>
      <c r="AE261" s="484"/>
      <c r="AF261" s="484"/>
      <c r="AG261" s="484"/>
      <c r="AH261" s="484"/>
      <c r="AI261" s="484"/>
      <c r="AJ261" s="484"/>
      <c r="AK261" s="484"/>
    </row>
    <row r="262" spans="2:37" s="64" customFormat="1" x14ac:dyDescent="0.35">
      <c r="B262" s="30"/>
      <c r="C262" s="30"/>
      <c r="D262" s="30"/>
      <c r="E262" s="30"/>
      <c r="F262" s="258"/>
      <c r="H262" s="487"/>
      <c r="I262" s="487"/>
      <c r="J262" s="487"/>
      <c r="K262" s="487"/>
      <c r="L262" s="483"/>
      <c r="M262" s="484"/>
      <c r="N262" s="484"/>
      <c r="O262" s="484"/>
      <c r="P262" s="484"/>
      <c r="Q262" s="484"/>
      <c r="R262" s="484"/>
      <c r="S262" s="484"/>
      <c r="T262" s="484"/>
      <c r="U262" s="484"/>
      <c r="V262" s="484"/>
      <c r="W262" s="484"/>
      <c r="X262" s="484"/>
      <c r="Y262" s="484"/>
      <c r="Z262" s="484"/>
      <c r="AA262" s="484"/>
      <c r="AB262" s="484"/>
      <c r="AC262" s="484"/>
      <c r="AD262" s="484"/>
      <c r="AE262" s="484"/>
      <c r="AF262" s="484"/>
      <c r="AG262" s="484"/>
      <c r="AH262" s="484"/>
      <c r="AI262" s="484"/>
      <c r="AJ262" s="484"/>
      <c r="AK262" s="484"/>
    </row>
    <row r="263" spans="2:37" s="64" customFormat="1" x14ac:dyDescent="0.35">
      <c r="B263" s="30"/>
      <c r="C263" s="30"/>
      <c r="D263" s="30"/>
      <c r="E263" s="30"/>
      <c r="F263" s="258"/>
      <c r="G263" s="30"/>
      <c r="H263" s="482"/>
      <c r="I263" s="482"/>
      <c r="J263" s="482"/>
      <c r="K263" s="482"/>
      <c r="L263" s="483"/>
      <c r="M263" s="484"/>
      <c r="N263" s="484"/>
      <c r="O263" s="484"/>
      <c r="P263" s="484"/>
      <c r="Q263" s="484"/>
      <c r="R263" s="484"/>
      <c r="S263" s="484"/>
      <c r="T263" s="484"/>
      <c r="U263" s="484"/>
      <c r="V263" s="484"/>
      <c r="W263" s="484"/>
      <c r="X263" s="484"/>
      <c r="Y263" s="484"/>
      <c r="Z263" s="484"/>
      <c r="AA263" s="484"/>
      <c r="AB263" s="484"/>
      <c r="AC263" s="484"/>
      <c r="AD263" s="484"/>
      <c r="AE263" s="484"/>
      <c r="AF263" s="484"/>
      <c r="AG263" s="484"/>
      <c r="AH263" s="484"/>
      <c r="AI263" s="484"/>
      <c r="AJ263" s="484"/>
      <c r="AK263" s="484"/>
    </row>
    <row r="264" spans="2:37" s="64" customFormat="1" x14ac:dyDescent="0.35">
      <c r="B264" s="30"/>
      <c r="C264" s="30"/>
      <c r="D264" s="30"/>
      <c r="E264" s="30"/>
      <c r="F264" s="258"/>
      <c r="H264" s="487"/>
      <c r="I264" s="487"/>
      <c r="J264" s="487"/>
      <c r="K264" s="487"/>
      <c r="L264" s="483"/>
      <c r="M264" s="484"/>
      <c r="N264" s="484"/>
      <c r="O264" s="484"/>
      <c r="P264" s="484"/>
      <c r="Q264" s="484"/>
      <c r="R264" s="484"/>
      <c r="S264" s="484"/>
      <c r="T264" s="484"/>
      <c r="U264" s="484"/>
      <c r="V264" s="484"/>
      <c r="W264" s="484"/>
      <c r="X264" s="484"/>
      <c r="Y264" s="484"/>
      <c r="Z264" s="484"/>
      <c r="AA264" s="484"/>
      <c r="AB264" s="484"/>
      <c r="AC264" s="484"/>
      <c r="AD264" s="484"/>
      <c r="AE264" s="484"/>
      <c r="AF264" s="484"/>
      <c r="AG264" s="484"/>
      <c r="AH264" s="484"/>
      <c r="AI264" s="484"/>
      <c r="AJ264" s="484"/>
      <c r="AK264" s="484"/>
    </row>
    <row r="265" spans="2:37" s="64" customFormat="1" x14ac:dyDescent="0.35">
      <c r="B265" s="30"/>
      <c r="C265" s="30"/>
      <c r="D265" s="30"/>
      <c r="E265" s="30"/>
      <c r="F265" s="258"/>
      <c r="G265" s="30"/>
      <c r="H265" s="482"/>
      <c r="I265" s="482"/>
      <c r="J265" s="482"/>
      <c r="K265" s="482"/>
      <c r="L265" s="483"/>
      <c r="M265" s="484"/>
      <c r="N265" s="484"/>
      <c r="O265" s="484"/>
      <c r="P265" s="484"/>
      <c r="Q265" s="484"/>
      <c r="R265" s="484"/>
      <c r="S265" s="484"/>
      <c r="T265" s="484"/>
      <c r="U265" s="484"/>
      <c r="V265" s="484"/>
      <c r="W265" s="484"/>
      <c r="X265" s="484"/>
      <c r="Y265" s="484"/>
      <c r="Z265" s="484"/>
      <c r="AA265" s="484"/>
      <c r="AB265" s="484"/>
      <c r="AC265" s="484"/>
      <c r="AD265" s="484"/>
      <c r="AE265" s="484"/>
      <c r="AF265" s="484"/>
      <c r="AG265" s="484"/>
      <c r="AH265" s="484"/>
      <c r="AI265" s="484"/>
      <c r="AJ265" s="484"/>
      <c r="AK265" s="484"/>
    </row>
    <row r="266" spans="2:37" s="64" customFormat="1" x14ac:dyDescent="0.35">
      <c r="B266" s="30"/>
      <c r="C266" s="30"/>
      <c r="D266" s="30"/>
      <c r="E266" s="30"/>
      <c r="F266" s="258"/>
      <c r="H266" s="487"/>
      <c r="I266" s="487"/>
      <c r="J266" s="487"/>
      <c r="K266" s="487"/>
      <c r="L266" s="483"/>
      <c r="M266" s="484"/>
      <c r="N266" s="484"/>
      <c r="O266" s="484"/>
      <c r="P266" s="484"/>
      <c r="Q266" s="484"/>
      <c r="R266" s="484"/>
      <c r="S266" s="484"/>
      <c r="T266" s="484"/>
      <c r="U266" s="484"/>
      <c r="V266" s="484"/>
      <c r="W266" s="484"/>
      <c r="X266" s="484"/>
      <c r="Y266" s="484"/>
      <c r="Z266" s="484"/>
      <c r="AA266" s="484"/>
      <c r="AB266" s="484"/>
      <c r="AC266" s="484"/>
      <c r="AD266" s="484"/>
      <c r="AE266" s="484"/>
      <c r="AF266" s="484"/>
      <c r="AG266" s="484"/>
      <c r="AH266" s="484"/>
      <c r="AI266" s="484"/>
      <c r="AJ266" s="484"/>
      <c r="AK266" s="484"/>
    </row>
    <row r="267" spans="2:37" s="64" customFormat="1" x14ac:dyDescent="0.35">
      <c r="B267" s="30"/>
      <c r="C267" s="30"/>
      <c r="D267" s="30"/>
      <c r="E267" s="30"/>
      <c r="F267" s="258"/>
      <c r="G267" s="30"/>
      <c r="H267" s="482"/>
      <c r="I267" s="482"/>
      <c r="J267" s="482"/>
      <c r="K267" s="482"/>
      <c r="L267" s="483"/>
      <c r="M267" s="484"/>
      <c r="N267" s="484"/>
      <c r="O267" s="484"/>
      <c r="P267" s="484"/>
      <c r="Q267" s="484"/>
      <c r="R267" s="484"/>
      <c r="S267" s="484"/>
      <c r="T267" s="484"/>
      <c r="U267" s="484"/>
      <c r="V267" s="484"/>
      <c r="W267" s="484"/>
      <c r="X267" s="484"/>
      <c r="Y267" s="484"/>
      <c r="Z267" s="484"/>
      <c r="AA267" s="484"/>
      <c r="AB267" s="484"/>
      <c r="AC267" s="484"/>
      <c r="AD267" s="484"/>
      <c r="AE267" s="484"/>
      <c r="AF267" s="484"/>
      <c r="AG267" s="484"/>
      <c r="AH267" s="484"/>
      <c r="AI267" s="484"/>
      <c r="AJ267" s="484"/>
      <c r="AK267" s="484"/>
    </row>
    <row r="268" spans="2:37" s="64" customFormat="1" x14ac:dyDescent="0.35">
      <c r="B268" s="30"/>
      <c r="C268" s="30"/>
      <c r="D268" s="30"/>
      <c r="E268" s="30"/>
      <c r="F268" s="258"/>
      <c r="H268" s="487"/>
      <c r="I268" s="487"/>
      <c r="J268" s="487"/>
      <c r="K268" s="487"/>
      <c r="L268" s="483"/>
      <c r="M268" s="484"/>
      <c r="N268" s="484"/>
      <c r="O268" s="484"/>
      <c r="P268" s="484"/>
      <c r="Q268" s="484"/>
      <c r="R268" s="484"/>
      <c r="S268" s="484"/>
      <c r="T268" s="484"/>
      <c r="U268" s="484"/>
      <c r="V268" s="484"/>
      <c r="W268" s="484"/>
      <c r="X268" s="484"/>
      <c r="Y268" s="484"/>
      <c r="Z268" s="484"/>
      <c r="AA268" s="484"/>
      <c r="AB268" s="484"/>
      <c r="AC268" s="484"/>
      <c r="AD268" s="484"/>
      <c r="AE268" s="484"/>
      <c r="AF268" s="484"/>
      <c r="AG268" s="484"/>
      <c r="AH268" s="484"/>
      <c r="AI268" s="484"/>
      <c r="AJ268" s="484"/>
      <c r="AK268" s="484"/>
    </row>
    <row r="269" spans="2:37" s="64" customFormat="1" x14ac:dyDescent="0.35">
      <c r="B269" s="30"/>
      <c r="C269" s="30"/>
      <c r="D269" s="30"/>
      <c r="E269" s="30"/>
      <c r="F269" s="258"/>
      <c r="G269" s="30"/>
      <c r="H269" s="482"/>
      <c r="I269" s="482"/>
      <c r="J269" s="482"/>
      <c r="K269" s="482"/>
      <c r="L269" s="483"/>
      <c r="M269" s="484"/>
      <c r="N269" s="484"/>
      <c r="O269" s="484"/>
      <c r="P269" s="484"/>
      <c r="Q269" s="484"/>
      <c r="R269" s="484"/>
      <c r="S269" s="484"/>
      <c r="T269" s="484"/>
      <c r="U269" s="484"/>
      <c r="V269" s="484"/>
      <c r="W269" s="484"/>
      <c r="X269" s="484"/>
      <c r="Y269" s="484"/>
      <c r="Z269" s="484"/>
      <c r="AA269" s="484"/>
      <c r="AB269" s="484"/>
      <c r="AC269" s="484"/>
      <c r="AD269" s="484"/>
      <c r="AE269" s="484"/>
      <c r="AF269" s="484"/>
      <c r="AG269" s="484"/>
      <c r="AH269" s="484"/>
      <c r="AI269" s="484"/>
      <c r="AJ269" s="484"/>
      <c r="AK269" s="484"/>
    </row>
    <row r="270" spans="2:37" s="64" customFormat="1" x14ac:dyDescent="0.35">
      <c r="B270" s="30"/>
      <c r="C270" s="30"/>
      <c r="D270" s="30"/>
      <c r="E270" s="30"/>
      <c r="F270" s="258"/>
      <c r="H270" s="487"/>
      <c r="I270" s="487"/>
      <c r="J270" s="487"/>
      <c r="K270" s="487"/>
      <c r="L270" s="483"/>
      <c r="M270" s="484"/>
      <c r="N270" s="484"/>
      <c r="O270" s="484"/>
      <c r="P270" s="484"/>
      <c r="Q270" s="484"/>
      <c r="R270" s="484"/>
      <c r="S270" s="484"/>
      <c r="T270" s="484"/>
      <c r="U270" s="484"/>
      <c r="V270" s="484"/>
      <c r="W270" s="484"/>
      <c r="X270" s="484"/>
      <c r="Y270" s="484"/>
      <c r="Z270" s="484"/>
      <c r="AA270" s="484"/>
      <c r="AB270" s="484"/>
      <c r="AC270" s="484"/>
      <c r="AD270" s="484"/>
      <c r="AE270" s="484"/>
      <c r="AF270" s="484"/>
      <c r="AG270" s="484"/>
      <c r="AH270" s="484"/>
      <c r="AI270" s="484"/>
      <c r="AJ270" s="484"/>
      <c r="AK270" s="484"/>
    </row>
    <row r="271" spans="2:37" s="64" customFormat="1" x14ac:dyDescent="0.35">
      <c r="B271" s="30"/>
      <c r="C271" s="30"/>
      <c r="D271" s="30"/>
      <c r="E271" s="30"/>
      <c r="F271" s="258"/>
      <c r="G271" s="30"/>
      <c r="H271" s="482"/>
      <c r="I271" s="482"/>
      <c r="J271" s="482"/>
      <c r="K271" s="482"/>
      <c r="L271" s="483"/>
      <c r="M271" s="484"/>
      <c r="N271" s="484"/>
      <c r="O271" s="484"/>
      <c r="P271" s="484"/>
      <c r="Q271" s="484"/>
      <c r="R271" s="484"/>
      <c r="S271" s="484"/>
      <c r="T271" s="484"/>
      <c r="U271" s="484"/>
      <c r="V271" s="484"/>
      <c r="W271" s="484"/>
      <c r="X271" s="484"/>
      <c r="Y271" s="484"/>
      <c r="Z271" s="484"/>
      <c r="AA271" s="484"/>
      <c r="AB271" s="484"/>
      <c r="AC271" s="484"/>
      <c r="AD271" s="484"/>
      <c r="AE271" s="484"/>
      <c r="AF271" s="484"/>
      <c r="AG271" s="484"/>
      <c r="AH271" s="484"/>
      <c r="AI271" s="484"/>
      <c r="AJ271" s="484"/>
      <c r="AK271" s="484"/>
    </row>
    <row r="272" spans="2:37" s="64" customFormat="1" x14ac:dyDescent="0.35">
      <c r="B272" s="30"/>
      <c r="C272" s="30"/>
      <c r="D272" s="30"/>
      <c r="E272" s="30"/>
      <c r="F272" s="258"/>
      <c r="H272" s="487"/>
      <c r="I272" s="487"/>
      <c r="J272" s="487"/>
      <c r="K272" s="487"/>
      <c r="L272" s="483"/>
      <c r="M272" s="484"/>
      <c r="N272" s="484"/>
      <c r="O272" s="484"/>
      <c r="P272" s="484"/>
      <c r="Q272" s="484"/>
      <c r="R272" s="484"/>
      <c r="S272" s="484"/>
      <c r="T272" s="484"/>
      <c r="U272" s="484"/>
      <c r="V272" s="484"/>
      <c r="W272" s="484"/>
      <c r="X272" s="484"/>
      <c r="Y272" s="484"/>
      <c r="Z272" s="484"/>
      <c r="AA272" s="484"/>
      <c r="AB272" s="484"/>
      <c r="AC272" s="484"/>
      <c r="AD272" s="484"/>
      <c r="AE272" s="484"/>
      <c r="AF272" s="484"/>
      <c r="AG272" s="484"/>
      <c r="AH272" s="484"/>
      <c r="AI272" s="484"/>
      <c r="AJ272" s="484"/>
      <c r="AK272" s="484"/>
    </row>
    <row r="273" spans="2:37" s="64" customFormat="1" x14ac:dyDescent="0.35">
      <c r="B273" s="30"/>
      <c r="C273" s="30"/>
      <c r="D273" s="30"/>
      <c r="E273" s="30"/>
      <c r="F273" s="258"/>
      <c r="G273" s="30"/>
      <c r="H273" s="482"/>
      <c r="I273" s="482"/>
      <c r="J273" s="482"/>
      <c r="K273" s="482"/>
      <c r="L273" s="483"/>
      <c r="M273" s="484"/>
      <c r="N273" s="484"/>
      <c r="O273" s="484"/>
      <c r="P273" s="484"/>
      <c r="Q273" s="484"/>
      <c r="R273" s="484"/>
      <c r="S273" s="484"/>
      <c r="T273" s="484"/>
      <c r="U273" s="484"/>
      <c r="V273" s="484"/>
      <c r="W273" s="484"/>
      <c r="X273" s="484"/>
      <c r="Y273" s="484"/>
      <c r="Z273" s="484"/>
      <c r="AA273" s="484"/>
      <c r="AB273" s="484"/>
      <c r="AC273" s="484"/>
      <c r="AD273" s="484"/>
      <c r="AE273" s="484"/>
      <c r="AF273" s="484"/>
      <c r="AG273" s="484"/>
      <c r="AH273" s="484"/>
      <c r="AI273" s="484"/>
      <c r="AJ273" s="484"/>
      <c r="AK273" s="484"/>
    </row>
    <row r="274" spans="2:37" s="64" customFormat="1" x14ac:dyDescent="0.35">
      <c r="B274" s="30"/>
      <c r="C274" s="30"/>
      <c r="D274" s="30"/>
      <c r="E274" s="30"/>
      <c r="F274" s="258"/>
      <c r="H274" s="487"/>
      <c r="I274" s="487"/>
      <c r="J274" s="487"/>
      <c r="K274" s="487"/>
      <c r="L274" s="483"/>
      <c r="M274" s="484"/>
      <c r="N274" s="484"/>
      <c r="O274" s="484"/>
      <c r="P274" s="484"/>
      <c r="Q274" s="484"/>
      <c r="R274" s="484"/>
      <c r="S274" s="484"/>
      <c r="T274" s="484"/>
      <c r="U274" s="484"/>
      <c r="V274" s="484"/>
      <c r="W274" s="484"/>
      <c r="X274" s="484"/>
      <c r="Y274" s="484"/>
      <c r="Z274" s="484"/>
      <c r="AA274" s="484"/>
      <c r="AB274" s="484"/>
      <c r="AC274" s="484"/>
      <c r="AD274" s="484"/>
      <c r="AE274" s="484"/>
      <c r="AF274" s="484"/>
      <c r="AG274" s="484"/>
      <c r="AH274" s="484"/>
      <c r="AI274" s="484"/>
      <c r="AJ274" s="484"/>
      <c r="AK274" s="484"/>
    </row>
    <row r="275" spans="2:37" s="64" customFormat="1" x14ac:dyDescent="0.35">
      <c r="B275" s="30"/>
      <c r="C275" s="30"/>
      <c r="D275" s="30"/>
      <c r="E275" s="30"/>
      <c r="F275" s="258"/>
      <c r="G275" s="30"/>
      <c r="H275" s="482"/>
      <c r="I275" s="482"/>
      <c r="J275" s="482"/>
      <c r="K275" s="482"/>
      <c r="L275" s="483"/>
      <c r="M275" s="484"/>
      <c r="N275" s="484"/>
      <c r="O275" s="484"/>
      <c r="P275" s="484"/>
      <c r="Q275" s="484"/>
      <c r="R275" s="484"/>
      <c r="S275" s="484"/>
      <c r="T275" s="484"/>
      <c r="U275" s="484"/>
      <c r="V275" s="484"/>
      <c r="W275" s="484"/>
      <c r="X275" s="484"/>
      <c r="Y275" s="484"/>
      <c r="Z275" s="484"/>
      <c r="AA275" s="484"/>
      <c r="AB275" s="484"/>
      <c r="AC275" s="484"/>
      <c r="AD275" s="484"/>
      <c r="AE275" s="484"/>
      <c r="AF275" s="484"/>
      <c r="AG275" s="484"/>
      <c r="AH275" s="484"/>
      <c r="AI275" s="484"/>
      <c r="AJ275" s="484"/>
      <c r="AK275" s="484"/>
    </row>
    <row r="276" spans="2:37" s="64" customFormat="1" x14ac:dyDescent="0.35">
      <c r="B276" s="30"/>
      <c r="C276" s="30"/>
      <c r="D276" s="30"/>
      <c r="E276" s="30"/>
      <c r="F276" s="258"/>
      <c r="H276" s="487"/>
      <c r="I276" s="487"/>
      <c r="J276" s="487"/>
      <c r="K276" s="487"/>
      <c r="L276" s="483"/>
      <c r="M276" s="484"/>
      <c r="N276" s="484"/>
      <c r="O276" s="484"/>
      <c r="P276" s="484"/>
      <c r="Q276" s="484"/>
      <c r="R276" s="484"/>
      <c r="S276" s="484"/>
      <c r="T276" s="484"/>
      <c r="U276" s="484"/>
      <c r="V276" s="484"/>
      <c r="W276" s="484"/>
      <c r="X276" s="484"/>
      <c r="Y276" s="484"/>
      <c r="Z276" s="484"/>
      <c r="AA276" s="484"/>
      <c r="AB276" s="484"/>
      <c r="AC276" s="484"/>
      <c r="AD276" s="484"/>
      <c r="AE276" s="484"/>
      <c r="AF276" s="484"/>
      <c r="AG276" s="484"/>
      <c r="AH276" s="484"/>
      <c r="AI276" s="484"/>
      <c r="AJ276" s="484"/>
      <c r="AK276" s="484"/>
    </row>
    <row r="277" spans="2:37" s="64" customFormat="1" x14ac:dyDescent="0.35">
      <c r="B277" s="30"/>
      <c r="C277" s="30"/>
      <c r="D277" s="30"/>
      <c r="E277" s="30"/>
      <c r="F277" s="258"/>
      <c r="G277" s="30"/>
      <c r="H277" s="482"/>
      <c r="I277" s="482"/>
      <c r="J277" s="482"/>
      <c r="K277" s="482"/>
      <c r="L277" s="483"/>
      <c r="M277" s="484"/>
      <c r="N277" s="484"/>
      <c r="O277" s="484"/>
      <c r="P277" s="484"/>
      <c r="Q277" s="484"/>
      <c r="R277" s="484"/>
      <c r="S277" s="484"/>
      <c r="T277" s="484"/>
      <c r="U277" s="484"/>
      <c r="V277" s="484"/>
      <c r="W277" s="484"/>
      <c r="X277" s="484"/>
      <c r="Y277" s="484"/>
      <c r="Z277" s="484"/>
      <c r="AA277" s="484"/>
      <c r="AB277" s="484"/>
      <c r="AC277" s="484"/>
      <c r="AD277" s="484"/>
      <c r="AE277" s="484"/>
      <c r="AF277" s="484"/>
      <c r="AG277" s="484"/>
      <c r="AH277" s="484"/>
      <c r="AI277" s="484"/>
      <c r="AJ277" s="484"/>
      <c r="AK277" s="484"/>
    </row>
    <row r="278" spans="2:37" s="64" customFormat="1" x14ac:dyDescent="0.35">
      <c r="B278" s="30"/>
      <c r="C278" s="30"/>
      <c r="D278" s="30"/>
      <c r="E278" s="30"/>
      <c r="F278" s="258"/>
      <c r="H278" s="487"/>
      <c r="I278" s="487"/>
      <c r="J278" s="487"/>
      <c r="K278" s="487"/>
      <c r="L278" s="483"/>
      <c r="M278" s="484"/>
      <c r="N278" s="484"/>
      <c r="O278" s="484"/>
      <c r="P278" s="484"/>
      <c r="Q278" s="484"/>
      <c r="R278" s="484"/>
      <c r="S278" s="484"/>
      <c r="T278" s="484"/>
      <c r="U278" s="484"/>
      <c r="V278" s="484"/>
      <c r="W278" s="484"/>
      <c r="X278" s="484"/>
      <c r="Y278" s="484"/>
      <c r="Z278" s="484"/>
      <c r="AA278" s="484"/>
      <c r="AB278" s="484"/>
      <c r="AC278" s="484"/>
      <c r="AD278" s="484"/>
      <c r="AE278" s="484"/>
      <c r="AF278" s="484"/>
      <c r="AG278" s="484"/>
      <c r="AH278" s="484"/>
      <c r="AI278" s="484"/>
      <c r="AJ278" s="484"/>
      <c r="AK278" s="484"/>
    </row>
    <row r="279" spans="2:37" s="64" customFormat="1" x14ac:dyDescent="0.35">
      <c r="B279" s="30"/>
      <c r="C279" s="30"/>
      <c r="D279" s="30"/>
      <c r="E279" s="30"/>
      <c r="F279" s="258"/>
      <c r="G279" s="30"/>
      <c r="H279" s="482"/>
      <c r="I279" s="482"/>
      <c r="J279" s="482"/>
      <c r="K279" s="482"/>
      <c r="L279" s="483"/>
      <c r="M279" s="484"/>
      <c r="N279" s="484"/>
      <c r="O279" s="484"/>
      <c r="P279" s="484"/>
      <c r="Q279" s="484"/>
      <c r="R279" s="484"/>
      <c r="S279" s="484"/>
      <c r="T279" s="484"/>
      <c r="U279" s="484"/>
      <c r="V279" s="484"/>
      <c r="W279" s="484"/>
      <c r="X279" s="484"/>
      <c r="Y279" s="484"/>
      <c r="Z279" s="484"/>
      <c r="AA279" s="484"/>
      <c r="AB279" s="484"/>
      <c r="AC279" s="484"/>
      <c r="AD279" s="484"/>
      <c r="AE279" s="484"/>
      <c r="AF279" s="484"/>
      <c r="AG279" s="484"/>
      <c r="AH279" s="484"/>
      <c r="AI279" s="484"/>
      <c r="AJ279" s="484"/>
      <c r="AK279" s="484"/>
    </row>
    <row r="280" spans="2:37" s="64" customFormat="1" x14ac:dyDescent="0.35">
      <c r="B280" s="30"/>
      <c r="C280" s="30"/>
      <c r="D280" s="30"/>
      <c r="E280" s="30"/>
      <c r="F280" s="258"/>
      <c r="H280" s="487"/>
      <c r="I280" s="487"/>
      <c r="J280" s="487"/>
      <c r="K280" s="487"/>
      <c r="L280" s="483"/>
      <c r="M280" s="484"/>
      <c r="N280" s="484"/>
      <c r="O280" s="484"/>
      <c r="P280" s="484"/>
      <c r="Q280" s="484"/>
      <c r="R280" s="484"/>
      <c r="S280" s="484"/>
      <c r="T280" s="484"/>
      <c r="U280" s="484"/>
      <c r="V280" s="484"/>
      <c r="W280" s="484"/>
      <c r="X280" s="484"/>
      <c r="Y280" s="484"/>
      <c r="Z280" s="484"/>
      <c r="AA280" s="484"/>
      <c r="AB280" s="484"/>
      <c r="AC280" s="484"/>
      <c r="AD280" s="484"/>
      <c r="AE280" s="484"/>
      <c r="AF280" s="484"/>
      <c r="AG280" s="484"/>
      <c r="AH280" s="484"/>
      <c r="AI280" s="484"/>
      <c r="AJ280" s="484"/>
      <c r="AK280" s="484"/>
    </row>
    <row r="281" spans="2:37" s="64" customFormat="1" x14ac:dyDescent="0.35">
      <c r="B281" s="30"/>
      <c r="C281" s="30"/>
      <c r="D281" s="30"/>
      <c r="E281" s="30"/>
      <c r="F281" s="258"/>
      <c r="G281" s="30"/>
      <c r="H281" s="482"/>
      <c r="I281" s="482"/>
      <c r="J281" s="482"/>
      <c r="K281" s="482"/>
      <c r="L281" s="483"/>
      <c r="M281" s="484"/>
      <c r="N281" s="484"/>
      <c r="O281" s="484"/>
      <c r="P281" s="484"/>
      <c r="Q281" s="484"/>
      <c r="R281" s="484"/>
      <c r="S281" s="484"/>
      <c r="T281" s="484"/>
      <c r="U281" s="484"/>
      <c r="V281" s="484"/>
      <c r="W281" s="484"/>
      <c r="X281" s="484"/>
      <c r="Y281" s="484"/>
      <c r="Z281" s="484"/>
      <c r="AA281" s="484"/>
      <c r="AB281" s="484"/>
      <c r="AC281" s="484"/>
      <c r="AD281" s="484"/>
      <c r="AE281" s="484"/>
      <c r="AF281" s="484"/>
      <c r="AG281" s="484"/>
      <c r="AH281" s="484"/>
      <c r="AI281" s="484"/>
      <c r="AJ281" s="484"/>
      <c r="AK281" s="484"/>
    </row>
    <row r="282" spans="2:37" s="64" customFormat="1" x14ac:dyDescent="0.35">
      <c r="B282" s="30"/>
      <c r="C282" s="30"/>
      <c r="D282" s="30"/>
      <c r="E282" s="30"/>
      <c r="F282" s="258"/>
      <c r="H282" s="487"/>
      <c r="I282" s="487"/>
      <c r="J282" s="487"/>
      <c r="K282" s="487"/>
      <c r="L282" s="483"/>
      <c r="M282" s="484"/>
      <c r="N282" s="484"/>
      <c r="O282" s="484"/>
      <c r="P282" s="484"/>
      <c r="Q282" s="484"/>
      <c r="R282" s="484"/>
      <c r="S282" s="484"/>
      <c r="T282" s="484"/>
      <c r="U282" s="484"/>
      <c r="V282" s="484"/>
      <c r="W282" s="484"/>
      <c r="X282" s="484"/>
      <c r="Y282" s="484"/>
      <c r="Z282" s="484"/>
      <c r="AA282" s="484"/>
      <c r="AB282" s="484"/>
      <c r="AC282" s="484"/>
      <c r="AD282" s="484"/>
      <c r="AE282" s="484"/>
      <c r="AF282" s="484"/>
      <c r="AG282" s="484"/>
      <c r="AH282" s="484"/>
      <c r="AI282" s="484"/>
      <c r="AJ282" s="484"/>
      <c r="AK282" s="484"/>
    </row>
    <row r="283" spans="2:37" s="64" customFormat="1" x14ac:dyDescent="0.35">
      <c r="B283" s="30"/>
      <c r="C283" s="30"/>
      <c r="D283" s="30"/>
      <c r="E283" s="30"/>
      <c r="F283" s="258"/>
      <c r="G283" s="30"/>
      <c r="H283" s="482"/>
      <c r="I283" s="482"/>
      <c r="J283" s="482"/>
      <c r="K283" s="482"/>
      <c r="L283" s="483"/>
      <c r="M283" s="484"/>
      <c r="N283" s="484"/>
      <c r="O283" s="484"/>
      <c r="P283" s="484"/>
      <c r="Q283" s="484"/>
      <c r="R283" s="484"/>
      <c r="S283" s="484"/>
      <c r="T283" s="484"/>
      <c r="U283" s="484"/>
      <c r="V283" s="484"/>
      <c r="W283" s="484"/>
      <c r="X283" s="484"/>
      <c r="Y283" s="484"/>
      <c r="Z283" s="484"/>
      <c r="AA283" s="484"/>
      <c r="AB283" s="484"/>
      <c r="AC283" s="484"/>
      <c r="AD283" s="484"/>
      <c r="AE283" s="484"/>
      <c r="AF283" s="484"/>
      <c r="AG283" s="484"/>
      <c r="AH283" s="484"/>
      <c r="AI283" s="484"/>
      <c r="AJ283" s="484"/>
      <c r="AK283" s="484"/>
    </row>
    <row r="284" spans="2:37" s="64" customFormat="1" x14ac:dyDescent="0.35">
      <c r="B284" s="30"/>
      <c r="C284" s="30"/>
      <c r="D284" s="30"/>
      <c r="E284" s="30"/>
      <c r="F284" s="258"/>
      <c r="H284" s="487"/>
      <c r="I284" s="487"/>
      <c r="J284" s="487"/>
      <c r="K284" s="487"/>
      <c r="L284" s="483"/>
      <c r="M284" s="484"/>
      <c r="N284" s="484"/>
      <c r="O284" s="484"/>
      <c r="P284" s="484"/>
      <c r="Q284" s="484"/>
      <c r="R284" s="484"/>
      <c r="S284" s="484"/>
      <c r="T284" s="484"/>
      <c r="U284" s="484"/>
      <c r="V284" s="484"/>
      <c r="W284" s="484"/>
      <c r="X284" s="484"/>
      <c r="Y284" s="484"/>
      <c r="Z284" s="484"/>
      <c r="AA284" s="484"/>
      <c r="AB284" s="484"/>
      <c r="AC284" s="484"/>
      <c r="AD284" s="484"/>
      <c r="AE284" s="484"/>
      <c r="AF284" s="484"/>
      <c r="AG284" s="484"/>
      <c r="AH284" s="484"/>
      <c r="AI284" s="484"/>
      <c r="AJ284" s="484"/>
      <c r="AK284" s="484"/>
    </row>
    <row r="285" spans="2:37" s="64" customFormat="1" x14ac:dyDescent="0.35">
      <c r="B285" s="30"/>
      <c r="C285" s="30"/>
      <c r="D285" s="30"/>
      <c r="E285" s="30"/>
      <c r="F285" s="258"/>
      <c r="G285" s="30"/>
      <c r="H285" s="482"/>
      <c r="I285" s="482"/>
      <c r="J285" s="482"/>
      <c r="K285" s="482"/>
      <c r="L285" s="483"/>
      <c r="M285" s="484"/>
      <c r="N285" s="484"/>
      <c r="O285" s="484"/>
      <c r="P285" s="484"/>
      <c r="Q285" s="484"/>
      <c r="R285" s="484"/>
      <c r="S285" s="484"/>
      <c r="T285" s="484"/>
      <c r="U285" s="484"/>
      <c r="V285" s="484"/>
      <c r="W285" s="484"/>
      <c r="X285" s="484"/>
      <c r="Y285" s="484"/>
      <c r="Z285" s="484"/>
      <c r="AA285" s="484"/>
      <c r="AB285" s="484"/>
      <c r="AC285" s="484"/>
      <c r="AD285" s="484"/>
      <c r="AE285" s="484"/>
      <c r="AF285" s="484"/>
      <c r="AG285" s="484"/>
      <c r="AH285" s="484"/>
      <c r="AI285" s="484"/>
      <c r="AJ285" s="484"/>
      <c r="AK285" s="484"/>
    </row>
    <row r="286" spans="2:37" s="64" customFormat="1" x14ac:dyDescent="0.35">
      <c r="B286" s="30"/>
      <c r="C286" s="30"/>
      <c r="D286" s="30"/>
      <c r="E286" s="30"/>
      <c r="F286" s="258"/>
      <c r="H286" s="487"/>
      <c r="I286" s="487"/>
      <c r="J286" s="487"/>
      <c r="K286" s="487"/>
      <c r="L286" s="483"/>
      <c r="M286" s="484"/>
      <c r="N286" s="484"/>
      <c r="O286" s="484"/>
      <c r="P286" s="484"/>
      <c r="Q286" s="484"/>
      <c r="R286" s="484"/>
      <c r="S286" s="484"/>
      <c r="T286" s="484"/>
      <c r="U286" s="484"/>
      <c r="V286" s="484"/>
      <c r="W286" s="484"/>
      <c r="X286" s="484"/>
      <c r="Y286" s="484"/>
      <c r="Z286" s="484"/>
      <c r="AA286" s="484"/>
      <c r="AB286" s="484"/>
      <c r="AC286" s="484"/>
      <c r="AD286" s="484"/>
      <c r="AE286" s="484"/>
      <c r="AF286" s="484"/>
      <c r="AG286" s="484"/>
      <c r="AH286" s="484"/>
      <c r="AI286" s="484"/>
      <c r="AJ286" s="484"/>
      <c r="AK286" s="484"/>
    </row>
    <row r="287" spans="2:37" s="64" customFormat="1" x14ac:dyDescent="0.35">
      <c r="B287" s="30"/>
      <c r="C287" s="30"/>
      <c r="D287" s="30"/>
      <c r="E287" s="30"/>
      <c r="F287" s="258"/>
      <c r="G287" s="30"/>
      <c r="H287" s="482"/>
      <c r="I287" s="482"/>
      <c r="J287" s="482"/>
      <c r="K287" s="482"/>
      <c r="L287" s="483"/>
      <c r="M287" s="484"/>
      <c r="N287" s="484"/>
      <c r="O287" s="484"/>
      <c r="P287" s="484"/>
      <c r="Q287" s="484"/>
      <c r="R287" s="484"/>
      <c r="S287" s="484"/>
      <c r="T287" s="484"/>
      <c r="U287" s="484"/>
      <c r="V287" s="484"/>
      <c r="W287" s="484"/>
      <c r="X287" s="484"/>
      <c r="Y287" s="484"/>
      <c r="Z287" s="484"/>
      <c r="AA287" s="484"/>
      <c r="AB287" s="484"/>
      <c r="AC287" s="484"/>
      <c r="AD287" s="484"/>
      <c r="AE287" s="484"/>
      <c r="AF287" s="484"/>
      <c r="AG287" s="484"/>
      <c r="AH287" s="484"/>
      <c r="AI287" s="484"/>
      <c r="AJ287" s="484"/>
      <c r="AK287" s="484"/>
    </row>
    <row r="288" spans="2:37" s="64" customFormat="1" x14ac:dyDescent="0.35">
      <c r="B288" s="30"/>
      <c r="C288" s="30"/>
      <c r="D288" s="30"/>
      <c r="E288" s="30"/>
      <c r="F288" s="258"/>
      <c r="H288" s="487"/>
      <c r="I288" s="487"/>
      <c r="J288" s="487"/>
      <c r="K288" s="487"/>
      <c r="L288" s="483"/>
      <c r="M288" s="484"/>
      <c r="N288" s="484"/>
      <c r="O288" s="484"/>
      <c r="P288" s="484"/>
      <c r="Q288" s="484"/>
      <c r="R288" s="484"/>
      <c r="S288" s="484"/>
      <c r="T288" s="484"/>
      <c r="U288" s="484"/>
      <c r="V288" s="484"/>
      <c r="W288" s="484"/>
      <c r="X288" s="484"/>
      <c r="Y288" s="484"/>
      <c r="Z288" s="484"/>
      <c r="AA288" s="484"/>
      <c r="AB288" s="484"/>
      <c r="AC288" s="484"/>
      <c r="AD288" s="484"/>
      <c r="AE288" s="484"/>
      <c r="AF288" s="484"/>
      <c r="AG288" s="484"/>
      <c r="AH288" s="484"/>
      <c r="AI288" s="484"/>
      <c r="AJ288" s="484"/>
      <c r="AK288" s="484"/>
    </row>
    <row r="289" spans="2:37" s="64" customFormat="1" x14ac:dyDescent="0.35">
      <c r="B289" s="30"/>
      <c r="C289" s="30"/>
      <c r="D289" s="30"/>
      <c r="E289" s="30"/>
      <c r="F289" s="258"/>
      <c r="G289" s="30"/>
      <c r="H289" s="482"/>
      <c r="I289" s="482"/>
      <c r="J289" s="482"/>
      <c r="K289" s="482"/>
      <c r="L289" s="483"/>
      <c r="M289" s="484"/>
      <c r="N289" s="484"/>
      <c r="O289" s="484"/>
      <c r="P289" s="484"/>
      <c r="Q289" s="484"/>
      <c r="R289" s="484"/>
      <c r="S289" s="484"/>
      <c r="T289" s="484"/>
      <c r="U289" s="484"/>
      <c r="V289" s="484"/>
      <c r="W289" s="484"/>
      <c r="X289" s="484"/>
      <c r="Y289" s="484"/>
      <c r="Z289" s="484"/>
      <c r="AA289" s="484"/>
      <c r="AB289" s="484"/>
      <c r="AC289" s="484"/>
      <c r="AD289" s="484"/>
      <c r="AE289" s="484"/>
      <c r="AF289" s="484"/>
      <c r="AG289" s="484"/>
      <c r="AH289" s="484"/>
      <c r="AI289" s="484"/>
      <c r="AJ289" s="484"/>
      <c r="AK289" s="484"/>
    </row>
    <row r="290" spans="2:37" s="64" customFormat="1" x14ac:dyDescent="0.35">
      <c r="B290" s="30"/>
      <c r="C290" s="30"/>
      <c r="D290" s="30"/>
      <c r="E290" s="30"/>
      <c r="F290" s="258"/>
      <c r="H290" s="487"/>
      <c r="I290" s="487"/>
      <c r="J290" s="487"/>
      <c r="K290" s="487"/>
      <c r="L290" s="483"/>
      <c r="M290" s="484"/>
      <c r="N290" s="484"/>
      <c r="O290" s="484"/>
      <c r="P290" s="484"/>
      <c r="Q290" s="484"/>
      <c r="R290" s="484"/>
      <c r="S290" s="484"/>
      <c r="T290" s="484"/>
      <c r="U290" s="484"/>
      <c r="V290" s="484"/>
      <c r="W290" s="484"/>
      <c r="X290" s="484"/>
      <c r="Y290" s="484"/>
      <c r="Z290" s="484"/>
      <c r="AA290" s="484"/>
      <c r="AB290" s="484"/>
      <c r="AC290" s="484"/>
      <c r="AD290" s="484"/>
      <c r="AE290" s="484"/>
      <c r="AF290" s="484"/>
      <c r="AG290" s="484"/>
      <c r="AH290" s="484"/>
      <c r="AI290" s="484"/>
      <c r="AJ290" s="484"/>
      <c r="AK290" s="484"/>
    </row>
    <row r="291" spans="2:37" s="64" customFormat="1" x14ac:dyDescent="0.35">
      <c r="B291" s="30"/>
      <c r="C291" s="30"/>
      <c r="D291" s="30"/>
      <c r="E291" s="30"/>
      <c r="F291" s="258"/>
      <c r="G291" s="30"/>
      <c r="H291" s="482"/>
      <c r="I291" s="482"/>
      <c r="J291" s="482"/>
      <c r="K291" s="482"/>
      <c r="L291" s="483"/>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4"/>
      <c r="AK291" s="484"/>
    </row>
    <row r="292" spans="2:37" s="64" customFormat="1" x14ac:dyDescent="0.35">
      <c r="B292" s="30"/>
      <c r="C292" s="30"/>
      <c r="D292" s="30"/>
      <c r="E292" s="30"/>
      <c r="F292" s="258"/>
      <c r="H292" s="487"/>
      <c r="I292" s="487"/>
      <c r="J292" s="487"/>
      <c r="K292" s="487"/>
      <c r="L292" s="483"/>
      <c r="M292" s="484"/>
      <c r="N292" s="484"/>
      <c r="O292" s="484"/>
      <c r="P292" s="484"/>
      <c r="Q292" s="484"/>
      <c r="R292" s="484"/>
      <c r="S292" s="484"/>
      <c r="T292" s="484"/>
      <c r="U292" s="484"/>
      <c r="V292" s="484"/>
      <c r="W292" s="484"/>
      <c r="X292" s="484"/>
      <c r="Y292" s="484"/>
      <c r="Z292" s="484"/>
      <c r="AA292" s="484"/>
      <c r="AB292" s="484"/>
      <c r="AC292" s="484"/>
      <c r="AD292" s="484"/>
      <c r="AE292" s="484"/>
      <c r="AF292" s="484"/>
      <c r="AG292" s="484"/>
      <c r="AH292" s="484"/>
      <c r="AI292" s="484"/>
      <c r="AJ292" s="484"/>
      <c r="AK292" s="484"/>
    </row>
    <row r="293" spans="2:37" s="64" customFormat="1" x14ac:dyDescent="0.35">
      <c r="B293" s="30"/>
      <c r="C293" s="30"/>
      <c r="D293" s="30"/>
      <c r="E293" s="30"/>
      <c r="F293" s="258"/>
      <c r="G293" s="30"/>
      <c r="H293" s="482"/>
      <c r="I293" s="482"/>
      <c r="J293" s="482"/>
      <c r="K293" s="482"/>
      <c r="L293" s="483"/>
      <c r="M293" s="484"/>
      <c r="N293" s="484"/>
      <c r="O293" s="484"/>
      <c r="P293" s="484"/>
      <c r="Q293" s="484"/>
      <c r="R293" s="484"/>
      <c r="S293" s="484"/>
      <c r="T293" s="484"/>
      <c r="U293" s="484"/>
      <c r="V293" s="484"/>
      <c r="W293" s="484"/>
      <c r="X293" s="484"/>
      <c r="Y293" s="484"/>
      <c r="Z293" s="484"/>
      <c r="AA293" s="484"/>
      <c r="AB293" s="484"/>
      <c r="AC293" s="484"/>
      <c r="AD293" s="484"/>
      <c r="AE293" s="484"/>
      <c r="AF293" s="484"/>
      <c r="AG293" s="484"/>
      <c r="AH293" s="484"/>
      <c r="AI293" s="484"/>
      <c r="AJ293" s="484"/>
      <c r="AK293" s="484"/>
    </row>
    <row r="294" spans="2:37" s="64" customFormat="1" x14ac:dyDescent="0.35">
      <c r="B294" s="30"/>
      <c r="C294" s="30"/>
      <c r="D294" s="30"/>
      <c r="E294" s="30"/>
      <c r="F294" s="258"/>
      <c r="H294" s="487"/>
      <c r="I294" s="487"/>
      <c r="J294" s="487"/>
      <c r="K294" s="487"/>
      <c r="L294" s="483"/>
      <c r="M294" s="484"/>
      <c r="N294" s="484"/>
      <c r="O294" s="484"/>
      <c r="P294" s="484"/>
      <c r="Q294" s="484"/>
      <c r="R294" s="484"/>
      <c r="S294" s="484"/>
      <c r="T294" s="484"/>
      <c r="U294" s="484"/>
      <c r="V294" s="484"/>
      <c r="W294" s="484"/>
      <c r="X294" s="484"/>
      <c r="Y294" s="484"/>
      <c r="Z294" s="484"/>
      <c r="AA294" s="484"/>
      <c r="AB294" s="484"/>
      <c r="AC294" s="484"/>
      <c r="AD294" s="484"/>
      <c r="AE294" s="484"/>
      <c r="AF294" s="484"/>
      <c r="AG294" s="484"/>
      <c r="AH294" s="484"/>
      <c r="AI294" s="484"/>
      <c r="AJ294" s="484"/>
      <c r="AK294" s="484"/>
    </row>
    <row r="295" spans="2:37" s="64" customFormat="1" x14ac:dyDescent="0.35">
      <c r="B295" s="30"/>
      <c r="C295" s="30"/>
      <c r="D295" s="30"/>
      <c r="E295" s="30"/>
      <c r="F295" s="258"/>
      <c r="G295" s="30"/>
      <c r="H295" s="482"/>
      <c r="I295" s="482"/>
      <c r="J295" s="482"/>
      <c r="K295" s="482"/>
      <c r="L295" s="483"/>
      <c r="M295" s="484"/>
      <c r="N295" s="484"/>
      <c r="O295" s="484"/>
      <c r="P295" s="484"/>
      <c r="Q295" s="484"/>
      <c r="R295" s="484"/>
      <c r="S295" s="484"/>
      <c r="T295" s="484"/>
      <c r="U295" s="484"/>
      <c r="V295" s="484"/>
      <c r="W295" s="484"/>
      <c r="X295" s="484"/>
      <c r="Y295" s="484"/>
      <c r="Z295" s="484"/>
      <c r="AA295" s="484"/>
      <c r="AB295" s="484"/>
      <c r="AC295" s="484"/>
      <c r="AD295" s="484"/>
      <c r="AE295" s="484"/>
      <c r="AF295" s="484"/>
      <c r="AG295" s="484"/>
      <c r="AH295" s="484"/>
      <c r="AI295" s="484"/>
      <c r="AJ295" s="484"/>
      <c r="AK295" s="484"/>
    </row>
    <row r="296" spans="2:37" s="64" customFormat="1" x14ac:dyDescent="0.35">
      <c r="B296" s="30"/>
      <c r="C296" s="30"/>
      <c r="D296" s="30"/>
      <c r="E296" s="30"/>
      <c r="F296" s="258"/>
      <c r="H296" s="487"/>
      <c r="I296" s="487"/>
      <c r="J296" s="487"/>
      <c r="K296" s="487"/>
      <c r="L296" s="483"/>
      <c r="M296" s="484"/>
      <c r="N296" s="484"/>
      <c r="O296" s="484"/>
      <c r="P296" s="484"/>
      <c r="Q296" s="484"/>
      <c r="R296" s="484"/>
      <c r="S296" s="484"/>
      <c r="T296" s="484"/>
      <c r="U296" s="484"/>
      <c r="V296" s="484"/>
      <c r="W296" s="484"/>
      <c r="X296" s="484"/>
      <c r="Y296" s="484"/>
      <c r="Z296" s="484"/>
      <c r="AA296" s="484"/>
      <c r="AB296" s="484"/>
      <c r="AC296" s="484"/>
      <c r="AD296" s="484"/>
      <c r="AE296" s="484"/>
      <c r="AF296" s="484"/>
      <c r="AG296" s="484"/>
      <c r="AH296" s="484"/>
      <c r="AI296" s="484"/>
      <c r="AJ296" s="484"/>
      <c r="AK296" s="484"/>
    </row>
    <row r="297" spans="2:37" s="64" customFormat="1" x14ac:dyDescent="0.35">
      <c r="B297" s="30"/>
      <c r="C297" s="30"/>
      <c r="D297" s="30"/>
      <c r="E297" s="30"/>
      <c r="F297" s="258"/>
      <c r="G297" s="30"/>
      <c r="H297" s="482"/>
      <c r="I297" s="482"/>
      <c r="J297" s="482"/>
      <c r="K297" s="482"/>
      <c r="L297" s="483"/>
      <c r="M297" s="484"/>
      <c r="N297" s="484"/>
      <c r="O297" s="484"/>
      <c r="P297" s="484"/>
      <c r="Q297" s="484"/>
      <c r="R297" s="484"/>
      <c r="S297" s="484"/>
      <c r="T297" s="484"/>
      <c r="U297" s="484"/>
      <c r="V297" s="484"/>
      <c r="W297" s="484"/>
      <c r="X297" s="484"/>
      <c r="Y297" s="484"/>
      <c r="Z297" s="484"/>
      <c r="AA297" s="484"/>
      <c r="AB297" s="484"/>
      <c r="AC297" s="484"/>
      <c r="AD297" s="484"/>
      <c r="AE297" s="484"/>
      <c r="AF297" s="484"/>
      <c r="AG297" s="484"/>
      <c r="AH297" s="484"/>
      <c r="AI297" s="484"/>
      <c r="AJ297" s="484"/>
      <c r="AK297" s="484"/>
    </row>
    <row r="298" spans="2:37" s="64" customFormat="1" x14ac:dyDescent="0.35">
      <c r="B298" s="30"/>
      <c r="C298" s="30"/>
      <c r="D298" s="30"/>
      <c r="E298" s="30"/>
      <c r="F298" s="258"/>
      <c r="H298" s="487"/>
      <c r="I298" s="487"/>
      <c r="J298" s="487"/>
      <c r="K298" s="487"/>
      <c r="L298" s="483"/>
      <c r="M298" s="484"/>
      <c r="N298" s="484"/>
      <c r="O298" s="484"/>
      <c r="P298" s="484"/>
      <c r="Q298" s="484"/>
      <c r="R298" s="484"/>
      <c r="S298" s="484"/>
      <c r="T298" s="484"/>
      <c r="U298" s="484"/>
      <c r="V298" s="484"/>
      <c r="W298" s="484"/>
      <c r="X298" s="484"/>
      <c r="Y298" s="484"/>
      <c r="Z298" s="484"/>
      <c r="AA298" s="484"/>
      <c r="AB298" s="484"/>
      <c r="AC298" s="484"/>
      <c r="AD298" s="484"/>
      <c r="AE298" s="484"/>
      <c r="AF298" s="484"/>
      <c r="AG298" s="484"/>
      <c r="AH298" s="484"/>
      <c r="AI298" s="484"/>
      <c r="AJ298" s="484"/>
      <c r="AK298" s="484"/>
    </row>
    <row r="299" spans="2:37" s="64" customFormat="1" x14ac:dyDescent="0.35">
      <c r="B299" s="30"/>
      <c r="C299" s="30"/>
      <c r="D299" s="30"/>
      <c r="E299" s="30"/>
      <c r="F299" s="258"/>
      <c r="G299" s="30"/>
      <c r="H299" s="482"/>
      <c r="I299" s="482"/>
      <c r="J299" s="482"/>
      <c r="K299" s="482"/>
      <c r="L299" s="483"/>
      <c r="M299" s="484"/>
      <c r="N299" s="484"/>
      <c r="O299" s="484"/>
      <c r="P299" s="484"/>
      <c r="Q299" s="484"/>
      <c r="R299" s="484"/>
      <c r="S299" s="484"/>
      <c r="T299" s="484"/>
      <c r="U299" s="484"/>
      <c r="V299" s="484"/>
      <c r="W299" s="484"/>
      <c r="X299" s="484"/>
      <c r="Y299" s="484"/>
      <c r="Z299" s="484"/>
      <c r="AA299" s="484"/>
      <c r="AB299" s="484"/>
      <c r="AC299" s="484"/>
      <c r="AD299" s="484"/>
      <c r="AE299" s="484"/>
      <c r="AF299" s="484"/>
      <c r="AG299" s="484"/>
      <c r="AH299" s="484"/>
      <c r="AI299" s="484"/>
      <c r="AJ299" s="484"/>
      <c r="AK299" s="484"/>
    </row>
    <row r="300" spans="2:37" s="64" customFormat="1" x14ac:dyDescent="0.35">
      <c r="B300" s="30"/>
      <c r="C300" s="30"/>
      <c r="D300" s="30"/>
      <c r="E300" s="30"/>
      <c r="F300" s="258"/>
      <c r="H300" s="487"/>
      <c r="I300" s="487"/>
      <c r="J300" s="487"/>
      <c r="K300" s="487"/>
      <c r="L300" s="483"/>
      <c r="M300" s="484"/>
      <c r="N300" s="484"/>
      <c r="O300" s="484"/>
      <c r="P300" s="484"/>
      <c r="Q300" s="484"/>
      <c r="R300" s="484"/>
      <c r="S300" s="484"/>
      <c r="T300" s="484"/>
      <c r="U300" s="484"/>
      <c r="V300" s="484"/>
      <c r="W300" s="484"/>
      <c r="X300" s="484"/>
      <c r="Y300" s="484"/>
      <c r="Z300" s="484"/>
      <c r="AA300" s="484"/>
      <c r="AB300" s="484"/>
      <c r="AC300" s="484"/>
      <c r="AD300" s="484"/>
      <c r="AE300" s="484"/>
      <c r="AF300" s="484"/>
      <c r="AG300" s="484"/>
      <c r="AH300" s="484"/>
      <c r="AI300" s="484"/>
      <c r="AJ300" s="484"/>
      <c r="AK300" s="484"/>
    </row>
    <row r="301" spans="2:37" s="64" customFormat="1" x14ac:dyDescent="0.35">
      <c r="B301" s="30"/>
      <c r="C301" s="30"/>
      <c r="D301" s="30"/>
      <c r="E301" s="30"/>
      <c r="F301" s="258"/>
      <c r="G301" s="30"/>
      <c r="H301" s="482"/>
      <c r="I301" s="482"/>
      <c r="J301" s="482"/>
      <c r="K301" s="482"/>
      <c r="L301" s="483"/>
      <c r="M301" s="484"/>
      <c r="N301" s="484"/>
      <c r="O301" s="484"/>
      <c r="P301" s="484"/>
      <c r="Q301" s="484"/>
      <c r="R301" s="484"/>
      <c r="S301" s="484"/>
      <c r="T301" s="484"/>
      <c r="U301" s="484"/>
      <c r="V301" s="484"/>
      <c r="W301" s="484"/>
      <c r="X301" s="484"/>
      <c r="Y301" s="484"/>
      <c r="Z301" s="484"/>
      <c r="AA301" s="484"/>
      <c r="AB301" s="484"/>
      <c r="AC301" s="484"/>
      <c r="AD301" s="484"/>
      <c r="AE301" s="484"/>
      <c r="AF301" s="484"/>
      <c r="AG301" s="484"/>
      <c r="AH301" s="484"/>
      <c r="AI301" s="484"/>
      <c r="AJ301" s="484"/>
      <c r="AK301" s="484"/>
    </row>
    <row r="302" spans="2:37" s="64" customFormat="1" x14ac:dyDescent="0.35">
      <c r="B302" s="30"/>
      <c r="C302" s="30"/>
      <c r="D302" s="30"/>
      <c r="E302" s="30"/>
      <c r="F302" s="258"/>
      <c r="H302" s="487"/>
      <c r="I302" s="487"/>
      <c r="J302" s="487"/>
      <c r="K302" s="487"/>
      <c r="L302" s="483"/>
      <c r="M302" s="484"/>
      <c r="N302" s="484"/>
      <c r="O302" s="484"/>
      <c r="P302" s="484"/>
      <c r="Q302" s="484"/>
      <c r="R302" s="484"/>
      <c r="S302" s="484"/>
      <c r="T302" s="484"/>
      <c r="U302" s="484"/>
      <c r="V302" s="484"/>
      <c r="W302" s="484"/>
      <c r="X302" s="484"/>
      <c r="Y302" s="484"/>
      <c r="Z302" s="484"/>
      <c r="AA302" s="484"/>
      <c r="AB302" s="484"/>
      <c r="AC302" s="484"/>
      <c r="AD302" s="484"/>
      <c r="AE302" s="484"/>
      <c r="AF302" s="484"/>
      <c r="AG302" s="484"/>
      <c r="AH302" s="484"/>
      <c r="AI302" s="484"/>
      <c r="AJ302" s="484"/>
      <c r="AK302" s="484"/>
    </row>
    <row r="303" spans="2:37" s="64" customFormat="1" x14ac:dyDescent="0.35">
      <c r="B303" s="30"/>
      <c r="C303" s="30"/>
      <c r="D303" s="30"/>
      <c r="E303" s="30"/>
      <c r="F303" s="258"/>
      <c r="G303" s="30"/>
      <c r="H303" s="482"/>
      <c r="I303" s="482"/>
      <c r="J303" s="482"/>
      <c r="K303" s="482"/>
      <c r="L303" s="483"/>
      <c r="M303" s="484"/>
      <c r="N303" s="484"/>
      <c r="O303" s="484"/>
      <c r="P303" s="484"/>
      <c r="Q303" s="484"/>
      <c r="R303" s="484"/>
      <c r="S303" s="484"/>
      <c r="T303" s="484"/>
      <c r="U303" s="484"/>
      <c r="V303" s="484"/>
      <c r="W303" s="484"/>
      <c r="X303" s="484"/>
      <c r="Y303" s="484"/>
      <c r="Z303" s="484"/>
      <c r="AA303" s="484"/>
      <c r="AB303" s="484"/>
      <c r="AC303" s="484"/>
      <c r="AD303" s="484"/>
      <c r="AE303" s="484"/>
      <c r="AF303" s="484"/>
      <c r="AG303" s="484"/>
      <c r="AH303" s="484"/>
      <c r="AI303" s="484"/>
      <c r="AJ303" s="484"/>
      <c r="AK303" s="484"/>
    </row>
    <row r="304" spans="2:37" s="64" customFormat="1" x14ac:dyDescent="0.35">
      <c r="B304" s="30"/>
      <c r="C304" s="30"/>
      <c r="D304" s="30"/>
      <c r="E304" s="30"/>
      <c r="F304" s="258"/>
      <c r="H304" s="487"/>
      <c r="I304" s="487"/>
      <c r="J304" s="487"/>
      <c r="K304" s="487"/>
      <c r="L304" s="483"/>
      <c r="M304" s="484"/>
      <c r="N304" s="484"/>
      <c r="O304" s="484"/>
      <c r="P304" s="484"/>
      <c r="Q304" s="484"/>
      <c r="R304" s="484"/>
      <c r="S304" s="484"/>
      <c r="T304" s="484"/>
      <c r="U304" s="484"/>
      <c r="V304" s="484"/>
      <c r="W304" s="484"/>
      <c r="X304" s="484"/>
      <c r="Y304" s="484"/>
      <c r="Z304" s="484"/>
      <c r="AA304" s="484"/>
      <c r="AB304" s="484"/>
      <c r="AC304" s="484"/>
      <c r="AD304" s="484"/>
      <c r="AE304" s="484"/>
      <c r="AF304" s="484"/>
      <c r="AG304" s="484"/>
      <c r="AH304" s="484"/>
      <c r="AI304" s="484"/>
      <c r="AJ304" s="484"/>
      <c r="AK304" s="484"/>
    </row>
    <row r="305" spans="2:37" s="64" customFormat="1" x14ac:dyDescent="0.35">
      <c r="B305" s="30"/>
      <c r="C305" s="30"/>
      <c r="D305" s="30"/>
      <c r="E305" s="30"/>
      <c r="F305" s="258"/>
      <c r="G305" s="30"/>
      <c r="H305" s="482"/>
      <c r="I305" s="482"/>
      <c r="J305" s="482"/>
      <c r="K305" s="482"/>
      <c r="L305" s="483"/>
      <c r="M305" s="484"/>
      <c r="N305" s="484"/>
      <c r="O305" s="484"/>
      <c r="P305" s="484"/>
      <c r="Q305" s="484"/>
      <c r="R305" s="484"/>
      <c r="S305" s="484"/>
      <c r="T305" s="484"/>
      <c r="U305" s="484"/>
      <c r="V305" s="484"/>
      <c r="W305" s="484"/>
      <c r="X305" s="484"/>
      <c r="Y305" s="484"/>
      <c r="Z305" s="484"/>
      <c r="AA305" s="484"/>
      <c r="AB305" s="484"/>
      <c r="AC305" s="484"/>
      <c r="AD305" s="484"/>
      <c r="AE305" s="484"/>
      <c r="AF305" s="484"/>
      <c r="AG305" s="484"/>
      <c r="AH305" s="484"/>
      <c r="AI305" s="484"/>
      <c r="AJ305" s="484"/>
      <c r="AK305" s="484"/>
    </row>
    <row r="306" spans="2:37" s="64" customFormat="1" x14ac:dyDescent="0.35">
      <c r="B306" s="30"/>
      <c r="C306" s="30"/>
      <c r="D306" s="30"/>
      <c r="E306" s="30"/>
      <c r="F306" s="258"/>
      <c r="H306" s="487"/>
      <c r="I306" s="487"/>
      <c r="J306" s="487"/>
      <c r="K306" s="487"/>
      <c r="L306" s="483"/>
      <c r="M306" s="484"/>
      <c r="N306" s="484"/>
      <c r="O306" s="484"/>
      <c r="P306" s="484"/>
      <c r="Q306" s="484"/>
      <c r="R306" s="484"/>
      <c r="S306" s="484"/>
      <c r="T306" s="484"/>
      <c r="U306" s="484"/>
      <c r="V306" s="484"/>
      <c r="W306" s="484"/>
      <c r="X306" s="484"/>
      <c r="Y306" s="484"/>
      <c r="Z306" s="484"/>
      <c r="AA306" s="484"/>
      <c r="AB306" s="484"/>
      <c r="AC306" s="484"/>
      <c r="AD306" s="484"/>
      <c r="AE306" s="484"/>
      <c r="AF306" s="484"/>
      <c r="AG306" s="484"/>
      <c r="AH306" s="484"/>
      <c r="AI306" s="484"/>
      <c r="AJ306" s="484"/>
      <c r="AK306" s="484"/>
    </row>
    <row r="307" spans="2:37" s="64" customFormat="1" x14ac:dyDescent="0.35">
      <c r="B307" s="30"/>
      <c r="C307" s="30"/>
      <c r="D307" s="30"/>
      <c r="E307" s="30"/>
      <c r="F307" s="258"/>
      <c r="G307" s="30"/>
      <c r="H307" s="482"/>
      <c r="I307" s="482"/>
      <c r="J307" s="482"/>
      <c r="K307" s="482"/>
      <c r="L307" s="483"/>
      <c r="M307" s="484"/>
      <c r="N307" s="484"/>
      <c r="O307" s="484"/>
      <c r="P307" s="484"/>
      <c r="Q307" s="484"/>
      <c r="R307" s="484"/>
      <c r="S307" s="484"/>
      <c r="T307" s="484"/>
      <c r="U307" s="484"/>
      <c r="V307" s="484"/>
      <c r="W307" s="484"/>
      <c r="X307" s="484"/>
      <c r="Y307" s="484"/>
      <c r="Z307" s="484"/>
      <c r="AA307" s="484"/>
      <c r="AB307" s="484"/>
      <c r="AC307" s="484"/>
      <c r="AD307" s="484"/>
      <c r="AE307" s="484"/>
      <c r="AF307" s="484"/>
      <c r="AG307" s="484"/>
      <c r="AH307" s="484"/>
      <c r="AI307" s="484"/>
      <c r="AJ307" s="484"/>
      <c r="AK307" s="484"/>
    </row>
    <row r="308" spans="2:37" s="64" customFormat="1" x14ac:dyDescent="0.35">
      <c r="B308" s="30"/>
      <c r="C308" s="30"/>
      <c r="D308" s="30"/>
      <c r="E308" s="30"/>
      <c r="F308" s="258"/>
      <c r="H308" s="487"/>
      <c r="I308" s="487"/>
      <c r="J308" s="487"/>
      <c r="K308" s="487"/>
      <c r="L308" s="483"/>
      <c r="M308" s="484"/>
      <c r="N308" s="484"/>
      <c r="O308" s="484"/>
      <c r="P308" s="484"/>
      <c r="Q308" s="484"/>
      <c r="R308" s="484"/>
      <c r="S308" s="484"/>
      <c r="T308" s="484"/>
      <c r="U308" s="484"/>
      <c r="V308" s="484"/>
      <c r="W308" s="484"/>
      <c r="X308" s="484"/>
      <c r="Y308" s="484"/>
      <c r="Z308" s="484"/>
      <c r="AA308" s="484"/>
      <c r="AB308" s="484"/>
      <c r="AC308" s="484"/>
      <c r="AD308" s="484"/>
      <c r="AE308" s="484"/>
      <c r="AF308" s="484"/>
      <c r="AG308" s="484"/>
      <c r="AH308" s="484"/>
      <c r="AI308" s="484"/>
      <c r="AJ308" s="484"/>
      <c r="AK308" s="484"/>
    </row>
    <row r="309" spans="2:37" s="64" customFormat="1" x14ac:dyDescent="0.35">
      <c r="B309" s="30"/>
      <c r="C309" s="30"/>
      <c r="D309" s="30"/>
      <c r="E309" s="30"/>
      <c r="F309" s="258"/>
      <c r="G309" s="30"/>
      <c r="H309" s="482"/>
      <c r="I309" s="482"/>
      <c r="J309" s="482"/>
      <c r="K309" s="482"/>
      <c r="L309" s="483"/>
      <c r="M309" s="484"/>
      <c r="N309" s="484"/>
      <c r="O309" s="484"/>
      <c r="P309" s="484"/>
      <c r="Q309" s="484"/>
      <c r="R309" s="484"/>
      <c r="S309" s="484"/>
      <c r="T309" s="484"/>
      <c r="U309" s="484"/>
      <c r="V309" s="484"/>
      <c r="W309" s="484"/>
      <c r="X309" s="484"/>
      <c r="Y309" s="484"/>
      <c r="Z309" s="484"/>
      <c r="AA309" s="484"/>
      <c r="AB309" s="484"/>
      <c r="AC309" s="484"/>
      <c r="AD309" s="484"/>
      <c r="AE309" s="484"/>
      <c r="AF309" s="484"/>
      <c r="AG309" s="484"/>
      <c r="AH309" s="484"/>
      <c r="AI309" s="484"/>
      <c r="AJ309" s="484"/>
      <c r="AK309" s="484"/>
    </row>
    <row r="310" spans="2:37" s="64" customFormat="1" x14ac:dyDescent="0.35">
      <c r="B310" s="30"/>
      <c r="C310" s="30"/>
      <c r="D310" s="30"/>
      <c r="E310" s="30"/>
      <c r="F310" s="258"/>
      <c r="H310" s="487"/>
      <c r="I310" s="487"/>
      <c r="J310" s="487"/>
      <c r="K310" s="487"/>
      <c r="L310" s="483"/>
      <c r="M310" s="484"/>
      <c r="N310" s="484"/>
      <c r="O310" s="484"/>
      <c r="P310" s="484"/>
      <c r="Q310" s="484"/>
      <c r="R310" s="484"/>
      <c r="S310" s="484"/>
      <c r="T310" s="484"/>
      <c r="U310" s="484"/>
      <c r="V310" s="484"/>
      <c r="W310" s="484"/>
      <c r="X310" s="484"/>
      <c r="Y310" s="484"/>
      <c r="Z310" s="484"/>
      <c r="AA310" s="484"/>
      <c r="AB310" s="484"/>
      <c r="AC310" s="484"/>
      <c r="AD310" s="484"/>
      <c r="AE310" s="484"/>
      <c r="AF310" s="484"/>
      <c r="AG310" s="484"/>
      <c r="AH310" s="484"/>
      <c r="AI310" s="484"/>
      <c r="AJ310" s="484"/>
      <c r="AK310" s="484"/>
    </row>
    <row r="311" spans="2:37" s="64" customFormat="1" x14ac:dyDescent="0.35">
      <c r="B311" s="30"/>
      <c r="C311" s="30"/>
      <c r="D311" s="30"/>
      <c r="E311" s="30"/>
      <c r="F311" s="258"/>
      <c r="G311" s="30"/>
      <c r="H311" s="482"/>
      <c r="I311" s="482"/>
      <c r="J311" s="482"/>
      <c r="K311" s="482"/>
      <c r="L311" s="483"/>
      <c r="M311" s="484"/>
      <c r="N311" s="484"/>
      <c r="O311" s="484"/>
      <c r="P311" s="484"/>
      <c r="Q311" s="484"/>
      <c r="R311" s="484"/>
      <c r="S311" s="484"/>
      <c r="T311" s="484"/>
      <c r="U311" s="484"/>
      <c r="V311" s="484"/>
      <c r="W311" s="484"/>
      <c r="X311" s="484"/>
      <c r="Y311" s="484"/>
      <c r="Z311" s="484"/>
      <c r="AA311" s="484"/>
      <c r="AB311" s="484"/>
      <c r="AC311" s="484"/>
      <c r="AD311" s="484"/>
      <c r="AE311" s="484"/>
      <c r="AF311" s="484"/>
      <c r="AG311" s="484"/>
      <c r="AH311" s="484"/>
      <c r="AI311" s="484"/>
      <c r="AJ311" s="484"/>
      <c r="AK311" s="484"/>
    </row>
    <row r="312" spans="2:37" s="64" customFormat="1" x14ac:dyDescent="0.35">
      <c r="B312" s="30"/>
      <c r="C312" s="30"/>
      <c r="D312" s="30"/>
      <c r="E312" s="30"/>
      <c r="F312" s="258"/>
      <c r="H312" s="487"/>
      <c r="I312" s="487"/>
      <c r="J312" s="487"/>
      <c r="K312" s="487"/>
      <c r="L312" s="483"/>
      <c r="M312" s="484"/>
      <c r="N312" s="484"/>
      <c r="O312" s="484"/>
      <c r="P312" s="484"/>
      <c r="Q312" s="484"/>
      <c r="R312" s="484"/>
      <c r="S312" s="484"/>
      <c r="T312" s="484"/>
      <c r="U312" s="484"/>
      <c r="V312" s="484"/>
      <c r="W312" s="484"/>
      <c r="X312" s="484"/>
      <c r="Y312" s="484"/>
      <c r="Z312" s="484"/>
      <c r="AA312" s="484"/>
      <c r="AB312" s="484"/>
      <c r="AC312" s="484"/>
      <c r="AD312" s="484"/>
      <c r="AE312" s="484"/>
      <c r="AF312" s="484"/>
      <c r="AG312" s="484"/>
      <c r="AH312" s="484"/>
      <c r="AI312" s="484"/>
      <c r="AJ312" s="484"/>
      <c r="AK312" s="484"/>
    </row>
    <row r="313" spans="2:37" s="64" customFormat="1" x14ac:dyDescent="0.35">
      <c r="B313" s="30"/>
      <c r="C313" s="30"/>
      <c r="D313" s="30"/>
      <c r="E313" s="30"/>
      <c r="F313" s="258"/>
      <c r="G313" s="30"/>
      <c r="H313" s="482"/>
      <c r="I313" s="482"/>
      <c r="J313" s="482"/>
      <c r="K313" s="482"/>
      <c r="L313" s="483"/>
      <c r="M313" s="484"/>
      <c r="N313" s="484"/>
      <c r="O313" s="484"/>
      <c r="P313" s="484"/>
      <c r="Q313" s="484"/>
      <c r="R313" s="484"/>
      <c r="S313" s="484"/>
      <c r="T313" s="484"/>
      <c r="U313" s="484"/>
      <c r="V313" s="484"/>
      <c r="W313" s="484"/>
      <c r="X313" s="484"/>
      <c r="Y313" s="484"/>
      <c r="Z313" s="484"/>
      <c r="AA313" s="484"/>
      <c r="AB313" s="484"/>
      <c r="AC313" s="484"/>
      <c r="AD313" s="484"/>
      <c r="AE313" s="484"/>
      <c r="AF313" s="484"/>
      <c r="AG313" s="484"/>
      <c r="AH313" s="484"/>
      <c r="AI313" s="484"/>
      <c r="AJ313" s="484"/>
      <c r="AK313" s="484"/>
    </row>
    <row r="314" spans="2:37" s="64" customFormat="1" x14ac:dyDescent="0.35">
      <c r="B314" s="30"/>
      <c r="C314" s="30"/>
      <c r="D314" s="30"/>
      <c r="E314" s="30"/>
      <c r="F314" s="258"/>
      <c r="H314" s="487"/>
      <c r="I314" s="487"/>
      <c r="J314" s="487"/>
      <c r="K314" s="487"/>
      <c r="L314" s="483"/>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4"/>
      <c r="AK314" s="484"/>
    </row>
    <row r="315" spans="2:37" s="64" customFormat="1" x14ac:dyDescent="0.35">
      <c r="B315" s="30"/>
      <c r="C315" s="30"/>
      <c r="D315" s="30"/>
      <c r="E315" s="30"/>
      <c r="F315" s="258"/>
      <c r="G315" s="30"/>
      <c r="H315" s="482"/>
      <c r="I315" s="482"/>
      <c r="J315" s="482"/>
      <c r="K315" s="482"/>
      <c r="L315" s="483"/>
      <c r="M315" s="484"/>
      <c r="N315" s="484"/>
      <c r="O315" s="484"/>
      <c r="P315" s="484"/>
      <c r="Q315" s="484"/>
      <c r="R315" s="484"/>
      <c r="S315" s="484"/>
      <c r="T315" s="484"/>
      <c r="U315" s="484"/>
      <c r="V315" s="484"/>
      <c r="W315" s="484"/>
      <c r="X315" s="484"/>
      <c r="Y315" s="484"/>
      <c r="Z315" s="484"/>
      <c r="AA315" s="484"/>
      <c r="AB315" s="484"/>
      <c r="AC315" s="484"/>
      <c r="AD315" s="484"/>
      <c r="AE315" s="484"/>
      <c r="AF315" s="484"/>
      <c r="AG315" s="484"/>
      <c r="AH315" s="484"/>
      <c r="AI315" s="484"/>
      <c r="AJ315" s="484"/>
      <c r="AK315" s="484"/>
    </row>
    <row r="316" spans="2:37" s="64" customFormat="1" x14ac:dyDescent="0.35">
      <c r="B316" s="30"/>
      <c r="C316" s="30"/>
      <c r="D316" s="30"/>
      <c r="E316" s="30"/>
      <c r="F316" s="258"/>
      <c r="H316" s="487"/>
      <c r="I316" s="487"/>
      <c r="J316" s="487"/>
      <c r="K316" s="487"/>
      <c r="L316" s="483"/>
      <c r="M316" s="484"/>
      <c r="N316" s="484"/>
      <c r="O316" s="484"/>
      <c r="P316" s="484"/>
      <c r="Q316" s="484"/>
      <c r="R316" s="484"/>
      <c r="S316" s="484"/>
      <c r="T316" s="484"/>
      <c r="U316" s="484"/>
      <c r="V316" s="484"/>
      <c r="W316" s="484"/>
      <c r="X316" s="484"/>
      <c r="Y316" s="484"/>
      <c r="Z316" s="484"/>
      <c r="AA316" s="484"/>
      <c r="AB316" s="484"/>
      <c r="AC316" s="484"/>
      <c r="AD316" s="484"/>
      <c r="AE316" s="484"/>
      <c r="AF316" s="484"/>
      <c r="AG316" s="484"/>
      <c r="AH316" s="484"/>
      <c r="AI316" s="484"/>
      <c r="AJ316" s="484"/>
      <c r="AK316" s="484"/>
    </row>
    <row r="317" spans="2:37" s="64" customFormat="1" x14ac:dyDescent="0.35">
      <c r="B317" s="30"/>
      <c r="C317" s="30"/>
      <c r="D317" s="30"/>
      <c r="E317" s="30"/>
      <c r="F317" s="258"/>
      <c r="G317" s="30"/>
      <c r="H317" s="482"/>
      <c r="I317" s="482"/>
      <c r="J317" s="482"/>
      <c r="K317" s="482"/>
      <c r="L317" s="483"/>
      <c r="M317" s="484"/>
      <c r="N317" s="484"/>
      <c r="O317" s="484"/>
      <c r="P317" s="484"/>
      <c r="Q317" s="484"/>
      <c r="R317" s="484"/>
      <c r="S317" s="484"/>
      <c r="T317" s="484"/>
      <c r="U317" s="484"/>
      <c r="V317" s="484"/>
      <c r="W317" s="484"/>
      <c r="X317" s="484"/>
      <c r="Y317" s="484"/>
      <c r="Z317" s="484"/>
      <c r="AA317" s="484"/>
      <c r="AB317" s="484"/>
      <c r="AC317" s="484"/>
      <c r="AD317" s="484"/>
      <c r="AE317" s="484"/>
      <c r="AF317" s="484"/>
      <c r="AG317" s="484"/>
      <c r="AH317" s="484"/>
      <c r="AI317" s="484"/>
      <c r="AJ317" s="484"/>
      <c r="AK317" s="484"/>
    </row>
    <row r="318" spans="2:37" s="64" customFormat="1" x14ac:dyDescent="0.35">
      <c r="B318" s="30"/>
      <c r="C318" s="30"/>
      <c r="D318" s="30"/>
      <c r="E318" s="30"/>
      <c r="F318" s="258"/>
      <c r="H318" s="487"/>
      <c r="I318" s="487"/>
      <c r="J318" s="487"/>
      <c r="K318" s="487"/>
      <c r="L318" s="483"/>
      <c r="M318" s="484"/>
      <c r="N318" s="484"/>
      <c r="O318" s="484"/>
      <c r="P318" s="484"/>
      <c r="Q318" s="484"/>
      <c r="R318" s="484"/>
      <c r="S318" s="484"/>
      <c r="T318" s="484"/>
      <c r="U318" s="484"/>
      <c r="V318" s="484"/>
      <c r="W318" s="484"/>
      <c r="X318" s="484"/>
      <c r="Y318" s="484"/>
      <c r="Z318" s="484"/>
      <c r="AA318" s="484"/>
      <c r="AB318" s="484"/>
      <c r="AC318" s="484"/>
      <c r="AD318" s="484"/>
      <c r="AE318" s="484"/>
      <c r="AF318" s="484"/>
      <c r="AG318" s="484"/>
      <c r="AH318" s="484"/>
      <c r="AI318" s="484"/>
      <c r="AJ318" s="484"/>
      <c r="AK318" s="484"/>
    </row>
    <row r="319" spans="2:37" s="64" customFormat="1" x14ac:dyDescent="0.35">
      <c r="B319" s="30"/>
      <c r="C319" s="30"/>
      <c r="D319" s="30"/>
      <c r="E319" s="30"/>
      <c r="F319" s="258"/>
      <c r="G319" s="30"/>
      <c r="H319" s="482"/>
      <c r="I319" s="482"/>
      <c r="J319" s="482"/>
      <c r="K319" s="482"/>
      <c r="L319" s="483"/>
      <c r="M319" s="484"/>
      <c r="N319" s="484"/>
      <c r="O319" s="484"/>
      <c r="P319" s="484"/>
      <c r="Q319" s="484"/>
      <c r="R319" s="484"/>
      <c r="S319" s="484"/>
      <c r="T319" s="484"/>
      <c r="U319" s="484"/>
      <c r="V319" s="484"/>
      <c r="W319" s="484"/>
      <c r="X319" s="484"/>
      <c r="Y319" s="484"/>
      <c r="Z319" s="484"/>
      <c r="AA319" s="484"/>
      <c r="AB319" s="484"/>
      <c r="AC319" s="484"/>
      <c r="AD319" s="484"/>
      <c r="AE319" s="484"/>
      <c r="AF319" s="484"/>
      <c r="AG319" s="484"/>
      <c r="AH319" s="484"/>
      <c r="AI319" s="484"/>
      <c r="AJ319" s="484"/>
      <c r="AK319" s="484"/>
    </row>
    <row r="320" spans="2:37" s="64" customFormat="1" x14ac:dyDescent="0.35">
      <c r="B320" s="30"/>
      <c r="C320" s="30"/>
      <c r="D320" s="30"/>
      <c r="E320" s="30"/>
      <c r="F320" s="258"/>
      <c r="H320" s="487"/>
      <c r="I320" s="487"/>
      <c r="J320" s="487"/>
      <c r="K320" s="487"/>
      <c r="L320" s="483"/>
      <c r="M320" s="484"/>
      <c r="N320" s="484"/>
      <c r="O320" s="484"/>
      <c r="P320" s="484"/>
      <c r="Q320" s="484"/>
      <c r="R320" s="484"/>
      <c r="S320" s="484"/>
      <c r="T320" s="484"/>
      <c r="U320" s="484"/>
      <c r="V320" s="484"/>
      <c r="W320" s="484"/>
      <c r="X320" s="484"/>
      <c r="Y320" s="484"/>
      <c r="Z320" s="484"/>
      <c r="AA320" s="484"/>
      <c r="AB320" s="484"/>
      <c r="AC320" s="484"/>
      <c r="AD320" s="484"/>
      <c r="AE320" s="484"/>
      <c r="AF320" s="484"/>
      <c r="AG320" s="484"/>
      <c r="AH320" s="484"/>
      <c r="AI320" s="484"/>
      <c r="AJ320" s="484"/>
      <c r="AK320" s="484"/>
    </row>
    <row r="321" spans="2:37" s="64" customFormat="1" x14ac:dyDescent="0.35">
      <c r="B321" s="30"/>
      <c r="C321" s="30"/>
      <c r="D321" s="30"/>
      <c r="E321" s="30"/>
      <c r="F321" s="258"/>
      <c r="G321" s="30"/>
      <c r="H321" s="482"/>
      <c r="I321" s="482"/>
      <c r="J321" s="482"/>
      <c r="K321" s="482"/>
      <c r="L321" s="483"/>
      <c r="M321" s="484"/>
      <c r="N321" s="484"/>
      <c r="O321" s="484"/>
      <c r="P321" s="484"/>
      <c r="Q321" s="484"/>
      <c r="R321" s="484"/>
      <c r="S321" s="484"/>
      <c r="T321" s="484"/>
      <c r="U321" s="484"/>
      <c r="V321" s="484"/>
      <c r="W321" s="484"/>
      <c r="X321" s="484"/>
      <c r="Y321" s="484"/>
      <c r="Z321" s="484"/>
      <c r="AA321" s="484"/>
      <c r="AB321" s="484"/>
      <c r="AC321" s="484"/>
      <c r="AD321" s="484"/>
      <c r="AE321" s="484"/>
      <c r="AF321" s="484"/>
      <c r="AG321" s="484"/>
      <c r="AH321" s="484"/>
      <c r="AI321" s="484"/>
      <c r="AJ321" s="484"/>
      <c r="AK321" s="484"/>
    </row>
    <row r="322" spans="2:37" s="64" customFormat="1" x14ac:dyDescent="0.35">
      <c r="B322" s="30"/>
      <c r="C322" s="30"/>
      <c r="D322" s="30"/>
      <c r="E322" s="30"/>
      <c r="F322" s="258"/>
      <c r="H322" s="487"/>
      <c r="I322" s="487"/>
      <c r="J322" s="487"/>
      <c r="K322" s="487"/>
      <c r="L322" s="483"/>
      <c r="M322" s="484"/>
      <c r="N322" s="484"/>
      <c r="O322" s="484"/>
      <c r="P322" s="484"/>
      <c r="Q322" s="484"/>
      <c r="R322" s="484"/>
      <c r="S322" s="484"/>
      <c r="T322" s="484"/>
      <c r="U322" s="484"/>
      <c r="V322" s="484"/>
      <c r="W322" s="484"/>
      <c r="X322" s="484"/>
      <c r="Y322" s="484"/>
      <c r="Z322" s="484"/>
      <c r="AA322" s="484"/>
      <c r="AB322" s="484"/>
      <c r="AC322" s="484"/>
      <c r="AD322" s="484"/>
      <c r="AE322" s="484"/>
      <c r="AF322" s="484"/>
      <c r="AG322" s="484"/>
      <c r="AH322" s="484"/>
      <c r="AI322" s="484"/>
      <c r="AJ322" s="484"/>
      <c r="AK322" s="484"/>
    </row>
    <row r="323" spans="2:37" s="64" customFormat="1" x14ac:dyDescent="0.35">
      <c r="B323" s="30"/>
      <c r="C323" s="30"/>
      <c r="D323" s="30"/>
      <c r="E323" s="30"/>
      <c r="F323" s="258"/>
      <c r="G323" s="30"/>
      <c r="H323" s="482"/>
      <c r="I323" s="482"/>
      <c r="J323" s="482"/>
      <c r="K323" s="482"/>
      <c r="L323" s="483"/>
      <c r="M323" s="484"/>
      <c r="N323" s="484"/>
      <c r="O323" s="484"/>
      <c r="P323" s="484"/>
      <c r="Q323" s="484"/>
      <c r="R323" s="484"/>
      <c r="S323" s="484"/>
      <c r="T323" s="484"/>
      <c r="U323" s="484"/>
      <c r="V323" s="484"/>
      <c r="W323" s="484"/>
      <c r="X323" s="484"/>
      <c r="Y323" s="484"/>
      <c r="Z323" s="484"/>
      <c r="AA323" s="484"/>
      <c r="AB323" s="484"/>
      <c r="AC323" s="484"/>
      <c r="AD323" s="484"/>
      <c r="AE323" s="484"/>
      <c r="AF323" s="484"/>
      <c r="AG323" s="484"/>
      <c r="AH323" s="484"/>
      <c r="AI323" s="484"/>
      <c r="AJ323" s="484"/>
      <c r="AK323" s="484"/>
    </row>
    <row r="324" spans="2:37" s="64" customFormat="1" x14ac:dyDescent="0.35">
      <c r="B324" s="30"/>
      <c r="C324" s="30"/>
      <c r="D324" s="30"/>
      <c r="E324" s="30"/>
      <c r="F324" s="258"/>
      <c r="H324" s="487"/>
      <c r="I324" s="487"/>
      <c r="J324" s="487"/>
      <c r="K324" s="487"/>
      <c r="L324" s="483"/>
      <c r="M324" s="484"/>
      <c r="N324" s="484"/>
      <c r="O324" s="484"/>
      <c r="P324" s="484"/>
      <c r="Q324" s="484"/>
      <c r="R324" s="484"/>
      <c r="S324" s="484"/>
      <c r="T324" s="484"/>
      <c r="U324" s="484"/>
      <c r="V324" s="484"/>
      <c r="W324" s="484"/>
      <c r="X324" s="484"/>
      <c r="Y324" s="484"/>
      <c r="Z324" s="484"/>
      <c r="AA324" s="484"/>
      <c r="AB324" s="484"/>
      <c r="AC324" s="484"/>
      <c r="AD324" s="484"/>
      <c r="AE324" s="484"/>
      <c r="AF324" s="484"/>
      <c r="AG324" s="484"/>
      <c r="AH324" s="484"/>
      <c r="AI324" s="484"/>
      <c r="AJ324" s="484"/>
      <c r="AK324" s="484"/>
    </row>
    <row r="325" spans="2:37" s="64" customFormat="1" x14ac:dyDescent="0.35">
      <c r="B325" s="30"/>
      <c r="C325" s="30"/>
      <c r="D325" s="30"/>
      <c r="E325" s="30"/>
      <c r="F325" s="258"/>
      <c r="G325" s="30"/>
      <c r="H325" s="482"/>
      <c r="I325" s="482"/>
      <c r="J325" s="482"/>
      <c r="K325" s="482"/>
      <c r="L325" s="483"/>
      <c r="M325" s="484"/>
      <c r="N325" s="484"/>
      <c r="O325" s="484"/>
      <c r="P325" s="484"/>
      <c r="Q325" s="484"/>
      <c r="R325" s="484"/>
      <c r="S325" s="484"/>
      <c r="T325" s="484"/>
      <c r="U325" s="484"/>
      <c r="V325" s="484"/>
      <c r="W325" s="484"/>
      <c r="X325" s="484"/>
      <c r="Y325" s="484"/>
      <c r="Z325" s="484"/>
      <c r="AA325" s="484"/>
      <c r="AB325" s="484"/>
      <c r="AC325" s="484"/>
      <c r="AD325" s="484"/>
      <c r="AE325" s="484"/>
      <c r="AF325" s="484"/>
      <c r="AG325" s="484"/>
      <c r="AH325" s="484"/>
      <c r="AI325" s="484"/>
      <c r="AJ325" s="484"/>
      <c r="AK325" s="484"/>
    </row>
    <row r="326" spans="2:37" s="64" customFormat="1" x14ac:dyDescent="0.35">
      <c r="B326" s="30"/>
      <c r="C326" s="30"/>
      <c r="D326" s="30"/>
      <c r="E326" s="30"/>
      <c r="F326" s="258"/>
      <c r="H326" s="487"/>
      <c r="I326" s="487"/>
      <c r="J326" s="487"/>
      <c r="K326" s="487"/>
      <c r="L326" s="483"/>
      <c r="M326" s="484"/>
      <c r="N326" s="484"/>
      <c r="O326" s="484"/>
      <c r="P326" s="484"/>
      <c r="Q326" s="484"/>
      <c r="R326" s="484"/>
      <c r="S326" s="484"/>
      <c r="T326" s="484"/>
      <c r="U326" s="484"/>
      <c r="V326" s="484"/>
      <c r="W326" s="484"/>
      <c r="X326" s="484"/>
      <c r="Y326" s="484"/>
      <c r="Z326" s="484"/>
      <c r="AA326" s="484"/>
      <c r="AB326" s="484"/>
      <c r="AC326" s="484"/>
      <c r="AD326" s="484"/>
      <c r="AE326" s="484"/>
      <c r="AF326" s="484"/>
      <c r="AG326" s="484"/>
      <c r="AH326" s="484"/>
      <c r="AI326" s="484"/>
      <c r="AJ326" s="484"/>
      <c r="AK326" s="484"/>
    </row>
    <row r="327" spans="2:37" s="64" customFormat="1" x14ac:dyDescent="0.35">
      <c r="B327" s="30"/>
      <c r="C327" s="30"/>
      <c r="D327" s="30"/>
      <c r="E327" s="30"/>
      <c r="F327" s="258"/>
      <c r="G327" s="30"/>
      <c r="H327" s="482"/>
      <c r="I327" s="482"/>
      <c r="J327" s="482"/>
      <c r="K327" s="482"/>
      <c r="L327" s="483"/>
      <c r="M327" s="484"/>
      <c r="N327" s="484"/>
      <c r="O327" s="484"/>
      <c r="P327" s="484"/>
      <c r="Q327" s="484"/>
      <c r="R327" s="484"/>
      <c r="S327" s="484"/>
      <c r="T327" s="484"/>
      <c r="U327" s="484"/>
      <c r="V327" s="484"/>
      <c r="W327" s="484"/>
      <c r="X327" s="484"/>
      <c r="Y327" s="484"/>
      <c r="Z327" s="484"/>
      <c r="AA327" s="484"/>
      <c r="AB327" s="484"/>
      <c r="AC327" s="484"/>
      <c r="AD327" s="484"/>
      <c r="AE327" s="484"/>
      <c r="AF327" s="484"/>
      <c r="AG327" s="484"/>
      <c r="AH327" s="484"/>
      <c r="AI327" s="484"/>
      <c r="AJ327" s="484"/>
      <c r="AK327" s="484"/>
    </row>
    <row r="328" spans="2:37" s="64" customFormat="1" x14ac:dyDescent="0.35">
      <c r="B328" s="30"/>
      <c r="C328" s="30"/>
      <c r="D328" s="30"/>
      <c r="E328" s="30"/>
      <c r="F328" s="258"/>
      <c r="H328" s="487"/>
      <c r="I328" s="487"/>
      <c r="J328" s="487"/>
      <c r="K328" s="487"/>
      <c r="L328" s="483"/>
      <c r="M328" s="484"/>
      <c r="N328" s="484"/>
      <c r="O328" s="484"/>
      <c r="P328" s="484"/>
      <c r="Q328" s="484"/>
      <c r="R328" s="484"/>
      <c r="S328" s="484"/>
      <c r="T328" s="484"/>
      <c r="U328" s="484"/>
      <c r="V328" s="484"/>
      <c r="W328" s="484"/>
      <c r="X328" s="484"/>
      <c r="Y328" s="484"/>
      <c r="Z328" s="484"/>
      <c r="AA328" s="484"/>
      <c r="AB328" s="484"/>
      <c r="AC328" s="484"/>
      <c r="AD328" s="484"/>
      <c r="AE328" s="484"/>
      <c r="AF328" s="484"/>
      <c r="AG328" s="484"/>
      <c r="AH328" s="484"/>
      <c r="AI328" s="484"/>
      <c r="AJ328" s="484"/>
      <c r="AK328" s="484"/>
    </row>
    <row r="329" spans="2:37" s="64" customFormat="1" x14ac:dyDescent="0.35">
      <c r="B329" s="30"/>
      <c r="C329" s="30"/>
      <c r="D329" s="30"/>
      <c r="E329" s="30"/>
      <c r="F329" s="258"/>
      <c r="G329" s="30"/>
      <c r="H329" s="482"/>
      <c r="I329" s="482"/>
      <c r="J329" s="482"/>
      <c r="K329" s="482"/>
      <c r="L329" s="483"/>
      <c r="M329" s="484"/>
      <c r="N329" s="484"/>
      <c r="O329" s="484"/>
      <c r="P329" s="484"/>
      <c r="Q329" s="484"/>
      <c r="R329" s="484"/>
      <c r="S329" s="484"/>
      <c r="T329" s="484"/>
      <c r="U329" s="484"/>
      <c r="V329" s="484"/>
      <c r="W329" s="484"/>
      <c r="X329" s="484"/>
      <c r="Y329" s="484"/>
      <c r="Z329" s="484"/>
      <c r="AA329" s="484"/>
      <c r="AB329" s="484"/>
      <c r="AC329" s="484"/>
      <c r="AD329" s="484"/>
      <c r="AE329" s="484"/>
      <c r="AF329" s="484"/>
      <c r="AG329" s="484"/>
      <c r="AH329" s="484"/>
      <c r="AI329" s="484"/>
      <c r="AJ329" s="484"/>
      <c r="AK329" s="484"/>
    </row>
    <row r="330" spans="2:37" s="64" customFormat="1" x14ac:dyDescent="0.35">
      <c r="B330" s="30"/>
      <c r="C330" s="30"/>
      <c r="D330" s="30"/>
      <c r="E330" s="30"/>
      <c r="F330" s="258"/>
      <c r="H330" s="487"/>
      <c r="I330" s="487"/>
      <c r="J330" s="487"/>
      <c r="K330" s="487"/>
      <c r="L330" s="483"/>
      <c r="M330" s="484"/>
      <c r="N330" s="484"/>
      <c r="O330" s="484"/>
      <c r="P330" s="484"/>
      <c r="Q330" s="484"/>
      <c r="R330" s="484"/>
      <c r="S330" s="484"/>
      <c r="T330" s="484"/>
      <c r="U330" s="484"/>
      <c r="V330" s="484"/>
      <c r="W330" s="484"/>
      <c r="X330" s="484"/>
      <c r="Y330" s="484"/>
      <c r="Z330" s="484"/>
      <c r="AA330" s="484"/>
      <c r="AB330" s="484"/>
      <c r="AC330" s="484"/>
      <c r="AD330" s="484"/>
      <c r="AE330" s="484"/>
      <c r="AF330" s="484"/>
      <c r="AG330" s="484"/>
      <c r="AH330" s="484"/>
      <c r="AI330" s="484"/>
      <c r="AJ330" s="484"/>
      <c r="AK330" s="484"/>
    </row>
    <row r="331" spans="2:37" s="64" customFormat="1" x14ac:dyDescent="0.35">
      <c r="B331" s="30"/>
      <c r="C331" s="30"/>
      <c r="D331" s="30"/>
      <c r="E331" s="30"/>
      <c r="F331" s="258"/>
      <c r="G331" s="30"/>
      <c r="H331" s="482"/>
      <c r="I331" s="482"/>
      <c r="J331" s="482"/>
      <c r="K331" s="482"/>
      <c r="L331" s="483"/>
      <c r="M331" s="484"/>
      <c r="N331" s="484"/>
      <c r="O331" s="484"/>
      <c r="P331" s="484"/>
      <c r="Q331" s="484"/>
      <c r="R331" s="484"/>
      <c r="S331" s="484"/>
      <c r="T331" s="484"/>
      <c r="U331" s="484"/>
      <c r="V331" s="484"/>
      <c r="W331" s="484"/>
      <c r="X331" s="484"/>
      <c r="Y331" s="484"/>
      <c r="Z331" s="484"/>
      <c r="AA331" s="484"/>
      <c r="AB331" s="484"/>
      <c r="AC331" s="484"/>
      <c r="AD331" s="484"/>
      <c r="AE331" s="484"/>
      <c r="AF331" s="484"/>
      <c r="AG331" s="484"/>
      <c r="AH331" s="484"/>
      <c r="AI331" s="484"/>
      <c r="AJ331" s="484"/>
      <c r="AK331" s="484"/>
    </row>
    <row r="332" spans="2:37" s="64" customFormat="1" x14ac:dyDescent="0.35">
      <c r="B332" s="30"/>
      <c r="C332" s="30"/>
      <c r="D332" s="30"/>
      <c r="E332" s="30"/>
      <c r="F332" s="258"/>
      <c r="H332" s="487"/>
      <c r="I332" s="487"/>
      <c r="J332" s="487"/>
      <c r="K332" s="487"/>
      <c r="L332" s="483"/>
      <c r="M332" s="484"/>
      <c r="N332" s="484"/>
      <c r="O332" s="484"/>
      <c r="P332" s="484"/>
      <c r="Q332" s="484"/>
      <c r="R332" s="484"/>
      <c r="S332" s="484"/>
      <c r="T332" s="484"/>
      <c r="U332" s="484"/>
      <c r="V332" s="484"/>
      <c r="W332" s="484"/>
      <c r="X332" s="484"/>
      <c r="Y332" s="484"/>
      <c r="Z332" s="484"/>
      <c r="AA332" s="484"/>
      <c r="AB332" s="484"/>
      <c r="AC332" s="484"/>
      <c r="AD332" s="484"/>
      <c r="AE332" s="484"/>
      <c r="AF332" s="484"/>
      <c r="AG332" s="484"/>
      <c r="AH332" s="484"/>
      <c r="AI332" s="484"/>
      <c r="AJ332" s="484"/>
      <c r="AK332" s="484"/>
    </row>
    <row r="333" spans="2:37" s="64" customFormat="1" x14ac:dyDescent="0.35">
      <c r="B333" s="30"/>
      <c r="C333" s="30"/>
      <c r="D333" s="30"/>
      <c r="E333" s="30"/>
      <c r="F333" s="258"/>
      <c r="G333" s="30"/>
      <c r="H333" s="482"/>
      <c r="I333" s="482"/>
      <c r="J333" s="482"/>
      <c r="K333" s="482"/>
      <c r="L333" s="483"/>
      <c r="M333" s="484"/>
      <c r="N333" s="484"/>
      <c r="O333" s="484"/>
      <c r="P333" s="484"/>
      <c r="Q333" s="484"/>
      <c r="R333" s="484"/>
      <c r="S333" s="484"/>
      <c r="T333" s="484"/>
      <c r="U333" s="484"/>
      <c r="V333" s="484"/>
      <c r="W333" s="484"/>
      <c r="X333" s="484"/>
      <c r="Y333" s="484"/>
      <c r="Z333" s="484"/>
      <c r="AA333" s="484"/>
      <c r="AB333" s="484"/>
      <c r="AC333" s="484"/>
      <c r="AD333" s="484"/>
      <c r="AE333" s="484"/>
      <c r="AF333" s="484"/>
      <c r="AG333" s="484"/>
      <c r="AH333" s="484"/>
      <c r="AI333" s="484"/>
      <c r="AJ333" s="484"/>
      <c r="AK333" s="484"/>
    </row>
    <row r="334" spans="2:37" s="64" customFormat="1" x14ac:dyDescent="0.35">
      <c r="B334" s="30"/>
      <c r="C334" s="30"/>
      <c r="D334" s="30"/>
      <c r="E334" s="30"/>
      <c r="F334" s="258"/>
      <c r="H334" s="487"/>
      <c r="I334" s="487"/>
      <c r="J334" s="487"/>
      <c r="K334" s="487"/>
      <c r="L334" s="483"/>
      <c r="M334" s="484"/>
      <c r="N334" s="484"/>
      <c r="O334" s="484"/>
      <c r="P334" s="484"/>
      <c r="Q334" s="484"/>
      <c r="R334" s="484"/>
      <c r="S334" s="484"/>
      <c r="T334" s="484"/>
      <c r="U334" s="484"/>
      <c r="V334" s="484"/>
      <c r="W334" s="484"/>
      <c r="X334" s="484"/>
      <c r="Y334" s="484"/>
      <c r="Z334" s="484"/>
      <c r="AA334" s="484"/>
      <c r="AB334" s="484"/>
      <c r="AC334" s="484"/>
      <c r="AD334" s="484"/>
      <c r="AE334" s="484"/>
      <c r="AF334" s="484"/>
      <c r="AG334" s="484"/>
      <c r="AH334" s="484"/>
      <c r="AI334" s="484"/>
      <c r="AJ334" s="484"/>
      <c r="AK334" s="484"/>
    </row>
    <row r="335" spans="2:37" s="64" customFormat="1" x14ac:dyDescent="0.35">
      <c r="B335" s="30"/>
      <c r="C335" s="30"/>
      <c r="D335" s="30"/>
      <c r="E335" s="30"/>
      <c r="F335" s="258"/>
      <c r="G335" s="30"/>
      <c r="H335" s="482"/>
      <c r="I335" s="482"/>
      <c r="J335" s="482"/>
      <c r="K335" s="482"/>
      <c r="L335" s="483"/>
      <c r="M335" s="484"/>
      <c r="N335" s="484"/>
      <c r="O335" s="484"/>
      <c r="P335" s="484"/>
      <c r="Q335" s="484"/>
      <c r="R335" s="484"/>
      <c r="S335" s="484"/>
      <c r="T335" s="484"/>
      <c r="U335" s="484"/>
      <c r="V335" s="484"/>
      <c r="W335" s="484"/>
      <c r="X335" s="484"/>
      <c r="Y335" s="484"/>
      <c r="Z335" s="484"/>
      <c r="AA335" s="484"/>
      <c r="AB335" s="484"/>
      <c r="AC335" s="484"/>
      <c r="AD335" s="484"/>
      <c r="AE335" s="484"/>
      <c r="AF335" s="484"/>
      <c r="AG335" s="484"/>
      <c r="AH335" s="484"/>
      <c r="AI335" s="484"/>
      <c r="AJ335" s="484"/>
      <c r="AK335" s="484"/>
    </row>
    <row r="336" spans="2:37" s="64" customFormat="1" x14ac:dyDescent="0.35">
      <c r="B336" s="30"/>
      <c r="C336" s="30"/>
      <c r="D336" s="30"/>
      <c r="E336" s="30"/>
      <c r="F336" s="258"/>
      <c r="H336" s="487"/>
      <c r="I336" s="487"/>
      <c r="J336" s="487"/>
      <c r="K336" s="487"/>
      <c r="L336" s="483"/>
      <c r="M336" s="484"/>
      <c r="N336" s="484"/>
      <c r="O336" s="484"/>
      <c r="P336" s="484"/>
      <c r="Q336" s="484"/>
      <c r="R336" s="484"/>
      <c r="S336" s="484"/>
      <c r="T336" s="484"/>
      <c r="U336" s="484"/>
      <c r="V336" s="484"/>
      <c r="W336" s="484"/>
      <c r="X336" s="484"/>
      <c r="Y336" s="484"/>
      <c r="Z336" s="484"/>
      <c r="AA336" s="484"/>
      <c r="AB336" s="484"/>
      <c r="AC336" s="484"/>
      <c r="AD336" s="484"/>
      <c r="AE336" s="484"/>
      <c r="AF336" s="484"/>
      <c r="AG336" s="484"/>
      <c r="AH336" s="484"/>
      <c r="AI336" s="484"/>
      <c r="AJ336" s="484"/>
      <c r="AK336" s="484"/>
    </row>
    <row r="337" spans="2:37" s="64" customFormat="1" x14ac:dyDescent="0.35">
      <c r="B337" s="30"/>
      <c r="C337" s="30"/>
      <c r="D337" s="30"/>
      <c r="E337" s="30"/>
      <c r="F337" s="258"/>
      <c r="G337" s="30"/>
      <c r="H337" s="482"/>
      <c r="I337" s="482"/>
      <c r="J337" s="482"/>
      <c r="K337" s="482"/>
      <c r="L337" s="483"/>
      <c r="M337" s="484"/>
      <c r="N337" s="484"/>
      <c r="O337" s="484"/>
      <c r="P337" s="484"/>
      <c r="Q337" s="484"/>
      <c r="R337" s="484"/>
      <c r="S337" s="484"/>
      <c r="T337" s="484"/>
      <c r="U337" s="484"/>
      <c r="V337" s="484"/>
      <c r="W337" s="484"/>
      <c r="X337" s="484"/>
      <c r="Y337" s="484"/>
      <c r="Z337" s="484"/>
      <c r="AA337" s="484"/>
      <c r="AB337" s="484"/>
      <c r="AC337" s="484"/>
      <c r="AD337" s="484"/>
      <c r="AE337" s="484"/>
      <c r="AF337" s="484"/>
      <c r="AG337" s="484"/>
      <c r="AH337" s="484"/>
      <c r="AI337" s="484"/>
      <c r="AJ337" s="484"/>
      <c r="AK337" s="484"/>
    </row>
    <row r="338" spans="2:37" s="64" customFormat="1" x14ac:dyDescent="0.35">
      <c r="B338" s="30"/>
      <c r="C338" s="30"/>
      <c r="D338" s="30"/>
      <c r="E338" s="30"/>
      <c r="F338" s="258"/>
      <c r="H338" s="487"/>
      <c r="I338" s="487"/>
      <c r="J338" s="487"/>
      <c r="K338" s="487"/>
      <c r="L338" s="483"/>
      <c r="M338" s="484"/>
      <c r="N338" s="484"/>
      <c r="O338" s="484"/>
      <c r="P338" s="484"/>
      <c r="Q338" s="484"/>
      <c r="R338" s="484"/>
      <c r="S338" s="484"/>
      <c r="T338" s="484"/>
      <c r="U338" s="484"/>
      <c r="V338" s="484"/>
      <c r="W338" s="484"/>
      <c r="X338" s="484"/>
      <c r="Y338" s="484"/>
      <c r="Z338" s="484"/>
      <c r="AA338" s="484"/>
      <c r="AB338" s="484"/>
      <c r="AC338" s="484"/>
      <c r="AD338" s="484"/>
      <c r="AE338" s="484"/>
      <c r="AF338" s="484"/>
      <c r="AG338" s="484"/>
      <c r="AH338" s="484"/>
      <c r="AI338" s="484"/>
      <c r="AJ338" s="484"/>
      <c r="AK338" s="484"/>
    </row>
    <row r="339" spans="2:37" s="64" customFormat="1" x14ac:dyDescent="0.35">
      <c r="B339" s="30"/>
      <c r="C339" s="30"/>
      <c r="D339" s="30"/>
      <c r="E339" s="30"/>
      <c r="F339" s="258"/>
      <c r="G339" s="30"/>
      <c r="H339" s="482"/>
      <c r="I339" s="482"/>
      <c r="J339" s="482"/>
      <c r="K339" s="482"/>
      <c r="L339" s="483"/>
      <c r="M339" s="484"/>
      <c r="N339" s="484"/>
      <c r="O339" s="484"/>
      <c r="P339" s="484"/>
      <c r="Q339" s="484"/>
      <c r="R339" s="484"/>
      <c r="S339" s="484"/>
      <c r="T339" s="484"/>
      <c r="U339" s="484"/>
      <c r="V339" s="484"/>
      <c r="W339" s="484"/>
      <c r="X339" s="484"/>
      <c r="Y339" s="484"/>
      <c r="Z339" s="484"/>
      <c r="AA339" s="484"/>
      <c r="AB339" s="484"/>
      <c r="AC339" s="484"/>
      <c r="AD339" s="484"/>
      <c r="AE339" s="484"/>
      <c r="AF339" s="484"/>
      <c r="AG339" s="484"/>
      <c r="AH339" s="484"/>
      <c r="AI339" s="484"/>
      <c r="AJ339" s="484"/>
      <c r="AK339" s="484"/>
    </row>
    <row r="340" spans="2:37" s="64" customFormat="1" x14ac:dyDescent="0.35">
      <c r="B340" s="30"/>
      <c r="C340" s="30"/>
      <c r="D340" s="30"/>
      <c r="E340" s="30"/>
      <c r="F340" s="258"/>
      <c r="H340" s="487"/>
      <c r="I340" s="487"/>
      <c r="J340" s="487"/>
      <c r="K340" s="487"/>
      <c r="L340" s="483"/>
      <c r="M340" s="484"/>
      <c r="N340" s="484"/>
      <c r="O340" s="484"/>
      <c r="P340" s="484"/>
      <c r="Q340" s="484"/>
      <c r="R340" s="484"/>
      <c r="S340" s="484"/>
      <c r="T340" s="484"/>
      <c r="U340" s="484"/>
      <c r="V340" s="484"/>
      <c r="W340" s="484"/>
      <c r="X340" s="484"/>
      <c r="Y340" s="484"/>
      <c r="Z340" s="484"/>
      <c r="AA340" s="484"/>
      <c r="AB340" s="484"/>
      <c r="AC340" s="484"/>
      <c r="AD340" s="484"/>
      <c r="AE340" s="484"/>
      <c r="AF340" s="484"/>
      <c r="AG340" s="484"/>
      <c r="AH340" s="484"/>
      <c r="AI340" s="484"/>
      <c r="AJ340" s="484"/>
      <c r="AK340" s="484"/>
    </row>
    <row r="341" spans="2:37" s="64" customFormat="1" x14ac:dyDescent="0.35">
      <c r="B341" s="30"/>
      <c r="C341" s="30"/>
      <c r="D341" s="30"/>
      <c r="E341" s="30"/>
      <c r="F341" s="258"/>
      <c r="G341" s="30"/>
      <c r="H341" s="482"/>
      <c r="I341" s="482"/>
      <c r="J341" s="482"/>
      <c r="K341" s="482"/>
      <c r="L341" s="483"/>
      <c r="M341" s="484"/>
      <c r="N341" s="484"/>
      <c r="O341" s="484"/>
      <c r="P341" s="484"/>
      <c r="Q341" s="484"/>
      <c r="R341" s="484"/>
      <c r="S341" s="484"/>
      <c r="T341" s="484"/>
      <c r="U341" s="484"/>
      <c r="V341" s="484"/>
      <c r="W341" s="484"/>
      <c r="X341" s="484"/>
      <c r="Y341" s="484"/>
      <c r="Z341" s="484"/>
      <c r="AA341" s="484"/>
      <c r="AB341" s="484"/>
      <c r="AC341" s="484"/>
      <c r="AD341" s="484"/>
      <c r="AE341" s="484"/>
      <c r="AF341" s="484"/>
      <c r="AG341" s="484"/>
      <c r="AH341" s="484"/>
      <c r="AI341" s="484"/>
      <c r="AJ341" s="484"/>
      <c r="AK341" s="484"/>
    </row>
    <row r="342" spans="2:37" s="64" customFormat="1" x14ac:dyDescent="0.35">
      <c r="B342" s="30"/>
      <c r="C342" s="30"/>
      <c r="D342" s="30"/>
      <c r="E342" s="30"/>
      <c r="F342" s="258"/>
      <c r="H342" s="487"/>
      <c r="I342" s="487"/>
      <c r="J342" s="487"/>
      <c r="K342" s="487"/>
      <c r="L342" s="483"/>
      <c r="M342" s="484"/>
      <c r="N342" s="484"/>
      <c r="O342" s="484"/>
      <c r="P342" s="484"/>
      <c r="Q342" s="484"/>
      <c r="R342" s="484"/>
      <c r="S342" s="484"/>
      <c r="T342" s="484"/>
      <c r="U342" s="484"/>
      <c r="V342" s="484"/>
      <c r="W342" s="484"/>
      <c r="X342" s="484"/>
      <c r="Y342" s="484"/>
      <c r="Z342" s="484"/>
      <c r="AA342" s="484"/>
      <c r="AB342" s="484"/>
      <c r="AC342" s="484"/>
      <c r="AD342" s="484"/>
      <c r="AE342" s="484"/>
      <c r="AF342" s="484"/>
      <c r="AG342" s="484"/>
      <c r="AH342" s="484"/>
      <c r="AI342" s="484"/>
      <c r="AJ342" s="484"/>
      <c r="AK342" s="484"/>
    </row>
    <row r="343" spans="2:37" s="64" customFormat="1" x14ac:dyDescent="0.35">
      <c r="B343" s="30"/>
      <c r="C343" s="30"/>
      <c r="D343" s="30"/>
      <c r="E343" s="30"/>
      <c r="F343" s="258"/>
      <c r="G343" s="30"/>
      <c r="H343" s="482"/>
      <c r="I343" s="482"/>
      <c r="J343" s="482"/>
      <c r="K343" s="482"/>
      <c r="L343" s="483"/>
      <c r="M343" s="484"/>
      <c r="N343" s="484"/>
      <c r="O343" s="484"/>
      <c r="P343" s="484"/>
      <c r="Q343" s="484"/>
      <c r="R343" s="484"/>
      <c r="S343" s="484"/>
      <c r="T343" s="484"/>
      <c r="U343" s="484"/>
      <c r="V343" s="484"/>
      <c r="W343" s="484"/>
      <c r="X343" s="484"/>
      <c r="Y343" s="484"/>
      <c r="Z343" s="484"/>
      <c r="AA343" s="484"/>
      <c r="AB343" s="484"/>
      <c r="AC343" s="484"/>
      <c r="AD343" s="484"/>
      <c r="AE343" s="484"/>
      <c r="AF343" s="484"/>
      <c r="AG343" s="484"/>
      <c r="AH343" s="484"/>
      <c r="AI343" s="484"/>
      <c r="AJ343" s="484"/>
      <c r="AK343" s="484"/>
    </row>
    <row r="344" spans="2:37" s="64" customFormat="1" x14ac:dyDescent="0.35">
      <c r="B344" s="30"/>
      <c r="C344" s="30"/>
      <c r="D344" s="30"/>
      <c r="E344" s="30"/>
      <c r="F344" s="258"/>
      <c r="H344" s="487"/>
      <c r="I344" s="487"/>
      <c r="J344" s="487"/>
      <c r="K344" s="487"/>
      <c r="L344" s="483"/>
      <c r="M344" s="484"/>
      <c r="N344" s="484"/>
      <c r="O344" s="484"/>
      <c r="P344" s="484"/>
      <c r="Q344" s="484"/>
      <c r="R344" s="484"/>
      <c r="S344" s="484"/>
      <c r="T344" s="484"/>
      <c r="U344" s="484"/>
      <c r="V344" s="484"/>
      <c r="W344" s="484"/>
      <c r="X344" s="484"/>
      <c r="Y344" s="484"/>
      <c r="Z344" s="484"/>
      <c r="AA344" s="484"/>
      <c r="AB344" s="484"/>
      <c r="AC344" s="484"/>
      <c r="AD344" s="484"/>
      <c r="AE344" s="484"/>
      <c r="AF344" s="484"/>
      <c r="AG344" s="484"/>
      <c r="AH344" s="484"/>
      <c r="AI344" s="484"/>
      <c r="AJ344" s="484"/>
      <c r="AK344" s="484"/>
    </row>
    <row r="345" spans="2:37" s="64" customFormat="1" x14ac:dyDescent="0.35">
      <c r="B345" s="30"/>
      <c r="C345" s="30"/>
      <c r="D345" s="30"/>
      <c r="E345" s="30"/>
      <c r="F345" s="258"/>
      <c r="G345" s="30"/>
      <c r="H345" s="482"/>
      <c r="I345" s="482"/>
      <c r="J345" s="482"/>
      <c r="K345" s="482"/>
      <c r="L345" s="483"/>
      <c r="M345" s="484"/>
      <c r="N345" s="484"/>
      <c r="O345" s="484"/>
      <c r="P345" s="484"/>
      <c r="Q345" s="484"/>
      <c r="R345" s="484"/>
      <c r="S345" s="484"/>
      <c r="T345" s="484"/>
      <c r="U345" s="484"/>
      <c r="V345" s="484"/>
      <c r="W345" s="484"/>
      <c r="X345" s="484"/>
      <c r="Y345" s="484"/>
      <c r="Z345" s="484"/>
      <c r="AA345" s="484"/>
      <c r="AB345" s="484"/>
      <c r="AC345" s="484"/>
      <c r="AD345" s="484"/>
      <c r="AE345" s="484"/>
      <c r="AF345" s="484"/>
      <c r="AG345" s="484"/>
      <c r="AH345" s="484"/>
      <c r="AI345" s="484"/>
      <c r="AJ345" s="484"/>
      <c r="AK345" s="484"/>
    </row>
    <row r="346" spans="2:37" s="64" customFormat="1" x14ac:dyDescent="0.35">
      <c r="B346" s="30"/>
      <c r="C346" s="30"/>
      <c r="D346" s="30"/>
      <c r="E346" s="30"/>
      <c r="F346" s="258"/>
      <c r="H346" s="487"/>
      <c r="I346" s="487"/>
      <c r="J346" s="487"/>
      <c r="K346" s="487"/>
      <c r="L346" s="483"/>
      <c r="M346" s="484"/>
      <c r="N346" s="484"/>
      <c r="O346" s="484"/>
      <c r="P346" s="484"/>
      <c r="Q346" s="484"/>
      <c r="R346" s="484"/>
      <c r="S346" s="484"/>
      <c r="T346" s="484"/>
      <c r="U346" s="484"/>
      <c r="V346" s="484"/>
      <c r="W346" s="484"/>
      <c r="X346" s="484"/>
      <c r="Y346" s="484"/>
      <c r="Z346" s="484"/>
      <c r="AA346" s="484"/>
      <c r="AB346" s="484"/>
      <c r="AC346" s="484"/>
      <c r="AD346" s="484"/>
      <c r="AE346" s="484"/>
      <c r="AF346" s="484"/>
      <c r="AG346" s="484"/>
      <c r="AH346" s="484"/>
      <c r="AI346" s="484"/>
      <c r="AJ346" s="484"/>
      <c r="AK346" s="484"/>
    </row>
    <row r="347" spans="2:37" s="64" customFormat="1" x14ac:dyDescent="0.35">
      <c r="B347" s="30"/>
      <c r="C347" s="30"/>
      <c r="D347" s="30"/>
      <c r="E347" s="30"/>
      <c r="F347" s="258"/>
      <c r="G347" s="30"/>
      <c r="H347" s="482"/>
      <c r="I347" s="482"/>
      <c r="J347" s="482"/>
      <c r="K347" s="482"/>
      <c r="L347" s="483"/>
      <c r="M347" s="484"/>
      <c r="N347" s="484"/>
      <c r="O347" s="484"/>
      <c r="P347" s="484"/>
      <c r="Q347" s="484"/>
      <c r="R347" s="484"/>
      <c r="S347" s="484"/>
      <c r="T347" s="484"/>
      <c r="U347" s="484"/>
      <c r="V347" s="484"/>
      <c r="W347" s="484"/>
      <c r="X347" s="484"/>
      <c r="Y347" s="484"/>
      <c r="Z347" s="484"/>
      <c r="AA347" s="484"/>
      <c r="AB347" s="484"/>
      <c r="AC347" s="484"/>
      <c r="AD347" s="484"/>
      <c r="AE347" s="484"/>
      <c r="AF347" s="484"/>
      <c r="AG347" s="484"/>
      <c r="AH347" s="484"/>
      <c r="AI347" s="484"/>
      <c r="AJ347" s="484"/>
      <c r="AK347" s="484"/>
    </row>
    <row r="348" spans="2:37" s="64" customFormat="1" x14ac:dyDescent="0.35">
      <c r="B348" s="30"/>
      <c r="C348" s="30"/>
      <c r="D348" s="30"/>
      <c r="E348" s="30"/>
      <c r="F348" s="258"/>
      <c r="H348" s="487"/>
      <c r="I348" s="487"/>
      <c r="J348" s="487"/>
      <c r="K348" s="487"/>
      <c r="L348" s="483"/>
      <c r="M348" s="484"/>
      <c r="N348" s="484"/>
      <c r="O348" s="484"/>
      <c r="P348" s="484"/>
      <c r="Q348" s="484"/>
      <c r="R348" s="484"/>
      <c r="S348" s="484"/>
      <c r="T348" s="484"/>
      <c r="U348" s="484"/>
      <c r="V348" s="484"/>
      <c r="W348" s="484"/>
      <c r="X348" s="484"/>
      <c r="Y348" s="484"/>
      <c r="Z348" s="484"/>
      <c r="AA348" s="484"/>
      <c r="AB348" s="484"/>
      <c r="AC348" s="484"/>
      <c r="AD348" s="484"/>
      <c r="AE348" s="484"/>
      <c r="AF348" s="484"/>
      <c r="AG348" s="484"/>
      <c r="AH348" s="484"/>
      <c r="AI348" s="484"/>
      <c r="AJ348" s="484"/>
      <c r="AK348" s="484"/>
    </row>
    <row r="349" spans="2:37" s="64" customFormat="1" x14ac:dyDescent="0.35">
      <c r="B349" s="30"/>
      <c r="C349" s="30"/>
      <c r="D349" s="30"/>
      <c r="E349" s="30"/>
      <c r="F349" s="258"/>
      <c r="G349" s="30"/>
      <c r="H349" s="482"/>
      <c r="I349" s="482"/>
      <c r="J349" s="482"/>
      <c r="K349" s="482"/>
      <c r="L349" s="483"/>
      <c r="M349" s="484"/>
      <c r="N349" s="484"/>
      <c r="O349" s="484"/>
      <c r="P349" s="484"/>
      <c r="Q349" s="484"/>
      <c r="R349" s="484"/>
      <c r="S349" s="484"/>
      <c r="T349" s="484"/>
      <c r="U349" s="484"/>
      <c r="V349" s="484"/>
      <c r="W349" s="484"/>
      <c r="X349" s="484"/>
      <c r="Y349" s="484"/>
      <c r="Z349" s="484"/>
      <c r="AA349" s="484"/>
      <c r="AB349" s="484"/>
      <c r="AC349" s="484"/>
      <c r="AD349" s="484"/>
      <c r="AE349" s="484"/>
      <c r="AF349" s="484"/>
      <c r="AG349" s="484"/>
      <c r="AH349" s="484"/>
      <c r="AI349" s="484"/>
      <c r="AJ349" s="484"/>
      <c r="AK349" s="484"/>
    </row>
    <row r="350" spans="2:37" s="64" customFormat="1" x14ac:dyDescent="0.35">
      <c r="B350" s="30"/>
      <c r="C350" s="30"/>
      <c r="D350" s="30"/>
      <c r="E350" s="30"/>
      <c r="F350" s="258"/>
      <c r="H350" s="487"/>
      <c r="I350" s="487"/>
      <c r="J350" s="487"/>
      <c r="K350" s="487"/>
      <c r="L350" s="483"/>
      <c r="M350" s="484"/>
      <c r="N350" s="484"/>
      <c r="O350" s="484"/>
      <c r="P350" s="484"/>
      <c r="Q350" s="484"/>
      <c r="R350" s="484"/>
      <c r="S350" s="484"/>
      <c r="T350" s="484"/>
      <c r="U350" s="484"/>
      <c r="V350" s="484"/>
      <c r="W350" s="484"/>
      <c r="X350" s="484"/>
      <c r="Y350" s="484"/>
      <c r="Z350" s="484"/>
      <c r="AA350" s="484"/>
      <c r="AB350" s="484"/>
      <c r="AC350" s="484"/>
      <c r="AD350" s="484"/>
      <c r="AE350" s="484"/>
      <c r="AF350" s="484"/>
      <c r="AG350" s="484"/>
      <c r="AH350" s="484"/>
      <c r="AI350" s="484"/>
      <c r="AJ350" s="484"/>
      <c r="AK350" s="484"/>
    </row>
    <row r="351" spans="2:37" s="64" customFormat="1" x14ac:dyDescent="0.35">
      <c r="B351" s="30"/>
      <c r="C351" s="30"/>
      <c r="D351" s="30"/>
      <c r="E351" s="30"/>
      <c r="F351" s="258"/>
      <c r="G351" s="30"/>
      <c r="H351" s="482"/>
      <c r="I351" s="482"/>
      <c r="J351" s="482"/>
      <c r="K351" s="482"/>
      <c r="L351" s="483"/>
      <c r="M351" s="484"/>
      <c r="N351" s="484"/>
      <c r="O351" s="484"/>
      <c r="P351" s="484"/>
      <c r="Q351" s="484"/>
      <c r="R351" s="484"/>
      <c r="S351" s="484"/>
      <c r="T351" s="484"/>
      <c r="U351" s="484"/>
      <c r="V351" s="484"/>
      <c r="W351" s="484"/>
      <c r="X351" s="484"/>
      <c r="Y351" s="484"/>
      <c r="Z351" s="484"/>
      <c r="AA351" s="484"/>
      <c r="AB351" s="484"/>
      <c r="AC351" s="484"/>
      <c r="AD351" s="484"/>
      <c r="AE351" s="484"/>
      <c r="AF351" s="484"/>
      <c r="AG351" s="484"/>
      <c r="AH351" s="484"/>
      <c r="AI351" s="484"/>
      <c r="AJ351" s="484"/>
      <c r="AK351" s="484"/>
    </row>
    <row r="352" spans="2:37" s="64" customFormat="1" x14ac:dyDescent="0.35">
      <c r="B352" s="30"/>
      <c r="C352" s="30"/>
      <c r="D352" s="30"/>
      <c r="E352" s="30"/>
      <c r="F352" s="258"/>
      <c r="H352" s="487"/>
      <c r="I352" s="487"/>
      <c r="J352" s="487"/>
      <c r="K352" s="487"/>
      <c r="L352" s="483"/>
      <c r="M352" s="484"/>
      <c r="N352" s="484"/>
      <c r="O352" s="484"/>
      <c r="P352" s="484"/>
      <c r="Q352" s="484"/>
      <c r="R352" s="484"/>
      <c r="S352" s="484"/>
      <c r="T352" s="484"/>
      <c r="U352" s="484"/>
      <c r="V352" s="484"/>
      <c r="W352" s="484"/>
      <c r="X352" s="484"/>
      <c r="Y352" s="484"/>
      <c r="Z352" s="484"/>
      <c r="AA352" s="484"/>
      <c r="AB352" s="484"/>
      <c r="AC352" s="484"/>
      <c r="AD352" s="484"/>
      <c r="AE352" s="484"/>
      <c r="AF352" s="484"/>
      <c r="AG352" s="484"/>
      <c r="AH352" s="484"/>
      <c r="AI352" s="484"/>
      <c r="AJ352" s="484"/>
      <c r="AK352" s="484"/>
    </row>
    <row r="353" spans="2:37" s="64" customFormat="1" x14ac:dyDescent="0.35">
      <c r="B353" s="30"/>
      <c r="C353" s="30"/>
      <c r="D353" s="30"/>
      <c r="E353" s="30"/>
      <c r="F353" s="258"/>
      <c r="G353" s="30"/>
      <c r="H353" s="482"/>
      <c r="I353" s="482"/>
      <c r="J353" s="482"/>
      <c r="K353" s="482"/>
      <c r="L353" s="483"/>
      <c r="M353" s="484"/>
      <c r="N353" s="484"/>
      <c r="O353" s="484"/>
      <c r="P353" s="484"/>
      <c r="Q353" s="484"/>
      <c r="R353" s="484"/>
      <c r="S353" s="484"/>
      <c r="T353" s="484"/>
      <c r="U353" s="484"/>
      <c r="V353" s="484"/>
      <c r="W353" s="484"/>
      <c r="X353" s="484"/>
      <c r="Y353" s="484"/>
      <c r="Z353" s="484"/>
      <c r="AA353" s="484"/>
      <c r="AB353" s="484"/>
      <c r="AC353" s="484"/>
      <c r="AD353" s="484"/>
      <c r="AE353" s="484"/>
      <c r="AF353" s="484"/>
      <c r="AG353" s="484"/>
      <c r="AH353" s="484"/>
      <c r="AI353" s="484"/>
      <c r="AJ353" s="484"/>
      <c r="AK353" s="484"/>
    </row>
    <row r="354" spans="2:37" s="64" customFormat="1" x14ac:dyDescent="0.35">
      <c r="B354" s="30"/>
      <c r="C354" s="30"/>
      <c r="D354" s="30"/>
      <c r="E354" s="30"/>
      <c r="F354" s="258"/>
      <c r="H354" s="487"/>
      <c r="I354" s="487"/>
      <c r="J354" s="487"/>
      <c r="K354" s="487"/>
      <c r="L354" s="483"/>
      <c r="M354" s="484"/>
      <c r="N354" s="484"/>
      <c r="O354" s="484"/>
      <c r="P354" s="484"/>
      <c r="Q354" s="484"/>
      <c r="R354" s="484"/>
      <c r="S354" s="484"/>
      <c r="T354" s="484"/>
      <c r="U354" s="484"/>
      <c r="V354" s="484"/>
      <c r="W354" s="484"/>
      <c r="X354" s="484"/>
      <c r="Y354" s="484"/>
      <c r="Z354" s="484"/>
      <c r="AA354" s="484"/>
      <c r="AB354" s="484"/>
      <c r="AC354" s="484"/>
      <c r="AD354" s="484"/>
      <c r="AE354" s="484"/>
      <c r="AF354" s="484"/>
      <c r="AG354" s="484"/>
      <c r="AH354" s="484"/>
      <c r="AI354" s="484"/>
      <c r="AJ354" s="484"/>
      <c r="AK354" s="484"/>
    </row>
    <row r="355" spans="2:37" s="64" customFormat="1" x14ac:dyDescent="0.35">
      <c r="B355" s="30"/>
      <c r="C355" s="30"/>
      <c r="D355" s="30"/>
      <c r="E355" s="30"/>
      <c r="F355" s="258"/>
      <c r="G355" s="30"/>
      <c r="H355" s="482"/>
      <c r="I355" s="482"/>
      <c r="J355" s="482"/>
      <c r="K355" s="482"/>
      <c r="L355" s="483"/>
      <c r="M355" s="484"/>
      <c r="N355" s="484"/>
      <c r="O355" s="484"/>
      <c r="P355" s="484"/>
      <c r="Q355" s="484"/>
      <c r="R355" s="484"/>
      <c r="S355" s="484"/>
      <c r="T355" s="484"/>
      <c r="U355" s="484"/>
      <c r="V355" s="484"/>
      <c r="W355" s="484"/>
      <c r="X355" s="484"/>
      <c r="Y355" s="484"/>
      <c r="Z355" s="484"/>
      <c r="AA355" s="484"/>
      <c r="AB355" s="484"/>
      <c r="AC355" s="484"/>
      <c r="AD355" s="484"/>
      <c r="AE355" s="484"/>
      <c r="AF355" s="484"/>
      <c r="AG355" s="484"/>
      <c r="AH355" s="484"/>
      <c r="AI355" s="484"/>
      <c r="AJ355" s="484"/>
      <c r="AK355" s="484"/>
    </row>
    <row r="356" spans="2:37" s="64" customFormat="1" x14ac:dyDescent="0.35">
      <c r="B356" s="30"/>
      <c r="C356" s="30"/>
      <c r="D356" s="30"/>
      <c r="E356" s="30"/>
      <c r="F356" s="258"/>
      <c r="H356" s="487"/>
      <c r="I356" s="487"/>
      <c r="J356" s="487"/>
      <c r="K356" s="487"/>
      <c r="L356" s="483"/>
      <c r="M356" s="484"/>
      <c r="N356" s="484"/>
      <c r="O356" s="484"/>
      <c r="P356" s="484"/>
      <c r="Q356" s="484"/>
      <c r="R356" s="484"/>
      <c r="S356" s="484"/>
      <c r="T356" s="484"/>
      <c r="U356" s="484"/>
      <c r="V356" s="484"/>
      <c r="W356" s="484"/>
      <c r="X356" s="484"/>
      <c r="Y356" s="484"/>
      <c r="Z356" s="484"/>
      <c r="AA356" s="484"/>
      <c r="AB356" s="484"/>
      <c r="AC356" s="484"/>
      <c r="AD356" s="484"/>
      <c r="AE356" s="484"/>
      <c r="AF356" s="484"/>
      <c r="AG356" s="484"/>
      <c r="AH356" s="484"/>
      <c r="AI356" s="484"/>
      <c r="AJ356" s="484"/>
      <c r="AK356" s="484"/>
    </row>
    <row r="357" spans="2:37" s="64" customFormat="1" x14ac:dyDescent="0.35">
      <c r="B357" s="30"/>
      <c r="C357" s="30"/>
      <c r="D357" s="30"/>
      <c r="E357" s="30"/>
      <c r="F357" s="258"/>
      <c r="G357" s="30"/>
      <c r="H357" s="482"/>
      <c r="I357" s="482"/>
      <c r="J357" s="482"/>
      <c r="K357" s="482"/>
      <c r="L357" s="483"/>
      <c r="M357" s="484"/>
      <c r="N357" s="484"/>
      <c r="O357" s="484"/>
      <c r="P357" s="484"/>
      <c r="Q357" s="484"/>
      <c r="R357" s="484"/>
      <c r="S357" s="484"/>
      <c r="T357" s="484"/>
      <c r="U357" s="484"/>
      <c r="V357" s="484"/>
      <c r="W357" s="484"/>
      <c r="X357" s="484"/>
      <c r="Y357" s="484"/>
      <c r="Z357" s="484"/>
      <c r="AA357" s="484"/>
      <c r="AB357" s="484"/>
      <c r="AC357" s="484"/>
      <c r="AD357" s="484"/>
      <c r="AE357" s="484"/>
      <c r="AF357" s="484"/>
      <c r="AG357" s="484"/>
      <c r="AH357" s="484"/>
      <c r="AI357" s="484"/>
      <c r="AJ357" s="484"/>
      <c r="AK357" s="484"/>
    </row>
    <row r="358" spans="2:37" s="64" customFormat="1" x14ac:dyDescent="0.35">
      <c r="B358" s="30"/>
      <c r="C358" s="30"/>
      <c r="D358" s="30"/>
      <c r="E358" s="30"/>
      <c r="F358" s="258"/>
      <c r="H358" s="487"/>
      <c r="I358" s="487"/>
      <c r="J358" s="487"/>
      <c r="K358" s="487"/>
      <c r="L358" s="483"/>
      <c r="M358" s="484"/>
      <c r="N358" s="484"/>
      <c r="O358" s="484"/>
      <c r="P358" s="484"/>
      <c r="Q358" s="484"/>
      <c r="R358" s="484"/>
      <c r="S358" s="484"/>
      <c r="T358" s="484"/>
      <c r="U358" s="484"/>
      <c r="V358" s="484"/>
      <c r="W358" s="484"/>
      <c r="X358" s="484"/>
      <c r="Y358" s="484"/>
      <c r="Z358" s="484"/>
      <c r="AA358" s="484"/>
      <c r="AB358" s="484"/>
      <c r="AC358" s="484"/>
      <c r="AD358" s="484"/>
      <c r="AE358" s="484"/>
      <c r="AF358" s="484"/>
      <c r="AG358" s="484"/>
      <c r="AH358" s="484"/>
      <c r="AI358" s="484"/>
      <c r="AJ358" s="484"/>
      <c r="AK358" s="484"/>
    </row>
    <row r="359" spans="2:37" s="64" customFormat="1" x14ac:dyDescent="0.35">
      <c r="B359" s="30"/>
      <c r="C359" s="30"/>
      <c r="D359" s="30"/>
      <c r="E359" s="30"/>
      <c r="F359" s="258"/>
      <c r="G359" s="30"/>
      <c r="H359" s="482"/>
      <c r="I359" s="482"/>
      <c r="J359" s="482"/>
      <c r="K359" s="482"/>
      <c r="L359" s="483"/>
      <c r="M359" s="484"/>
      <c r="N359" s="484"/>
      <c r="O359" s="484"/>
      <c r="P359" s="484"/>
      <c r="Q359" s="484"/>
      <c r="R359" s="484"/>
      <c r="S359" s="484"/>
      <c r="T359" s="484"/>
      <c r="U359" s="484"/>
      <c r="V359" s="484"/>
      <c r="W359" s="484"/>
      <c r="X359" s="484"/>
      <c r="Y359" s="484"/>
      <c r="Z359" s="484"/>
      <c r="AA359" s="484"/>
      <c r="AB359" s="484"/>
      <c r="AC359" s="484"/>
      <c r="AD359" s="484"/>
      <c r="AE359" s="484"/>
      <c r="AF359" s="484"/>
      <c r="AG359" s="484"/>
      <c r="AH359" s="484"/>
      <c r="AI359" s="484"/>
      <c r="AJ359" s="484"/>
      <c r="AK359" s="484"/>
    </row>
    <row r="360" spans="2:37" s="64" customFormat="1" x14ac:dyDescent="0.35">
      <c r="B360" s="30"/>
      <c r="C360" s="30"/>
      <c r="D360" s="30"/>
      <c r="E360" s="30"/>
      <c r="F360" s="258"/>
      <c r="H360" s="487"/>
      <c r="I360" s="487"/>
      <c r="J360" s="487"/>
      <c r="K360" s="487"/>
      <c r="L360" s="483"/>
      <c r="M360" s="484"/>
      <c r="N360" s="484"/>
      <c r="O360" s="484"/>
      <c r="P360" s="484"/>
      <c r="Q360" s="484"/>
      <c r="R360" s="484"/>
      <c r="S360" s="484"/>
      <c r="T360" s="484"/>
      <c r="U360" s="484"/>
      <c r="V360" s="484"/>
      <c r="W360" s="484"/>
      <c r="X360" s="484"/>
      <c r="Y360" s="484"/>
      <c r="Z360" s="484"/>
      <c r="AA360" s="484"/>
      <c r="AB360" s="484"/>
      <c r="AC360" s="484"/>
      <c r="AD360" s="484"/>
      <c r="AE360" s="484"/>
      <c r="AF360" s="484"/>
      <c r="AG360" s="484"/>
      <c r="AH360" s="484"/>
      <c r="AI360" s="484"/>
      <c r="AJ360" s="484"/>
      <c r="AK360" s="484"/>
    </row>
    <row r="361" spans="2:37" s="64" customFormat="1" x14ac:dyDescent="0.35">
      <c r="B361" s="30"/>
      <c r="C361" s="30"/>
      <c r="D361" s="30"/>
      <c r="E361" s="30"/>
      <c r="F361" s="258"/>
      <c r="G361" s="30"/>
      <c r="H361" s="482"/>
      <c r="I361" s="482"/>
      <c r="J361" s="482"/>
      <c r="K361" s="482"/>
      <c r="L361" s="483"/>
      <c r="M361" s="484"/>
      <c r="N361" s="484"/>
      <c r="O361" s="484"/>
      <c r="P361" s="484"/>
      <c r="Q361" s="484"/>
      <c r="R361" s="484"/>
      <c r="S361" s="484"/>
      <c r="T361" s="484"/>
      <c r="U361" s="484"/>
      <c r="V361" s="484"/>
      <c r="W361" s="484"/>
      <c r="X361" s="484"/>
      <c r="Y361" s="484"/>
      <c r="Z361" s="484"/>
      <c r="AA361" s="484"/>
      <c r="AB361" s="484"/>
      <c r="AC361" s="484"/>
      <c r="AD361" s="484"/>
      <c r="AE361" s="484"/>
      <c r="AF361" s="484"/>
      <c r="AG361" s="484"/>
      <c r="AH361" s="484"/>
      <c r="AI361" s="484"/>
      <c r="AJ361" s="484"/>
      <c r="AK361" s="484"/>
    </row>
    <row r="362" spans="2:37" s="64" customFormat="1" x14ac:dyDescent="0.35">
      <c r="B362" s="30"/>
      <c r="C362" s="30"/>
      <c r="D362" s="30"/>
      <c r="E362" s="30"/>
      <c r="F362" s="258"/>
      <c r="H362" s="487"/>
      <c r="I362" s="487"/>
      <c r="J362" s="487"/>
      <c r="K362" s="487"/>
      <c r="L362" s="483"/>
      <c r="M362" s="484"/>
      <c r="N362" s="484"/>
      <c r="O362" s="484"/>
      <c r="P362" s="484"/>
      <c r="Q362" s="484"/>
      <c r="R362" s="484"/>
      <c r="S362" s="484"/>
      <c r="T362" s="484"/>
      <c r="U362" s="484"/>
      <c r="V362" s="484"/>
      <c r="W362" s="484"/>
      <c r="X362" s="484"/>
      <c r="Y362" s="484"/>
      <c r="Z362" s="484"/>
      <c r="AA362" s="484"/>
      <c r="AB362" s="484"/>
      <c r="AC362" s="484"/>
      <c r="AD362" s="484"/>
      <c r="AE362" s="484"/>
      <c r="AF362" s="484"/>
      <c r="AG362" s="484"/>
      <c r="AH362" s="484"/>
      <c r="AI362" s="484"/>
      <c r="AJ362" s="484"/>
      <c r="AK362" s="484"/>
    </row>
    <row r="363" spans="2:37" s="64" customFormat="1" x14ac:dyDescent="0.35">
      <c r="B363" s="30"/>
      <c r="C363" s="30"/>
      <c r="D363" s="30"/>
      <c r="E363" s="30"/>
      <c r="F363" s="258"/>
      <c r="G363" s="30"/>
      <c r="H363" s="482"/>
      <c r="I363" s="482"/>
      <c r="J363" s="482"/>
      <c r="K363" s="482"/>
      <c r="L363" s="483"/>
      <c r="M363" s="484"/>
      <c r="N363" s="484"/>
      <c r="O363" s="484"/>
      <c r="P363" s="484"/>
      <c r="Q363" s="484"/>
      <c r="R363" s="484"/>
      <c r="S363" s="484"/>
      <c r="T363" s="484"/>
      <c r="U363" s="484"/>
      <c r="V363" s="484"/>
      <c r="W363" s="484"/>
      <c r="X363" s="484"/>
      <c r="Y363" s="484"/>
      <c r="Z363" s="484"/>
      <c r="AA363" s="484"/>
      <c r="AB363" s="484"/>
      <c r="AC363" s="484"/>
      <c r="AD363" s="484"/>
      <c r="AE363" s="484"/>
      <c r="AF363" s="484"/>
      <c r="AG363" s="484"/>
      <c r="AH363" s="484"/>
      <c r="AI363" s="484"/>
      <c r="AJ363" s="484"/>
      <c r="AK363" s="484"/>
    </row>
    <row r="364" spans="2:37" s="64" customFormat="1" x14ac:dyDescent="0.35">
      <c r="B364" s="30"/>
      <c r="C364" s="30"/>
      <c r="D364" s="30"/>
      <c r="E364" s="30"/>
      <c r="F364" s="258"/>
      <c r="H364" s="487"/>
      <c r="I364" s="487"/>
      <c r="J364" s="487"/>
      <c r="K364" s="487"/>
      <c r="L364" s="483"/>
      <c r="M364" s="484"/>
      <c r="N364" s="484"/>
      <c r="O364" s="484"/>
      <c r="P364" s="484"/>
      <c r="Q364" s="484"/>
      <c r="R364" s="484"/>
      <c r="S364" s="484"/>
      <c r="T364" s="484"/>
      <c r="U364" s="484"/>
      <c r="V364" s="484"/>
      <c r="W364" s="484"/>
      <c r="X364" s="484"/>
      <c r="Y364" s="484"/>
      <c r="Z364" s="484"/>
      <c r="AA364" s="484"/>
      <c r="AB364" s="484"/>
      <c r="AC364" s="484"/>
      <c r="AD364" s="484"/>
      <c r="AE364" s="484"/>
      <c r="AF364" s="484"/>
      <c r="AG364" s="484"/>
      <c r="AH364" s="484"/>
      <c r="AI364" s="484"/>
      <c r="AJ364" s="484"/>
      <c r="AK364" s="484"/>
    </row>
    <row r="365" spans="2:37" s="64" customFormat="1" x14ac:dyDescent="0.35">
      <c r="B365" s="30"/>
      <c r="C365" s="30"/>
      <c r="D365" s="30"/>
      <c r="E365" s="30"/>
      <c r="F365" s="258"/>
      <c r="G365" s="30"/>
      <c r="H365" s="482"/>
      <c r="I365" s="482"/>
      <c r="J365" s="482"/>
      <c r="K365" s="482"/>
      <c r="L365" s="483"/>
      <c r="M365" s="484"/>
      <c r="N365" s="484"/>
      <c r="O365" s="484"/>
      <c r="P365" s="484"/>
      <c r="Q365" s="484"/>
      <c r="R365" s="484"/>
      <c r="S365" s="484"/>
      <c r="T365" s="484"/>
      <c r="U365" s="484"/>
      <c r="V365" s="484"/>
      <c r="W365" s="484"/>
      <c r="X365" s="484"/>
      <c r="Y365" s="484"/>
      <c r="Z365" s="484"/>
      <c r="AA365" s="484"/>
      <c r="AB365" s="484"/>
      <c r="AC365" s="484"/>
      <c r="AD365" s="484"/>
      <c r="AE365" s="484"/>
      <c r="AF365" s="484"/>
      <c r="AG365" s="484"/>
      <c r="AH365" s="484"/>
      <c r="AI365" s="484"/>
      <c r="AJ365" s="484"/>
      <c r="AK365" s="484"/>
    </row>
    <row r="366" spans="2:37" s="64" customFormat="1" x14ac:dyDescent="0.35">
      <c r="B366" s="30"/>
      <c r="C366" s="30"/>
      <c r="D366" s="30"/>
      <c r="E366" s="30"/>
      <c r="F366" s="258"/>
      <c r="H366" s="487"/>
      <c r="I366" s="487"/>
      <c r="J366" s="487"/>
      <c r="K366" s="487"/>
      <c r="L366" s="483"/>
      <c r="M366" s="484"/>
      <c r="N366" s="484"/>
      <c r="O366" s="484"/>
      <c r="P366" s="484"/>
      <c r="Q366" s="484"/>
      <c r="R366" s="484"/>
      <c r="S366" s="484"/>
      <c r="T366" s="484"/>
      <c r="U366" s="484"/>
      <c r="V366" s="484"/>
      <c r="W366" s="484"/>
      <c r="X366" s="484"/>
      <c r="Y366" s="484"/>
      <c r="Z366" s="484"/>
      <c r="AA366" s="484"/>
      <c r="AB366" s="484"/>
      <c r="AC366" s="484"/>
      <c r="AD366" s="484"/>
      <c r="AE366" s="484"/>
      <c r="AF366" s="484"/>
      <c r="AG366" s="484"/>
      <c r="AH366" s="484"/>
      <c r="AI366" s="484"/>
      <c r="AJ366" s="484"/>
      <c r="AK366" s="484"/>
    </row>
    <row r="367" spans="2:37" s="64" customFormat="1" x14ac:dyDescent="0.35">
      <c r="B367" s="30"/>
      <c r="C367" s="30"/>
      <c r="D367" s="30"/>
      <c r="E367" s="30"/>
      <c r="F367" s="258"/>
      <c r="G367" s="30"/>
      <c r="H367" s="482"/>
      <c r="I367" s="482"/>
      <c r="J367" s="482"/>
      <c r="K367" s="482"/>
      <c r="L367" s="483"/>
      <c r="M367" s="484"/>
      <c r="N367" s="484"/>
      <c r="O367" s="484"/>
      <c r="P367" s="484"/>
      <c r="Q367" s="484"/>
      <c r="R367" s="484"/>
      <c r="S367" s="484"/>
      <c r="T367" s="484"/>
      <c r="U367" s="484"/>
      <c r="V367" s="484"/>
      <c r="W367" s="484"/>
      <c r="X367" s="484"/>
      <c r="Y367" s="484"/>
      <c r="Z367" s="484"/>
      <c r="AA367" s="484"/>
      <c r="AB367" s="484"/>
      <c r="AC367" s="484"/>
      <c r="AD367" s="484"/>
      <c r="AE367" s="484"/>
      <c r="AF367" s="484"/>
      <c r="AG367" s="484"/>
      <c r="AH367" s="484"/>
      <c r="AI367" s="484"/>
      <c r="AJ367" s="484"/>
      <c r="AK367" s="484"/>
    </row>
    <row r="368" spans="2:37" s="64" customFormat="1" x14ac:dyDescent="0.35">
      <c r="B368" s="30"/>
      <c r="C368" s="30"/>
      <c r="D368" s="30"/>
      <c r="E368" s="30"/>
      <c r="F368" s="258"/>
      <c r="H368" s="487"/>
      <c r="I368" s="487"/>
      <c r="J368" s="487"/>
      <c r="K368" s="487"/>
      <c r="L368" s="483"/>
      <c r="M368" s="484"/>
      <c r="N368" s="484"/>
      <c r="O368" s="484"/>
      <c r="P368" s="484"/>
      <c r="Q368" s="484"/>
      <c r="R368" s="484"/>
      <c r="S368" s="484"/>
      <c r="T368" s="484"/>
      <c r="U368" s="484"/>
      <c r="V368" s="484"/>
      <c r="W368" s="484"/>
      <c r="X368" s="484"/>
      <c r="Y368" s="484"/>
      <c r="Z368" s="484"/>
      <c r="AA368" s="484"/>
      <c r="AB368" s="484"/>
      <c r="AC368" s="484"/>
      <c r="AD368" s="484"/>
      <c r="AE368" s="484"/>
      <c r="AF368" s="484"/>
      <c r="AG368" s="484"/>
      <c r="AH368" s="484"/>
      <c r="AI368" s="484"/>
      <c r="AJ368" s="484"/>
      <c r="AK368" s="484"/>
    </row>
    <row r="369" spans="2:37" s="64" customFormat="1" x14ac:dyDescent="0.35">
      <c r="B369" s="30"/>
      <c r="C369" s="30"/>
      <c r="D369" s="30"/>
      <c r="E369" s="30"/>
      <c r="F369" s="258"/>
      <c r="G369" s="30"/>
      <c r="H369" s="482"/>
      <c r="I369" s="482"/>
      <c r="J369" s="482"/>
      <c r="K369" s="482"/>
      <c r="L369" s="483"/>
      <c r="M369" s="484"/>
      <c r="N369" s="484"/>
      <c r="O369" s="484"/>
      <c r="P369" s="484"/>
      <c r="Q369" s="484"/>
      <c r="R369" s="484"/>
      <c r="S369" s="484"/>
      <c r="T369" s="484"/>
      <c r="U369" s="484"/>
      <c r="V369" s="484"/>
      <c r="W369" s="484"/>
      <c r="X369" s="484"/>
      <c r="Y369" s="484"/>
      <c r="Z369" s="484"/>
      <c r="AA369" s="484"/>
      <c r="AB369" s="484"/>
      <c r="AC369" s="484"/>
      <c r="AD369" s="484"/>
      <c r="AE369" s="484"/>
      <c r="AF369" s="484"/>
      <c r="AG369" s="484"/>
      <c r="AH369" s="484"/>
      <c r="AI369" s="484"/>
      <c r="AJ369" s="484"/>
      <c r="AK369" s="484"/>
    </row>
    <row r="370" spans="2:37" s="64" customFormat="1" x14ac:dyDescent="0.35">
      <c r="B370" s="30"/>
      <c r="C370" s="30"/>
      <c r="D370" s="30"/>
      <c r="E370" s="30"/>
      <c r="F370" s="258"/>
      <c r="H370" s="487"/>
      <c r="I370" s="487"/>
      <c r="J370" s="487"/>
      <c r="K370" s="487"/>
      <c r="L370" s="483"/>
      <c r="M370" s="484"/>
      <c r="N370" s="484"/>
      <c r="O370" s="484"/>
      <c r="P370" s="484"/>
      <c r="Q370" s="484"/>
      <c r="R370" s="484"/>
      <c r="S370" s="484"/>
      <c r="T370" s="484"/>
      <c r="U370" s="484"/>
      <c r="V370" s="484"/>
      <c r="W370" s="484"/>
      <c r="X370" s="484"/>
      <c r="Y370" s="484"/>
      <c r="Z370" s="484"/>
      <c r="AA370" s="484"/>
      <c r="AB370" s="484"/>
      <c r="AC370" s="484"/>
      <c r="AD370" s="484"/>
      <c r="AE370" s="484"/>
      <c r="AF370" s="484"/>
      <c r="AG370" s="484"/>
      <c r="AH370" s="484"/>
      <c r="AI370" s="484"/>
      <c r="AJ370" s="484"/>
      <c r="AK370" s="484"/>
    </row>
    <row r="371" spans="2:37" s="64" customFormat="1" x14ac:dyDescent="0.35">
      <c r="B371" s="30"/>
      <c r="C371" s="30"/>
      <c r="D371" s="30"/>
      <c r="E371" s="30"/>
      <c r="F371" s="258"/>
      <c r="G371" s="30"/>
      <c r="H371" s="482"/>
      <c r="I371" s="482"/>
      <c r="J371" s="482"/>
      <c r="K371" s="482"/>
      <c r="L371" s="483"/>
      <c r="M371" s="484"/>
      <c r="N371" s="484"/>
      <c r="O371" s="484"/>
      <c r="P371" s="484"/>
      <c r="Q371" s="484"/>
      <c r="R371" s="484"/>
      <c r="S371" s="484"/>
      <c r="T371" s="484"/>
      <c r="U371" s="484"/>
      <c r="V371" s="484"/>
      <c r="W371" s="484"/>
      <c r="X371" s="484"/>
      <c r="Y371" s="484"/>
      <c r="Z371" s="484"/>
      <c r="AA371" s="484"/>
      <c r="AB371" s="484"/>
      <c r="AC371" s="484"/>
      <c r="AD371" s="484"/>
      <c r="AE371" s="484"/>
      <c r="AF371" s="484"/>
      <c r="AG371" s="484"/>
      <c r="AH371" s="484"/>
      <c r="AI371" s="484"/>
      <c r="AJ371" s="484"/>
      <c r="AK371" s="484"/>
    </row>
    <row r="372" spans="2:37" s="64" customFormat="1" x14ac:dyDescent="0.35">
      <c r="B372" s="30"/>
      <c r="C372" s="30"/>
      <c r="D372" s="30"/>
      <c r="E372" s="30"/>
      <c r="F372" s="258"/>
      <c r="H372" s="487"/>
      <c r="I372" s="487"/>
      <c r="J372" s="487"/>
      <c r="K372" s="487"/>
      <c r="L372" s="483"/>
      <c r="M372" s="484"/>
      <c r="N372" s="484"/>
      <c r="O372" s="484"/>
      <c r="P372" s="484"/>
      <c r="Q372" s="484"/>
      <c r="R372" s="484"/>
      <c r="S372" s="484"/>
      <c r="T372" s="484"/>
      <c r="U372" s="484"/>
      <c r="V372" s="484"/>
      <c r="W372" s="484"/>
      <c r="X372" s="484"/>
      <c r="Y372" s="484"/>
      <c r="Z372" s="484"/>
      <c r="AA372" s="484"/>
      <c r="AB372" s="484"/>
      <c r="AC372" s="484"/>
      <c r="AD372" s="484"/>
      <c r="AE372" s="484"/>
      <c r="AF372" s="484"/>
      <c r="AG372" s="484"/>
      <c r="AH372" s="484"/>
      <c r="AI372" s="484"/>
      <c r="AJ372" s="484"/>
      <c r="AK372" s="484"/>
    </row>
    <row r="373" spans="2:37" s="64" customFormat="1" x14ac:dyDescent="0.35">
      <c r="B373" s="30"/>
      <c r="C373" s="30"/>
      <c r="D373" s="30"/>
      <c r="E373" s="30"/>
      <c r="F373" s="258"/>
      <c r="G373" s="30"/>
      <c r="H373" s="482"/>
      <c r="I373" s="482"/>
      <c r="J373" s="482"/>
      <c r="K373" s="482"/>
      <c r="L373" s="483"/>
      <c r="M373" s="484"/>
      <c r="N373" s="484"/>
      <c r="O373" s="484"/>
      <c r="P373" s="484"/>
      <c r="Q373" s="484"/>
      <c r="R373" s="484"/>
      <c r="S373" s="484"/>
      <c r="T373" s="484"/>
      <c r="U373" s="484"/>
      <c r="V373" s="484"/>
      <c r="W373" s="484"/>
      <c r="X373" s="484"/>
      <c r="Y373" s="484"/>
      <c r="Z373" s="484"/>
      <c r="AA373" s="484"/>
      <c r="AB373" s="484"/>
      <c r="AC373" s="484"/>
      <c r="AD373" s="484"/>
      <c r="AE373" s="484"/>
      <c r="AF373" s="484"/>
      <c r="AG373" s="484"/>
      <c r="AH373" s="484"/>
      <c r="AI373" s="484"/>
      <c r="AJ373" s="484"/>
      <c r="AK373" s="484"/>
    </row>
    <row r="374" spans="2:37" s="64" customFormat="1" x14ac:dyDescent="0.35">
      <c r="B374" s="30"/>
      <c r="C374" s="30"/>
      <c r="D374" s="30"/>
      <c r="E374" s="30"/>
      <c r="F374" s="258"/>
      <c r="H374" s="487"/>
      <c r="I374" s="487"/>
      <c r="J374" s="487"/>
      <c r="K374" s="487"/>
      <c r="L374" s="483"/>
      <c r="M374" s="484"/>
      <c r="N374" s="484"/>
      <c r="O374" s="484"/>
      <c r="P374" s="484"/>
      <c r="Q374" s="484"/>
      <c r="R374" s="484"/>
      <c r="S374" s="484"/>
      <c r="T374" s="484"/>
      <c r="U374" s="484"/>
      <c r="V374" s="484"/>
      <c r="W374" s="484"/>
      <c r="X374" s="484"/>
      <c r="Y374" s="484"/>
      <c r="Z374" s="484"/>
      <c r="AA374" s="484"/>
      <c r="AB374" s="484"/>
      <c r="AC374" s="484"/>
      <c r="AD374" s="484"/>
      <c r="AE374" s="484"/>
      <c r="AF374" s="484"/>
      <c r="AG374" s="484"/>
      <c r="AH374" s="484"/>
      <c r="AI374" s="484"/>
      <c r="AJ374" s="484"/>
      <c r="AK374" s="484"/>
    </row>
    <row r="375" spans="2:37" s="64" customFormat="1" x14ac:dyDescent="0.35">
      <c r="B375" s="30"/>
      <c r="C375" s="30"/>
      <c r="D375" s="30"/>
      <c r="E375" s="30"/>
      <c r="F375" s="258"/>
      <c r="G375" s="30"/>
      <c r="H375" s="482"/>
      <c r="I375" s="482"/>
      <c r="J375" s="482"/>
      <c r="K375" s="482"/>
      <c r="L375" s="483"/>
      <c r="M375" s="484"/>
      <c r="N375" s="484"/>
      <c r="O375" s="484"/>
      <c r="P375" s="484"/>
      <c r="Q375" s="484"/>
      <c r="R375" s="484"/>
      <c r="S375" s="484"/>
      <c r="T375" s="484"/>
      <c r="U375" s="484"/>
      <c r="V375" s="484"/>
      <c r="W375" s="484"/>
      <c r="X375" s="484"/>
      <c r="Y375" s="484"/>
      <c r="Z375" s="484"/>
      <c r="AA375" s="484"/>
      <c r="AB375" s="484"/>
      <c r="AC375" s="484"/>
      <c r="AD375" s="484"/>
      <c r="AE375" s="484"/>
      <c r="AF375" s="484"/>
      <c r="AG375" s="484"/>
      <c r="AH375" s="484"/>
      <c r="AI375" s="484"/>
      <c r="AJ375" s="484"/>
      <c r="AK375" s="484"/>
    </row>
    <row r="376" spans="2:37" s="64" customFormat="1" x14ac:dyDescent="0.35">
      <c r="B376" s="30"/>
      <c r="C376" s="30"/>
      <c r="D376" s="30"/>
      <c r="E376" s="30"/>
      <c r="F376" s="258"/>
      <c r="H376" s="487"/>
      <c r="I376" s="487"/>
      <c r="J376" s="487"/>
      <c r="K376" s="487"/>
      <c r="L376" s="483"/>
      <c r="M376" s="484"/>
      <c r="N376" s="484"/>
      <c r="O376" s="484"/>
      <c r="P376" s="484"/>
      <c r="Q376" s="484"/>
      <c r="R376" s="484"/>
      <c r="S376" s="484"/>
      <c r="T376" s="484"/>
      <c r="U376" s="484"/>
      <c r="V376" s="484"/>
      <c r="W376" s="484"/>
      <c r="X376" s="484"/>
      <c r="Y376" s="484"/>
      <c r="Z376" s="484"/>
      <c r="AA376" s="484"/>
      <c r="AB376" s="484"/>
      <c r="AC376" s="484"/>
      <c r="AD376" s="484"/>
      <c r="AE376" s="484"/>
      <c r="AF376" s="484"/>
      <c r="AG376" s="484"/>
      <c r="AH376" s="484"/>
      <c r="AI376" s="484"/>
      <c r="AJ376" s="484"/>
      <c r="AK376" s="484"/>
    </row>
    <row r="377" spans="2:37" s="64" customFormat="1" x14ac:dyDescent="0.35">
      <c r="B377" s="30"/>
      <c r="C377" s="30"/>
      <c r="D377" s="30"/>
      <c r="E377" s="30"/>
      <c r="F377" s="258"/>
      <c r="G377" s="30"/>
      <c r="H377" s="482"/>
      <c r="I377" s="482"/>
      <c r="J377" s="482"/>
      <c r="K377" s="482"/>
      <c r="L377" s="483"/>
      <c r="M377" s="484"/>
      <c r="N377" s="484"/>
      <c r="O377" s="484"/>
      <c r="P377" s="484"/>
      <c r="Q377" s="484"/>
      <c r="R377" s="484"/>
      <c r="S377" s="484"/>
      <c r="T377" s="484"/>
      <c r="U377" s="484"/>
      <c r="V377" s="484"/>
      <c r="W377" s="484"/>
      <c r="X377" s="484"/>
      <c r="Y377" s="484"/>
      <c r="Z377" s="484"/>
      <c r="AA377" s="484"/>
      <c r="AB377" s="484"/>
      <c r="AC377" s="484"/>
      <c r="AD377" s="484"/>
      <c r="AE377" s="484"/>
      <c r="AF377" s="484"/>
      <c r="AG377" s="484"/>
      <c r="AH377" s="484"/>
      <c r="AI377" s="484"/>
      <c r="AJ377" s="484"/>
      <c r="AK377" s="484"/>
    </row>
    <row r="378" spans="2:37" s="64" customFormat="1" x14ac:dyDescent="0.35">
      <c r="B378" s="30"/>
      <c r="C378" s="30"/>
      <c r="D378" s="30"/>
      <c r="E378" s="30"/>
      <c r="F378" s="258"/>
      <c r="H378" s="487"/>
      <c r="I378" s="487"/>
      <c r="J378" s="487"/>
      <c r="K378" s="487"/>
      <c r="L378" s="483"/>
      <c r="M378" s="484"/>
      <c r="N378" s="484"/>
      <c r="O378" s="484"/>
      <c r="P378" s="484"/>
      <c r="Q378" s="484"/>
      <c r="R378" s="484"/>
      <c r="S378" s="484"/>
      <c r="T378" s="484"/>
      <c r="U378" s="484"/>
      <c r="V378" s="484"/>
      <c r="W378" s="484"/>
      <c r="X378" s="484"/>
      <c r="Y378" s="484"/>
      <c r="Z378" s="484"/>
      <c r="AA378" s="484"/>
      <c r="AB378" s="484"/>
      <c r="AC378" s="484"/>
      <c r="AD378" s="484"/>
      <c r="AE378" s="484"/>
      <c r="AF378" s="484"/>
      <c r="AG378" s="484"/>
      <c r="AH378" s="484"/>
      <c r="AI378" s="484"/>
      <c r="AJ378" s="484"/>
      <c r="AK378" s="484"/>
    </row>
    <row r="379" spans="2:37" s="64" customFormat="1" x14ac:dyDescent="0.35">
      <c r="B379" s="30"/>
      <c r="C379" s="30"/>
      <c r="D379" s="30"/>
      <c r="E379" s="30"/>
      <c r="F379" s="258"/>
      <c r="G379" s="30"/>
      <c r="H379" s="482"/>
      <c r="I379" s="482"/>
      <c r="J379" s="482"/>
      <c r="K379" s="482"/>
      <c r="L379" s="483"/>
      <c r="M379" s="484"/>
      <c r="N379" s="484"/>
      <c r="O379" s="484"/>
      <c r="P379" s="484"/>
      <c r="Q379" s="484"/>
      <c r="R379" s="484"/>
      <c r="S379" s="484"/>
      <c r="T379" s="484"/>
      <c r="U379" s="484"/>
      <c r="V379" s="484"/>
      <c r="W379" s="484"/>
      <c r="X379" s="484"/>
      <c r="Y379" s="484"/>
      <c r="Z379" s="484"/>
      <c r="AA379" s="484"/>
      <c r="AB379" s="484"/>
      <c r="AC379" s="484"/>
      <c r="AD379" s="484"/>
      <c r="AE379" s="484"/>
      <c r="AF379" s="484"/>
      <c r="AG379" s="484"/>
      <c r="AH379" s="484"/>
      <c r="AI379" s="484"/>
      <c r="AJ379" s="484"/>
      <c r="AK379" s="484"/>
    </row>
    <row r="380" spans="2:37" s="64" customFormat="1" x14ac:dyDescent="0.35">
      <c r="B380" s="30"/>
      <c r="C380" s="30"/>
      <c r="D380" s="30"/>
      <c r="E380" s="30"/>
      <c r="F380" s="258"/>
      <c r="H380" s="487"/>
      <c r="I380" s="487"/>
      <c r="J380" s="487"/>
      <c r="K380" s="487"/>
      <c r="L380" s="483"/>
      <c r="M380" s="484"/>
      <c r="N380" s="484"/>
      <c r="O380" s="484"/>
      <c r="P380" s="484"/>
      <c r="Q380" s="484"/>
      <c r="R380" s="484"/>
      <c r="S380" s="484"/>
      <c r="T380" s="484"/>
      <c r="U380" s="484"/>
      <c r="V380" s="484"/>
      <c r="W380" s="484"/>
      <c r="X380" s="484"/>
      <c r="Y380" s="484"/>
      <c r="Z380" s="484"/>
      <c r="AA380" s="484"/>
      <c r="AB380" s="484"/>
      <c r="AC380" s="484"/>
      <c r="AD380" s="484"/>
      <c r="AE380" s="484"/>
      <c r="AF380" s="484"/>
      <c r="AG380" s="484"/>
      <c r="AH380" s="484"/>
      <c r="AI380" s="484"/>
      <c r="AJ380" s="484"/>
      <c r="AK380" s="484"/>
    </row>
    <row r="381" spans="2:37" s="64" customFormat="1" x14ac:dyDescent="0.35">
      <c r="B381" s="30"/>
      <c r="C381" s="30"/>
      <c r="D381" s="30"/>
      <c r="E381" s="30"/>
      <c r="F381" s="258"/>
      <c r="G381" s="30"/>
      <c r="H381" s="482"/>
      <c r="I381" s="482"/>
      <c r="J381" s="482"/>
      <c r="K381" s="482"/>
      <c r="L381" s="483"/>
      <c r="M381" s="484"/>
      <c r="N381" s="484"/>
      <c r="O381" s="484"/>
      <c r="P381" s="484"/>
      <c r="Q381" s="484"/>
      <c r="R381" s="484"/>
      <c r="S381" s="484"/>
      <c r="T381" s="484"/>
      <c r="U381" s="484"/>
      <c r="V381" s="484"/>
      <c r="W381" s="484"/>
      <c r="X381" s="484"/>
      <c r="Y381" s="484"/>
      <c r="Z381" s="484"/>
      <c r="AA381" s="484"/>
      <c r="AB381" s="484"/>
      <c r="AC381" s="484"/>
      <c r="AD381" s="484"/>
      <c r="AE381" s="484"/>
      <c r="AF381" s="484"/>
      <c r="AG381" s="484"/>
      <c r="AH381" s="484"/>
      <c r="AI381" s="484"/>
      <c r="AJ381" s="484"/>
      <c r="AK381" s="484"/>
    </row>
    <row r="382" spans="2:37" s="64" customFormat="1" x14ac:dyDescent="0.35">
      <c r="B382" s="30"/>
      <c r="C382" s="30"/>
      <c r="D382" s="30"/>
      <c r="E382" s="30"/>
      <c r="F382" s="258"/>
      <c r="H382" s="487"/>
      <c r="I382" s="487"/>
      <c r="J382" s="487"/>
      <c r="K382" s="487"/>
      <c r="L382" s="483"/>
      <c r="M382" s="484"/>
      <c r="N382" s="484"/>
      <c r="O382" s="484"/>
      <c r="P382" s="484"/>
      <c r="Q382" s="484"/>
      <c r="R382" s="484"/>
      <c r="S382" s="484"/>
      <c r="T382" s="484"/>
      <c r="U382" s="484"/>
      <c r="V382" s="484"/>
      <c r="W382" s="484"/>
      <c r="X382" s="484"/>
      <c r="Y382" s="484"/>
      <c r="Z382" s="484"/>
      <c r="AA382" s="484"/>
      <c r="AB382" s="484"/>
      <c r="AC382" s="484"/>
      <c r="AD382" s="484"/>
      <c r="AE382" s="484"/>
      <c r="AF382" s="484"/>
      <c r="AG382" s="484"/>
      <c r="AH382" s="484"/>
      <c r="AI382" s="484"/>
      <c r="AJ382" s="484"/>
      <c r="AK382" s="484"/>
    </row>
    <row r="383" spans="2:37" s="64" customFormat="1" x14ac:dyDescent="0.35">
      <c r="B383" s="30"/>
      <c r="C383" s="30"/>
      <c r="D383" s="30"/>
      <c r="E383" s="30"/>
      <c r="F383" s="258"/>
      <c r="G383" s="30"/>
      <c r="H383" s="482"/>
      <c r="I383" s="482"/>
      <c r="J383" s="482"/>
      <c r="K383" s="482"/>
      <c r="L383" s="483"/>
      <c r="M383" s="484"/>
      <c r="N383" s="484"/>
      <c r="O383" s="484"/>
      <c r="P383" s="484"/>
      <c r="Q383" s="484"/>
      <c r="R383" s="484"/>
      <c r="S383" s="484"/>
      <c r="T383" s="484"/>
      <c r="U383" s="484"/>
      <c r="V383" s="484"/>
      <c r="W383" s="484"/>
      <c r="X383" s="484"/>
      <c r="Y383" s="484"/>
      <c r="Z383" s="484"/>
      <c r="AA383" s="484"/>
      <c r="AB383" s="484"/>
      <c r="AC383" s="484"/>
      <c r="AD383" s="484"/>
      <c r="AE383" s="484"/>
      <c r="AF383" s="484"/>
      <c r="AG383" s="484"/>
      <c r="AH383" s="484"/>
      <c r="AI383" s="484"/>
      <c r="AJ383" s="484"/>
      <c r="AK383" s="484"/>
    </row>
    <row r="384" spans="2:37" s="64" customFormat="1" x14ac:dyDescent="0.35">
      <c r="B384" s="30"/>
      <c r="C384" s="30"/>
      <c r="D384" s="30"/>
      <c r="E384" s="30"/>
      <c r="F384" s="258"/>
      <c r="H384" s="487"/>
      <c r="I384" s="487"/>
      <c r="J384" s="487"/>
      <c r="K384" s="487"/>
      <c r="L384" s="483"/>
      <c r="M384" s="484"/>
      <c r="N384" s="484"/>
      <c r="O384" s="484"/>
      <c r="P384" s="484"/>
      <c r="Q384" s="484"/>
      <c r="R384" s="484"/>
      <c r="S384" s="484"/>
      <c r="T384" s="484"/>
      <c r="U384" s="484"/>
      <c r="V384" s="484"/>
      <c r="W384" s="484"/>
      <c r="X384" s="484"/>
      <c r="Y384" s="484"/>
      <c r="Z384" s="484"/>
      <c r="AA384" s="484"/>
      <c r="AB384" s="484"/>
      <c r="AC384" s="484"/>
      <c r="AD384" s="484"/>
      <c r="AE384" s="484"/>
      <c r="AF384" s="484"/>
      <c r="AG384" s="484"/>
      <c r="AH384" s="484"/>
      <c r="AI384" s="484"/>
      <c r="AJ384" s="484"/>
      <c r="AK384" s="484"/>
    </row>
    <row r="385" spans="2:37" s="64" customFormat="1" x14ac:dyDescent="0.35">
      <c r="B385" s="30"/>
      <c r="C385" s="30"/>
      <c r="D385" s="30"/>
      <c r="E385" s="30"/>
      <c r="F385" s="258"/>
      <c r="G385" s="30"/>
      <c r="H385" s="482"/>
      <c r="I385" s="482"/>
      <c r="J385" s="482"/>
      <c r="K385" s="482"/>
      <c r="L385" s="483"/>
      <c r="M385" s="484"/>
      <c r="N385" s="484"/>
      <c r="O385" s="484"/>
      <c r="P385" s="484"/>
      <c r="Q385" s="484"/>
      <c r="R385" s="484"/>
      <c r="S385" s="484"/>
      <c r="T385" s="484"/>
      <c r="U385" s="484"/>
      <c r="V385" s="484"/>
      <c r="W385" s="484"/>
      <c r="X385" s="484"/>
      <c r="Y385" s="484"/>
      <c r="Z385" s="484"/>
      <c r="AA385" s="484"/>
      <c r="AB385" s="484"/>
      <c r="AC385" s="484"/>
      <c r="AD385" s="484"/>
      <c r="AE385" s="484"/>
      <c r="AF385" s="484"/>
      <c r="AG385" s="484"/>
      <c r="AH385" s="484"/>
      <c r="AI385" s="484"/>
      <c r="AJ385" s="484"/>
      <c r="AK385" s="484"/>
    </row>
    <row r="386" spans="2:37" s="64" customFormat="1" x14ac:dyDescent="0.35">
      <c r="B386" s="30"/>
      <c r="C386" s="30"/>
      <c r="D386" s="30"/>
      <c r="E386" s="30"/>
      <c r="F386" s="258"/>
      <c r="H386" s="487"/>
      <c r="I386" s="487"/>
      <c r="J386" s="487"/>
      <c r="K386" s="487"/>
      <c r="L386" s="483"/>
      <c r="M386" s="484"/>
      <c r="N386" s="484"/>
      <c r="O386" s="484"/>
      <c r="P386" s="484"/>
      <c r="Q386" s="484"/>
      <c r="R386" s="484"/>
      <c r="S386" s="484"/>
      <c r="T386" s="484"/>
      <c r="U386" s="484"/>
      <c r="V386" s="484"/>
      <c r="W386" s="484"/>
      <c r="X386" s="484"/>
      <c r="Y386" s="484"/>
      <c r="Z386" s="484"/>
      <c r="AA386" s="484"/>
      <c r="AB386" s="484"/>
      <c r="AC386" s="484"/>
      <c r="AD386" s="484"/>
      <c r="AE386" s="484"/>
      <c r="AF386" s="484"/>
      <c r="AG386" s="484"/>
      <c r="AH386" s="484"/>
      <c r="AI386" s="484"/>
      <c r="AJ386" s="484"/>
      <c r="AK386" s="484"/>
    </row>
    <row r="387" spans="2:37" s="64" customFormat="1" x14ac:dyDescent="0.35">
      <c r="B387" s="30"/>
      <c r="C387" s="30"/>
      <c r="D387" s="30"/>
      <c r="E387" s="30"/>
      <c r="F387" s="258"/>
      <c r="G387" s="30"/>
      <c r="H387" s="482"/>
      <c r="I387" s="482"/>
      <c r="J387" s="482"/>
      <c r="K387" s="482"/>
      <c r="L387" s="483"/>
      <c r="M387" s="484"/>
      <c r="N387" s="484"/>
      <c r="O387" s="484"/>
      <c r="P387" s="484"/>
      <c r="Q387" s="484"/>
      <c r="R387" s="484"/>
      <c r="S387" s="484"/>
      <c r="T387" s="484"/>
      <c r="U387" s="484"/>
      <c r="V387" s="484"/>
      <c r="W387" s="484"/>
      <c r="X387" s="484"/>
      <c r="Y387" s="484"/>
      <c r="Z387" s="484"/>
      <c r="AA387" s="484"/>
      <c r="AB387" s="484"/>
      <c r="AC387" s="484"/>
      <c r="AD387" s="484"/>
      <c r="AE387" s="484"/>
      <c r="AF387" s="484"/>
      <c r="AG387" s="484"/>
      <c r="AH387" s="484"/>
      <c r="AI387" s="484"/>
      <c r="AJ387" s="484"/>
      <c r="AK387" s="484"/>
    </row>
    <row r="388" spans="2:37" s="64" customFormat="1" x14ac:dyDescent="0.35">
      <c r="B388" s="30"/>
      <c r="C388" s="30"/>
      <c r="D388" s="30"/>
      <c r="E388" s="30"/>
      <c r="F388" s="258"/>
      <c r="H388" s="487"/>
      <c r="I388" s="487"/>
      <c r="J388" s="487"/>
      <c r="K388" s="487"/>
      <c r="L388" s="483"/>
      <c r="M388" s="484"/>
      <c r="N388" s="484"/>
      <c r="O388" s="484"/>
      <c r="P388" s="484"/>
      <c r="Q388" s="484"/>
      <c r="R388" s="484"/>
      <c r="S388" s="484"/>
      <c r="T388" s="484"/>
      <c r="U388" s="484"/>
      <c r="V388" s="484"/>
      <c r="W388" s="484"/>
      <c r="X388" s="484"/>
      <c r="Y388" s="484"/>
      <c r="Z388" s="484"/>
      <c r="AA388" s="484"/>
      <c r="AB388" s="484"/>
      <c r="AC388" s="484"/>
      <c r="AD388" s="484"/>
      <c r="AE388" s="484"/>
      <c r="AF388" s="484"/>
      <c r="AG388" s="484"/>
      <c r="AH388" s="484"/>
      <c r="AI388" s="484"/>
      <c r="AJ388" s="484"/>
      <c r="AK388" s="484"/>
    </row>
    <row r="389" spans="2:37" s="64" customFormat="1" x14ac:dyDescent="0.35">
      <c r="B389" s="30"/>
      <c r="C389" s="30"/>
      <c r="D389" s="30"/>
      <c r="E389" s="30"/>
      <c r="F389" s="258"/>
      <c r="G389" s="30"/>
      <c r="H389" s="482"/>
      <c r="I389" s="482"/>
      <c r="J389" s="482"/>
      <c r="K389" s="482"/>
      <c r="L389" s="483"/>
      <c r="M389" s="484"/>
      <c r="N389" s="484"/>
      <c r="O389" s="484"/>
      <c r="P389" s="484"/>
      <c r="Q389" s="484"/>
      <c r="R389" s="484"/>
      <c r="S389" s="484"/>
      <c r="T389" s="484"/>
      <c r="U389" s="484"/>
      <c r="V389" s="484"/>
      <c r="W389" s="484"/>
      <c r="X389" s="484"/>
      <c r="Y389" s="484"/>
      <c r="Z389" s="484"/>
      <c r="AA389" s="484"/>
      <c r="AB389" s="484"/>
      <c r="AC389" s="484"/>
      <c r="AD389" s="484"/>
      <c r="AE389" s="484"/>
      <c r="AF389" s="484"/>
      <c r="AG389" s="484"/>
      <c r="AH389" s="484"/>
      <c r="AI389" s="484"/>
      <c r="AJ389" s="484"/>
      <c r="AK389" s="484"/>
    </row>
    <row r="390" spans="2:37" s="64" customFormat="1" x14ac:dyDescent="0.35">
      <c r="B390" s="30"/>
      <c r="C390" s="30"/>
      <c r="D390" s="30"/>
      <c r="E390" s="30"/>
      <c r="F390" s="258"/>
      <c r="H390" s="487"/>
      <c r="I390" s="487"/>
      <c r="J390" s="487"/>
      <c r="K390" s="487"/>
      <c r="L390" s="483"/>
      <c r="M390" s="484"/>
      <c r="N390" s="484"/>
      <c r="O390" s="484"/>
      <c r="P390" s="484"/>
      <c r="Q390" s="484"/>
      <c r="R390" s="484"/>
      <c r="S390" s="484"/>
      <c r="T390" s="484"/>
      <c r="U390" s="484"/>
      <c r="V390" s="484"/>
      <c r="W390" s="484"/>
      <c r="X390" s="484"/>
      <c r="Y390" s="484"/>
      <c r="Z390" s="484"/>
      <c r="AA390" s="484"/>
      <c r="AB390" s="484"/>
      <c r="AC390" s="484"/>
      <c r="AD390" s="484"/>
      <c r="AE390" s="484"/>
      <c r="AF390" s="484"/>
      <c r="AG390" s="484"/>
      <c r="AH390" s="484"/>
      <c r="AI390" s="484"/>
      <c r="AJ390" s="484"/>
      <c r="AK390" s="484"/>
    </row>
    <row r="391" spans="2:37" s="64" customFormat="1" x14ac:dyDescent="0.35">
      <c r="B391" s="30"/>
      <c r="C391" s="30"/>
      <c r="D391" s="30"/>
      <c r="E391" s="30"/>
      <c r="F391" s="258"/>
      <c r="G391" s="30"/>
      <c r="H391" s="482"/>
      <c r="I391" s="482"/>
      <c r="J391" s="482"/>
      <c r="K391" s="482"/>
      <c r="L391" s="483"/>
      <c r="M391" s="484"/>
      <c r="N391" s="484"/>
      <c r="O391" s="484"/>
      <c r="P391" s="484"/>
      <c r="Q391" s="484"/>
      <c r="R391" s="484"/>
      <c r="S391" s="484"/>
      <c r="T391" s="484"/>
      <c r="U391" s="484"/>
      <c r="V391" s="484"/>
      <c r="W391" s="484"/>
      <c r="X391" s="484"/>
      <c r="Y391" s="484"/>
      <c r="Z391" s="484"/>
      <c r="AA391" s="484"/>
      <c r="AB391" s="484"/>
      <c r="AC391" s="484"/>
      <c r="AD391" s="484"/>
      <c r="AE391" s="484"/>
      <c r="AF391" s="484"/>
      <c r="AG391" s="484"/>
      <c r="AH391" s="484"/>
      <c r="AI391" s="484"/>
      <c r="AJ391" s="484"/>
      <c r="AK391" s="484"/>
    </row>
    <row r="392" spans="2:37" s="64" customFormat="1" x14ac:dyDescent="0.35">
      <c r="B392" s="30"/>
      <c r="C392" s="30"/>
      <c r="D392" s="30"/>
      <c r="E392" s="30"/>
      <c r="F392" s="258"/>
      <c r="H392" s="487"/>
      <c r="I392" s="487"/>
      <c r="J392" s="487"/>
      <c r="K392" s="487"/>
      <c r="L392" s="483"/>
      <c r="M392" s="484"/>
      <c r="N392" s="484"/>
      <c r="O392" s="484"/>
      <c r="P392" s="484"/>
      <c r="Q392" s="484"/>
      <c r="R392" s="484"/>
      <c r="S392" s="484"/>
      <c r="T392" s="484"/>
      <c r="U392" s="484"/>
      <c r="V392" s="484"/>
      <c r="W392" s="484"/>
      <c r="X392" s="484"/>
      <c r="Y392" s="484"/>
      <c r="Z392" s="484"/>
      <c r="AA392" s="484"/>
      <c r="AB392" s="484"/>
      <c r="AC392" s="484"/>
      <c r="AD392" s="484"/>
      <c r="AE392" s="484"/>
      <c r="AF392" s="484"/>
      <c r="AG392" s="484"/>
      <c r="AH392" s="484"/>
      <c r="AI392" s="484"/>
      <c r="AJ392" s="484"/>
      <c r="AK392" s="484"/>
    </row>
    <row r="393" spans="2:37" s="64" customFormat="1" x14ac:dyDescent="0.35">
      <c r="B393" s="30"/>
      <c r="C393" s="30"/>
      <c r="D393" s="30"/>
      <c r="E393" s="30"/>
      <c r="F393" s="258"/>
      <c r="G393" s="30"/>
      <c r="H393" s="482"/>
      <c r="I393" s="482"/>
      <c r="J393" s="482"/>
      <c r="K393" s="482"/>
      <c r="L393" s="483"/>
      <c r="M393" s="484"/>
      <c r="N393" s="484"/>
      <c r="O393" s="484"/>
      <c r="P393" s="484"/>
      <c r="Q393" s="484"/>
      <c r="R393" s="484"/>
      <c r="S393" s="484"/>
      <c r="T393" s="484"/>
      <c r="U393" s="484"/>
      <c r="V393" s="484"/>
      <c r="W393" s="484"/>
      <c r="X393" s="484"/>
      <c r="Y393" s="484"/>
      <c r="Z393" s="484"/>
      <c r="AA393" s="484"/>
      <c r="AB393" s="484"/>
      <c r="AC393" s="484"/>
      <c r="AD393" s="484"/>
      <c r="AE393" s="484"/>
      <c r="AF393" s="484"/>
      <c r="AG393" s="484"/>
      <c r="AH393" s="484"/>
      <c r="AI393" s="484"/>
      <c r="AJ393" s="484"/>
      <c r="AK393" s="484"/>
    </row>
    <row r="394" spans="2:37" s="64" customFormat="1" x14ac:dyDescent="0.35">
      <c r="B394" s="30"/>
      <c r="C394" s="30"/>
      <c r="D394" s="30"/>
      <c r="E394" s="30"/>
      <c r="F394" s="258"/>
      <c r="H394" s="487"/>
      <c r="I394" s="487"/>
      <c r="J394" s="487"/>
      <c r="K394" s="487"/>
      <c r="L394" s="483"/>
      <c r="M394" s="484"/>
      <c r="N394" s="484"/>
      <c r="O394" s="484"/>
      <c r="P394" s="484"/>
      <c r="Q394" s="484"/>
      <c r="R394" s="484"/>
      <c r="S394" s="484"/>
      <c r="T394" s="484"/>
      <c r="U394" s="484"/>
      <c r="V394" s="484"/>
      <c r="W394" s="484"/>
      <c r="X394" s="484"/>
      <c r="Y394" s="484"/>
      <c r="Z394" s="484"/>
      <c r="AA394" s="484"/>
      <c r="AB394" s="484"/>
      <c r="AC394" s="484"/>
      <c r="AD394" s="484"/>
      <c r="AE394" s="484"/>
      <c r="AF394" s="484"/>
      <c r="AG394" s="484"/>
      <c r="AH394" s="484"/>
      <c r="AI394" s="484"/>
      <c r="AJ394" s="484"/>
      <c r="AK394" s="484"/>
    </row>
    <row r="395" spans="2:37" s="64" customFormat="1" x14ac:dyDescent="0.35">
      <c r="B395" s="30"/>
      <c r="C395" s="30"/>
      <c r="D395" s="30"/>
      <c r="E395" s="30"/>
      <c r="F395" s="258"/>
      <c r="G395" s="30"/>
      <c r="H395" s="482"/>
      <c r="I395" s="482"/>
      <c r="J395" s="482"/>
      <c r="K395" s="482"/>
      <c r="L395" s="483"/>
      <c r="M395" s="484"/>
      <c r="N395" s="484"/>
      <c r="O395" s="484"/>
      <c r="P395" s="484"/>
      <c r="Q395" s="484"/>
      <c r="R395" s="484"/>
      <c r="S395" s="484"/>
      <c r="T395" s="484"/>
      <c r="U395" s="484"/>
      <c r="V395" s="484"/>
      <c r="W395" s="484"/>
      <c r="X395" s="484"/>
      <c r="Y395" s="484"/>
      <c r="Z395" s="484"/>
      <c r="AA395" s="484"/>
      <c r="AB395" s="484"/>
      <c r="AC395" s="484"/>
      <c r="AD395" s="484"/>
      <c r="AE395" s="484"/>
      <c r="AF395" s="484"/>
      <c r="AG395" s="484"/>
      <c r="AH395" s="484"/>
      <c r="AI395" s="484"/>
      <c r="AJ395" s="484"/>
      <c r="AK395" s="484"/>
    </row>
    <row r="396" spans="2:37" s="64" customFormat="1" x14ac:dyDescent="0.35">
      <c r="B396" s="30"/>
      <c r="C396" s="30"/>
      <c r="D396" s="30"/>
      <c r="E396" s="30"/>
      <c r="F396" s="258"/>
      <c r="H396" s="487"/>
      <c r="I396" s="487"/>
      <c r="J396" s="487"/>
      <c r="K396" s="487"/>
      <c r="L396" s="483"/>
      <c r="M396" s="484"/>
      <c r="N396" s="484"/>
      <c r="O396" s="484"/>
      <c r="P396" s="484"/>
      <c r="Q396" s="484"/>
      <c r="R396" s="484"/>
      <c r="S396" s="484"/>
      <c r="T396" s="484"/>
      <c r="U396" s="484"/>
      <c r="V396" s="484"/>
      <c r="W396" s="484"/>
      <c r="X396" s="484"/>
      <c r="Y396" s="484"/>
      <c r="Z396" s="484"/>
      <c r="AA396" s="484"/>
      <c r="AB396" s="484"/>
      <c r="AC396" s="484"/>
      <c r="AD396" s="484"/>
      <c r="AE396" s="484"/>
      <c r="AF396" s="484"/>
      <c r="AG396" s="484"/>
      <c r="AH396" s="484"/>
      <c r="AI396" s="484"/>
      <c r="AJ396" s="484"/>
      <c r="AK396" s="484"/>
    </row>
    <row r="397" spans="2:37" s="64" customFormat="1" x14ac:dyDescent="0.35">
      <c r="B397" s="30"/>
      <c r="C397" s="30"/>
      <c r="D397" s="30"/>
      <c r="E397" s="30"/>
      <c r="F397" s="258"/>
      <c r="G397" s="30"/>
      <c r="H397" s="482"/>
      <c r="I397" s="482"/>
      <c r="J397" s="482"/>
      <c r="K397" s="482"/>
      <c r="L397" s="483"/>
      <c r="M397" s="484"/>
      <c r="N397" s="484"/>
      <c r="O397" s="484"/>
      <c r="P397" s="484"/>
      <c r="Q397" s="484"/>
      <c r="R397" s="484"/>
      <c r="S397" s="484"/>
      <c r="T397" s="484"/>
      <c r="U397" s="484"/>
      <c r="V397" s="484"/>
      <c r="W397" s="484"/>
      <c r="X397" s="484"/>
      <c r="Y397" s="484"/>
      <c r="Z397" s="484"/>
      <c r="AA397" s="484"/>
      <c r="AB397" s="484"/>
      <c r="AC397" s="484"/>
      <c r="AD397" s="484"/>
      <c r="AE397" s="484"/>
      <c r="AF397" s="484"/>
      <c r="AG397" s="484"/>
      <c r="AH397" s="484"/>
      <c r="AI397" s="484"/>
      <c r="AJ397" s="484"/>
      <c r="AK397" s="484"/>
    </row>
    <row r="398" spans="2:37" s="64" customFormat="1" x14ac:dyDescent="0.35">
      <c r="B398" s="30"/>
      <c r="C398" s="30"/>
      <c r="D398" s="30"/>
      <c r="E398" s="30"/>
      <c r="F398" s="258"/>
      <c r="H398" s="487"/>
      <c r="I398" s="487"/>
      <c r="J398" s="487"/>
      <c r="K398" s="487"/>
      <c r="L398" s="483"/>
      <c r="M398" s="484"/>
      <c r="N398" s="484"/>
      <c r="O398" s="484"/>
      <c r="P398" s="484"/>
      <c r="Q398" s="484"/>
      <c r="R398" s="484"/>
      <c r="S398" s="484"/>
      <c r="T398" s="484"/>
      <c r="U398" s="484"/>
      <c r="V398" s="484"/>
      <c r="W398" s="484"/>
      <c r="X398" s="484"/>
      <c r="Y398" s="484"/>
      <c r="Z398" s="484"/>
      <c r="AA398" s="484"/>
      <c r="AB398" s="484"/>
      <c r="AC398" s="484"/>
      <c r="AD398" s="484"/>
      <c r="AE398" s="484"/>
      <c r="AF398" s="484"/>
      <c r="AG398" s="484"/>
      <c r="AH398" s="484"/>
      <c r="AI398" s="484"/>
      <c r="AJ398" s="484"/>
      <c r="AK398" s="484"/>
    </row>
    <row r="399" spans="2:37" s="64" customFormat="1" x14ac:dyDescent="0.35">
      <c r="B399" s="30"/>
      <c r="C399" s="30"/>
      <c r="D399" s="30"/>
      <c r="E399" s="30"/>
      <c r="F399" s="258"/>
      <c r="G399" s="30"/>
      <c r="H399" s="482"/>
      <c r="I399" s="482"/>
      <c r="J399" s="482"/>
      <c r="K399" s="482"/>
      <c r="L399" s="483"/>
      <c r="M399" s="484"/>
      <c r="N399" s="484"/>
      <c r="O399" s="484"/>
      <c r="P399" s="484"/>
      <c r="Q399" s="484"/>
      <c r="R399" s="484"/>
      <c r="S399" s="484"/>
      <c r="T399" s="484"/>
      <c r="U399" s="484"/>
      <c r="V399" s="484"/>
      <c r="W399" s="484"/>
      <c r="X399" s="484"/>
      <c r="Y399" s="484"/>
      <c r="Z399" s="484"/>
      <c r="AA399" s="484"/>
      <c r="AB399" s="484"/>
      <c r="AC399" s="484"/>
      <c r="AD399" s="484"/>
      <c r="AE399" s="484"/>
      <c r="AF399" s="484"/>
      <c r="AG399" s="484"/>
      <c r="AH399" s="484"/>
      <c r="AI399" s="484"/>
      <c r="AJ399" s="484"/>
      <c r="AK399" s="484"/>
    </row>
    <row r="400" spans="2:37" s="64" customFormat="1" x14ac:dyDescent="0.35">
      <c r="B400" s="30"/>
      <c r="C400" s="30"/>
      <c r="D400" s="30"/>
      <c r="E400" s="30"/>
      <c r="F400" s="258"/>
      <c r="H400" s="487"/>
      <c r="I400" s="487"/>
      <c r="J400" s="487"/>
      <c r="K400" s="487"/>
      <c r="L400" s="483"/>
      <c r="M400" s="484"/>
      <c r="N400" s="484"/>
      <c r="O400" s="484"/>
      <c r="P400" s="484"/>
      <c r="Q400" s="484"/>
      <c r="R400" s="484"/>
      <c r="S400" s="484"/>
      <c r="T400" s="484"/>
      <c r="U400" s="484"/>
      <c r="V400" s="484"/>
      <c r="W400" s="484"/>
      <c r="X400" s="484"/>
      <c r="Y400" s="484"/>
      <c r="Z400" s="484"/>
      <c r="AA400" s="484"/>
      <c r="AB400" s="484"/>
      <c r="AC400" s="484"/>
      <c r="AD400" s="484"/>
      <c r="AE400" s="484"/>
      <c r="AF400" s="484"/>
      <c r="AG400" s="484"/>
      <c r="AH400" s="484"/>
      <c r="AI400" s="484"/>
      <c r="AJ400" s="484"/>
      <c r="AK400" s="484"/>
    </row>
    <row r="401" spans="2:37" s="64" customFormat="1" x14ac:dyDescent="0.35">
      <c r="B401" s="30"/>
      <c r="C401" s="30"/>
      <c r="D401" s="30"/>
      <c r="E401" s="30"/>
      <c r="F401" s="258"/>
      <c r="G401" s="30"/>
      <c r="H401" s="482"/>
      <c r="I401" s="482"/>
      <c r="J401" s="482"/>
      <c r="K401" s="482"/>
      <c r="L401" s="483"/>
      <c r="M401" s="484"/>
      <c r="N401" s="484"/>
      <c r="O401" s="484"/>
      <c r="P401" s="484"/>
      <c r="Q401" s="484"/>
      <c r="R401" s="484"/>
      <c r="S401" s="484"/>
      <c r="T401" s="484"/>
      <c r="U401" s="484"/>
      <c r="V401" s="484"/>
      <c r="W401" s="484"/>
      <c r="X401" s="484"/>
      <c r="Y401" s="484"/>
      <c r="Z401" s="484"/>
      <c r="AA401" s="484"/>
      <c r="AB401" s="484"/>
      <c r="AC401" s="484"/>
      <c r="AD401" s="484"/>
      <c r="AE401" s="484"/>
      <c r="AF401" s="484"/>
      <c r="AG401" s="484"/>
      <c r="AH401" s="484"/>
      <c r="AI401" s="484"/>
      <c r="AJ401" s="484"/>
      <c r="AK401" s="484"/>
    </row>
    <row r="402" spans="2:37" s="64" customFormat="1" x14ac:dyDescent="0.35">
      <c r="B402" s="30"/>
      <c r="C402" s="30"/>
      <c r="D402" s="30"/>
      <c r="E402" s="30"/>
      <c r="F402" s="258"/>
      <c r="H402" s="487"/>
      <c r="I402" s="487"/>
      <c r="J402" s="487"/>
      <c r="K402" s="487"/>
      <c r="L402" s="483"/>
      <c r="M402" s="484"/>
      <c r="N402" s="484"/>
      <c r="O402" s="484"/>
      <c r="P402" s="484"/>
      <c r="Q402" s="484"/>
      <c r="R402" s="484"/>
      <c r="S402" s="484"/>
      <c r="T402" s="484"/>
      <c r="U402" s="484"/>
      <c r="V402" s="484"/>
      <c r="W402" s="484"/>
      <c r="X402" s="484"/>
      <c r="Y402" s="484"/>
      <c r="Z402" s="484"/>
      <c r="AA402" s="484"/>
      <c r="AB402" s="484"/>
      <c r="AC402" s="484"/>
      <c r="AD402" s="484"/>
      <c r="AE402" s="484"/>
      <c r="AF402" s="484"/>
      <c r="AG402" s="484"/>
      <c r="AH402" s="484"/>
      <c r="AI402" s="484"/>
      <c r="AJ402" s="484"/>
      <c r="AK402" s="484"/>
    </row>
    <row r="403" spans="2:37" s="64" customFormat="1" x14ac:dyDescent="0.35">
      <c r="B403" s="30"/>
      <c r="C403" s="30"/>
      <c r="D403" s="30"/>
      <c r="E403" s="30"/>
      <c r="F403" s="258"/>
      <c r="G403" s="30"/>
      <c r="H403" s="482"/>
      <c r="I403" s="482"/>
      <c r="J403" s="482"/>
      <c r="K403" s="482"/>
      <c r="L403" s="483"/>
      <c r="M403" s="484"/>
      <c r="N403" s="484"/>
      <c r="O403" s="484"/>
      <c r="P403" s="484"/>
      <c r="Q403" s="484"/>
      <c r="R403" s="484"/>
      <c r="S403" s="484"/>
      <c r="T403" s="484"/>
      <c r="U403" s="484"/>
      <c r="V403" s="484"/>
      <c r="W403" s="484"/>
      <c r="X403" s="484"/>
      <c r="Y403" s="484"/>
      <c r="Z403" s="484"/>
      <c r="AA403" s="484"/>
      <c r="AB403" s="484"/>
      <c r="AC403" s="484"/>
      <c r="AD403" s="484"/>
      <c r="AE403" s="484"/>
      <c r="AF403" s="484"/>
      <c r="AG403" s="484"/>
      <c r="AH403" s="484"/>
      <c r="AI403" s="484"/>
      <c r="AJ403" s="484"/>
      <c r="AK403" s="484"/>
    </row>
    <row r="404" spans="2:37" s="64" customFormat="1" x14ac:dyDescent="0.35">
      <c r="B404" s="30"/>
      <c r="C404" s="30"/>
      <c r="D404" s="30"/>
      <c r="E404" s="30"/>
      <c r="F404" s="258"/>
      <c r="H404" s="487"/>
      <c r="I404" s="487"/>
      <c r="J404" s="487"/>
      <c r="K404" s="487"/>
      <c r="L404" s="483"/>
      <c r="M404" s="484"/>
      <c r="N404" s="484"/>
      <c r="O404" s="484"/>
      <c r="P404" s="484"/>
      <c r="Q404" s="484"/>
      <c r="R404" s="484"/>
      <c r="S404" s="484"/>
      <c r="T404" s="484"/>
      <c r="U404" s="484"/>
      <c r="V404" s="484"/>
      <c r="W404" s="484"/>
      <c r="X404" s="484"/>
      <c r="Y404" s="484"/>
      <c r="Z404" s="484"/>
      <c r="AA404" s="484"/>
      <c r="AB404" s="484"/>
      <c r="AC404" s="484"/>
      <c r="AD404" s="484"/>
      <c r="AE404" s="484"/>
      <c r="AF404" s="484"/>
      <c r="AG404" s="484"/>
      <c r="AH404" s="484"/>
      <c r="AI404" s="484"/>
      <c r="AJ404" s="484"/>
      <c r="AK404" s="484"/>
    </row>
    <row r="405" spans="2:37" s="64" customFormat="1" x14ac:dyDescent="0.35">
      <c r="B405" s="30"/>
      <c r="C405" s="30"/>
      <c r="D405" s="30"/>
      <c r="E405" s="30"/>
      <c r="F405" s="258"/>
      <c r="G405" s="30"/>
      <c r="H405" s="482"/>
      <c r="I405" s="482"/>
      <c r="J405" s="482"/>
      <c r="K405" s="482"/>
      <c r="L405" s="483"/>
      <c r="M405" s="484"/>
      <c r="N405" s="484"/>
      <c r="O405" s="484"/>
      <c r="P405" s="484"/>
      <c r="Q405" s="484"/>
      <c r="R405" s="484"/>
      <c r="S405" s="484"/>
      <c r="T405" s="484"/>
      <c r="U405" s="484"/>
      <c r="V405" s="484"/>
      <c r="W405" s="484"/>
      <c r="X405" s="484"/>
      <c r="Y405" s="484"/>
      <c r="Z405" s="484"/>
      <c r="AA405" s="484"/>
      <c r="AB405" s="484"/>
      <c r="AC405" s="484"/>
      <c r="AD405" s="484"/>
      <c r="AE405" s="484"/>
      <c r="AF405" s="484"/>
      <c r="AG405" s="484"/>
      <c r="AH405" s="484"/>
      <c r="AI405" s="484"/>
      <c r="AJ405" s="484"/>
      <c r="AK405" s="484"/>
    </row>
    <row r="406" spans="2:37" s="64" customFormat="1" x14ac:dyDescent="0.35">
      <c r="B406" s="30"/>
      <c r="C406" s="30"/>
      <c r="D406" s="30"/>
      <c r="E406" s="30"/>
      <c r="F406" s="258"/>
      <c r="H406" s="487"/>
      <c r="I406" s="487"/>
      <c r="J406" s="487"/>
      <c r="K406" s="487"/>
      <c r="L406" s="483"/>
      <c r="M406" s="484"/>
      <c r="N406" s="484"/>
      <c r="O406" s="484"/>
      <c r="P406" s="484"/>
      <c r="Q406" s="484"/>
      <c r="R406" s="484"/>
      <c r="S406" s="484"/>
      <c r="T406" s="484"/>
      <c r="U406" s="484"/>
      <c r="V406" s="484"/>
      <c r="W406" s="484"/>
      <c r="X406" s="484"/>
      <c r="Y406" s="484"/>
      <c r="Z406" s="484"/>
      <c r="AA406" s="484"/>
      <c r="AB406" s="484"/>
      <c r="AC406" s="484"/>
      <c r="AD406" s="484"/>
      <c r="AE406" s="484"/>
      <c r="AF406" s="484"/>
      <c r="AG406" s="484"/>
      <c r="AH406" s="484"/>
      <c r="AI406" s="484"/>
      <c r="AJ406" s="484"/>
      <c r="AK406" s="484"/>
    </row>
    <row r="407" spans="2:37" s="64" customFormat="1" x14ac:dyDescent="0.35">
      <c r="B407" s="30"/>
      <c r="C407" s="30"/>
      <c r="D407" s="30"/>
      <c r="E407" s="30"/>
      <c r="F407" s="258"/>
      <c r="G407" s="30"/>
      <c r="H407" s="482"/>
      <c r="I407" s="482"/>
      <c r="J407" s="482"/>
      <c r="K407" s="482"/>
      <c r="L407" s="483"/>
      <c r="M407" s="484"/>
      <c r="N407" s="484"/>
      <c r="O407" s="484"/>
      <c r="P407" s="484"/>
      <c r="Q407" s="484"/>
      <c r="R407" s="484"/>
      <c r="S407" s="484"/>
      <c r="T407" s="484"/>
      <c r="U407" s="484"/>
      <c r="V407" s="484"/>
      <c r="W407" s="484"/>
      <c r="X407" s="484"/>
      <c r="Y407" s="484"/>
      <c r="Z407" s="484"/>
      <c r="AA407" s="484"/>
      <c r="AB407" s="484"/>
      <c r="AC407" s="484"/>
      <c r="AD407" s="484"/>
      <c r="AE407" s="484"/>
      <c r="AF407" s="484"/>
      <c r="AG407" s="484"/>
      <c r="AH407" s="484"/>
      <c r="AI407" s="484"/>
      <c r="AJ407" s="484"/>
      <c r="AK407" s="484"/>
    </row>
    <row r="408" spans="2:37" s="64" customFormat="1" x14ac:dyDescent="0.35">
      <c r="B408" s="30"/>
      <c r="C408" s="30"/>
      <c r="D408" s="30"/>
      <c r="E408" s="30"/>
      <c r="F408" s="258"/>
      <c r="H408" s="487"/>
      <c r="I408" s="487"/>
      <c r="J408" s="487"/>
      <c r="K408" s="487"/>
      <c r="L408" s="483"/>
      <c r="M408" s="484"/>
      <c r="N408" s="484"/>
      <c r="O408" s="484"/>
      <c r="P408" s="484"/>
      <c r="Q408" s="484"/>
      <c r="R408" s="484"/>
      <c r="S408" s="484"/>
      <c r="T408" s="484"/>
      <c r="U408" s="484"/>
      <c r="V408" s="484"/>
      <c r="W408" s="484"/>
      <c r="X408" s="484"/>
      <c r="Y408" s="484"/>
      <c r="Z408" s="484"/>
      <c r="AA408" s="484"/>
      <c r="AB408" s="484"/>
      <c r="AC408" s="484"/>
      <c r="AD408" s="484"/>
      <c r="AE408" s="484"/>
      <c r="AF408" s="484"/>
      <c r="AG408" s="484"/>
      <c r="AH408" s="484"/>
      <c r="AI408" s="484"/>
      <c r="AJ408" s="484"/>
      <c r="AK408" s="484"/>
    </row>
    <row r="409" spans="2:37" s="64" customFormat="1" x14ac:dyDescent="0.35">
      <c r="B409" s="30"/>
      <c r="C409" s="30"/>
      <c r="D409" s="30"/>
      <c r="E409" s="30"/>
      <c r="F409" s="258"/>
      <c r="G409" s="30"/>
      <c r="H409" s="482"/>
      <c r="I409" s="482"/>
      <c r="J409" s="482"/>
      <c r="K409" s="482"/>
      <c r="L409" s="483"/>
      <c r="M409" s="484"/>
      <c r="N409" s="484"/>
      <c r="O409" s="484"/>
      <c r="P409" s="484"/>
      <c r="Q409" s="484"/>
      <c r="R409" s="484"/>
      <c r="S409" s="484"/>
      <c r="T409" s="484"/>
      <c r="U409" s="484"/>
      <c r="V409" s="484"/>
      <c r="W409" s="484"/>
      <c r="X409" s="484"/>
      <c r="Y409" s="484"/>
      <c r="Z409" s="484"/>
      <c r="AA409" s="484"/>
      <c r="AB409" s="484"/>
      <c r="AC409" s="484"/>
      <c r="AD409" s="484"/>
      <c r="AE409" s="484"/>
      <c r="AF409" s="484"/>
      <c r="AG409" s="484"/>
      <c r="AH409" s="484"/>
      <c r="AI409" s="484"/>
      <c r="AJ409" s="484"/>
      <c r="AK409" s="484"/>
    </row>
    <row r="410" spans="2:37" s="64" customFormat="1" x14ac:dyDescent="0.35">
      <c r="B410" s="30"/>
      <c r="C410" s="30"/>
      <c r="D410" s="30"/>
      <c r="E410" s="30"/>
      <c r="F410" s="258"/>
      <c r="H410" s="487"/>
      <c r="I410" s="487"/>
      <c r="J410" s="487"/>
      <c r="K410" s="487"/>
      <c r="L410" s="483"/>
      <c r="M410" s="484"/>
      <c r="N410" s="484"/>
      <c r="O410" s="484"/>
      <c r="P410" s="484"/>
      <c r="Q410" s="484"/>
      <c r="R410" s="484"/>
      <c r="S410" s="484"/>
      <c r="T410" s="484"/>
      <c r="U410" s="484"/>
      <c r="V410" s="484"/>
      <c r="W410" s="484"/>
      <c r="X410" s="484"/>
      <c r="Y410" s="484"/>
      <c r="Z410" s="484"/>
      <c r="AA410" s="484"/>
      <c r="AB410" s="484"/>
      <c r="AC410" s="484"/>
      <c r="AD410" s="484"/>
      <c r="AE410" s="484"/>
      <c r="AF410" s="484"/>
      <c r="AG410" s="484"/>
      <c r="AH410" s="484"/>
      <c r="AI410" s="484"/>
      <c r="AJ410" s="484"/>
      <c r="AK410" s="484"/>
    </row>
    <row r="411" spans="2:37" s="64" customFormat="1" x14ac:dyDescent="0.35">
      <c r="B411" s="30"/>
      <c r="C411" s="30"/>
      <c r="D411" s="30"/>
      <c r="E411" s="30"/>
      <c r="F411" s="258"/>
      <c r="G411" s="30"/>
      <c r="H411" s="482"/>
      <c r="I411" s="482"/>
      <c r="J411" s="482"/>
      <c r="K411" s="482"/>
      <c r="L411" s="483"/>
      <c r="M411" s="484"/>
      <c r="N411" s="484"/>
      <c r="O411" s="484"/>
      <c r="P411" s="484"/>
      <c r="Q411" s="484"/>
      <c r="R411" s="484"/>
      <c r="S411" s="484"/>
      <c r="T411" s="484"/>
      <c r="U411" s="484"/>
      <c r="V411" s="484"/>
      <c r="W411" s="484"/>
      <c r="X411" s="484"/>
      <c r="Y411" s="484"/>
      <c r="Z411" s="484"/>
      <c r="AA411" s="484"/>
      <c r="AB411" s="484"/>
      <c r="AC411" s="484"/>
      <c r="AD411" s="484"/>
      <c r="AE411" s="484"/>
      <c r="AF411" s="484"/>
      <c r="AG411" s="484"/>
      <c r="AH411" s="484"/>
      <c r="AI411" s="484"/>
      <c r="AJ411" s="484"/>
      <c r="AK411" s="484"/>
    </row>
    <row r="412" spans="2:37" s="64" customFormat="1" x14ac:dyDescent="0.35">
      <c r="B412" s="30"/>
      <c r="C412" s="30"/>
      <c r="D412" s="30"/>
      <c r="E412" s="30"/>
      <c r="F412" s="258"/>
      <c r="H412" s="487"/>
      <c r="I412" s="487"/>
      <c r="J412" s="487"/>
      <c r="K412" s="487"/>
      <c r="L412" s="483"/>
      <c r="M412" s="484"/>
      <c r="N412" s="484"/>
      <c r="O412" s="484"/>
      <c r="P412" s="484"/>
      <c r="Q412" s="484"/>
      <c r="R412" s="484"/>
      <c r="S412" s="484"/>
      <c r="T412" s="484"/>
      <c r="U412" s="484"/>
      <c r="V412" s="484"/>
      <c r="W412" s="484"/>
      <c r="X412" s="484"/>
      <c r="Y412" s="484"/>
      <c r="Z412" s="484"/>
      <c r="AA412" s="484"/>
      <c r="AB412" s="484"/>
      <c r="AC412" s="484"/>
      <c r="AD412" s="484"/>
      <c r="AE412" s="484"/>
      <c r="AF412" s="484"/>
      <c r="AG412" s="484"/>
      <c r="AH412" s="484"/>
      <c r="AI412" s="484"/>
      <c r="AJ412" s="484"/>
      <c r="AK412" s="484"/>
    </row>
    <row r="413" spans="2:37" s="64" customFormat="1" x14ac:dyDescent="0.35">
      <c r="B413" s="30"/>
      <c r="C413" s="30"/>
      <c r="D413" s="30"/>
      <c r="E413" s="30"/>
      <c r="F413" s="258"/>
      <c r="G413" s="30"/>
      <c r="H413" s="482"/>
      <c r="I413" s="482"/>
      <c r="J413" s="482"/>
      <c r="K413" s="482"/>
      <c r="L413" s="483"/>
      <c r="M413" s="484"/>
      <c r="N413" s="484"/>
      <c r="O413" s="484"/>
      <c r="P413" s="484"/>
      <c r="Q413" s="484"/>
      <c r="R413" s="484"/>
      <c r="S413" s="484"/>
      <c r="T413" s="484"/>
      <c r="U413" s="484"/>
      <c r="V413" s="484"/>
      <c r="W413" s="484"/>
      <c r="X413" s="484"/>
      <c r="Y413" s="484"/>
      <c r="Z413" s="484"/>
      <c r="AA413" s="484"/>
      <c r="AB413" s="484"/>
      <c r="AC413" s="484"/>
      <c r="AD413" s="484"/>
      <c r="AE413" s="484"/>
      <c r="AF413" s="484"/>
      <c r="AG413" s="484"/>
      <c r="AH413" s="484"/>
      <c r="AI413" s="484"/>
      <c r="AJ413" s="484"/>
      <c r="AK413" s="484"/>
    </row>
    <row r="414" spans="2:37" s="64" customFormat="1" x14ac:dyDescent="0.35">
      <c r="B414" s="30"/>
      <c r="C414" s="30"/>
      <c r="D414" s="30"/>
      <c r="E414" s="30"/>
      <c r="F414" s="258"/>
      <c r="H414" s="487"/>
      <c r="I414" s="487"/>
      <c r="J414" s="487"/>
      <c r="K414" s="487"/>
      <c r="L414" s="483"/>
      <c r="M414" s="484"/>
      <c r="N414" s="484"/>
      <c r="O414" s="484"/>
      <c r="P414" s="484"/>
      <c r="Q414" s="484"/>
      <c r="R414" s="484"/>
      <c r="S414" s="484"/>
      <c r="T414" s="484"/>
      <c r="U414" s="484"/>
      <c r="V414" s="484"/>
      <c r="W414" s="484"/>
      <c r="X414" s="484"/>
      <c r="Y414" s="484"/>
      <c r="Z414" s="484"/>
      <c r="AA414" s="484"/>
      <c r="AB414" s="484"/>
      <c r="AC414" s="484"/>
      <c r="AD414" s="484"/>
      <c r="AE414" s="484"/>
      <c r="AF414" s="484"/>
      <c r="AG414" s="484"/>
      <c r="AH414" s="484"/>
      <c r="AI414" s="484"/>
      <c r="AJ414" s="484"/>
      <c r="AK414" s="484"/>
    </row>
    <row r="415" spans="2:37" s="64" customFormat="1" x14ac:dyDescent="0.35">
      <c r="B415" s="30"/>
      <c r="C415" s="30"/>
      <c r="D415" s="30"/>
      <c r="E415" s="30"/>
      <c r="F415" s="258"/>
      <c r="G415" s="30"/>
      <c r="H415" s="482"/>
      <c r="I415" s="482"/>
      <c r="J415" s="482"/>
      <c r="K415" s="482"/>
      <c r="L415" s="483"/>
      <c r="M415" s="484"/>
      <c r="N415" s="484"/>
      <c r="O415" s="484"/>
      <c r="P415" s="484"/>
      <c r="Q415" s="484"/>
      <c r="R415" s="484"/>
      <c r="S415" s="484"/>
      <c r="T415" s="484"/>
      <c r="U415" s="484"/>
      <c r="V415" s="484"/>
      <c r="W415" s="484"/>
      <c r="X415" s="484"/>
      <c r="Y415" s="484"/>
      <c r="Z415" s="484"/>
      <c r="AA415" s="484"/>
      <c r="AB415" s="484"/>
      <c r="AC415" s="484"/>
      <c r="AD415" s="484"/>
      <c r="AE415" s="484"/>
      <c r="AF415" s="484"/>
      <c r="AG415" s="484"/>
      <c r="AH415" s="484"/>
      <c r="AI415" s="484"/>
      <c r="AJ415" s="484"/>
      <c r="AK415" s="484"/>
    </row>
    <row r="416" spans="2:37" s="64" customFormat="1" x14ac:dyDescent="0.35">
      <c r="B416" s="30"/>
      <c r="C416" s="30"/>
      <c r="D416" s="30"/>
      <c r="E416" s="30"/>
      <c r="F416" s="258"/>
      <c r="H416" s="487"/>
      <c r="I416" s="487"/>
      <c r="J416" s="487"/>
      <c r="K416" s="487"/>
      <c r="L416" s="483"/>
      <c r="M416" s="484"/>
      <c r="N416" s="484"/>
      <c r="O416" s="484"/>
      <c r="P416" s="484"/>
      <c r="Q416" s="484"/>
      <c r="R416" s="484"/>
      <c r="S416" s="484"/>
      <c r="T416" s="484"/>
      <c r="U416" s="484"/>
      <c r="V416" s="484"/>
      <c r="W416" s="484"/>
      <c r="X416" s="484"/>
      <c r="Y416" s="484"/>
      <c r="Z416" s="484"/>
      <c r="AA416" s="484"/>
      <c r="AB416" s="484"/>
      <c r="AC416" s="484"/>
      <c r="AD416" s="484"/>
      <c r="AE416" s="484"/>
      <c r="AF416" s="484"/>
      <c r="AG416" s="484"/>
      <c r="AH416" s="484"/>
      <c r="AI416" s="484"/>
      <c r="AJ416" s="484"/>
      <c r="AK416" s="484"/>
    </row>
    <row r="417" spans="2:37" s="64" customFormat="1" x14ac:dyDescent="0.35">
      <c r="B417" s="30"/>
      <c r="C417" s="30"/>
      <c r="D417" s="30"/>
      <c r="E417" s="30"/>
      <c r="F417" s="258"/>
      <c r="G417" s="30"/>
      <c r="H417" s="482"/>
      <c r="I417" s="482"/>
      <c r="J417" s="482"/>
      <c r="K417" s="482"/>
      <c r="L417" s="483"/>
      <c r="M417" s="484"/>
      <c r="N417" s="484"/>
      <c r="O417" s="484"/>
      <c r="P417" s="484"/>
      <c r="Q417" s="484"/>
      <c r="R417" s="484"/>
      <c r="S417" s="484"/>
      <c r="T417" s="484"/>
      <c r="U417" s="484"/>
      <c r="V417" s="484"/>
      <c r="W417" s="484"/>
      <c r="X417" s="484"/>
      <c r="Y417" s="484"/>
      <c r="Z417" s="484"/>
      <c r="AA417" s="484"/>
      <c r="AB417" s="484"/>
      <c r="AC417" s="484"/>
      <c r="AD417" s="484"/>
      <c r="AE417" s="484"/>
      <c r="AF417" s="484"/>
      <c r="AG417" s="484"/>
      <c r="AH417" s="484"/>
      <c r="AI417" s="484"/>
      <c r="AJ417" s="484"/>
      <c r="AK417" s="484"/>
    </row>
    <row r="418" spans="2:37" s="64" customFormat="1" x14ac:dyDescent="0.35">
      <c r="B418" s="30"/>
      <c r="C418" s="30"/>
      <c r="D418" s="30"/>
      <c r="E418" s="30"/>
      <c r="F418" s="258"/>
      <c r="H418" s="487"/>
      <c r="I418" s="487"/>
      <c r="J418" s="487"/>
      <c r="K418" s="487"/>
      <c r="L418" s="483"/>
      <c r="M418" s="484"/>
      <c r="N418" s="484"/>
      <c r="O418" s="484"/>
      <c r="P418" s="484"/>
      <c r="Q418" s="484"/>
      <c r="R418" s="484"/>
      <c r="S418" s="484"/>
      <c r="T418" s="484"/>
      <c r="U418" s="484"/>
      <c r="V418" s="484"/>
      <c r="W418" s="484"/>
      <c r="X418" s="484"/>
      <c r="Y418" s="484"/>
      <c r="Z418" s="484"/>
      <c r="AA418" s="484"/>
      <c r="AB418" s="484"/>
      <c r="AC418" s="484"/>
      <c r="AD418" s="484"/>
      <c r="AE418" s="484"/>
      <c r="AF418" s="484"/>
      <c r="AG418" s="484"/>
      <c r="AH418" s="484"/>
      <c r="AI418" s="484"/>
      <c r="AJ418" s="484"/>
      <c r="AK418" s="484"/>
    </row>
    <row r="419" spans="2:37" s="64" customFormat="1" x14ac:dyDescent="0.35">
      <c r="B419" s="30"/>
      <c r="C419" s="30"/>
      <c r="D419" s="30"/>
      <c r="E419" s="30"/>
      <c r="F419" s="258"/>
      <c r="G419" s="30"/>
      <c r="H419" s="482"/>
      <c r="I419" s="482"/>
      <c r="J419" s="482"/>
      <c r="K419" s="482"/>
      <c r="L419" s="483"/>
      <c r="M419" s="484"/>
      <c r="N419" s="484"/>
      <c r="O419" s="484"/>
      <c r="P419" s="484"/>
      <c r="Q419" s="484"/>
      <c r="R419" s="484"/>
      <c r="S419" s="484"/>
      <c r="T419" s="484"/>
      <c r="U419" s="484"/>
      <c r="V419" s="484"/>
      <c r="W419" s="484"/>
      <c r="X419" s="484"/>
      <c r="Y419" s="484"/>
      <c r="Z419" s="484"/>
      <c r="AA419" s="484"/>
      <c r="AB419" s="484"/>
      <c r="AC419" s="484"/>
      <c r="AD419" s="484"/>
      <c r="AE419" s="484"/>
      <c r="AF419" s="484"/>
      <c r="AG419" s="484"/>
      <c r="AH419" s="484"/>
      <c r="AI419" s="484"/>
      <c r="AJ419" s="484"/>
      <c r="AK419" s="484"/>
    </row>
    <row r="420" spans="2:37" s="64" customFormat="1" x14ac:dyDescent="0.35">
      <c r="B420" s="30"/>
      <c r="C420" s="30"/>
      <c r="D420" s="30"/>
      <c r="E420" s="30"/>
      <c r="F420" s="258"/>
      <c r="H420" s="487"/>
      <c r="I420" s="487"/>
      <c r="J420" s="487"/>
      <c r="K420" s="487"/>
      <c r="L420" s="483"/>
      <c r="M420" s="484"/>
      <c r="N420" s="484"/>
      <c r="O420" s="484"/>
      <c r="P420" s="484"/>
      <c r="Q420" s="484"/>
      <c r="R420" s="484"/>
      <c r="S420" s="484"/>
      <c r="T420" s="484"/>
      <c r="U420" s="484"/>
      <c r="V420" s="484"/>
      <c r="W420" s="484"/>
      <c r="X420" s="484"/>
      <c r="Y420" s="484"/>
      <c r="Z420" s="484"/>
      <c r="AA420" s="484"/>
      <c r="AB420" s="484"/>
      <c r="AC420" s="484"/>
      <c r="AD420" s="484"/>
      <c r="AE420" s="484"/>
      <c r="AF420" s="484"/>
      <c r="AG420" s="484"/>
      <c r="AH420" s="484"/>
      <c r="AI420" s="484"/>
      <c r="AJ420" s="484"/>
      <c r="AK420" s="484"/>
    </row>
    <row r="421" spans="2:37" s="64" customFormat="1" x14ac:dyDescent="0.35">
      <c r="B421" s="30"/>
      <c r="C421" s="30"/>
      <c r="D421" s="30"/>
      <c r="E421" s="30"/>
      <c r="F421" s="258"/>
      <c r="G421" s="30"/>
      <c r="H421" s="482"/>
      <c r="I421" s="482"/>
      <c r="J421" s="482"/>
      <c r="K421" s="482"/>
      <c r="L421" s="483"/>
      <c r="M421" s="484"/>
      <c r="N421" s="484"/>
      <c r="O421" s="484"/>
      <c r="P421" s="484"/>
      <c r="Q421" s="484"/>
      <c r="R421" s="484"/>
      <c r="S421" s="484"/>
      <c r="T421" s="484"/>
      <c r="U421" s="484"/>
      <c r="V421" s="484"/>
      <c r="W421" s="484"/>
      <c r="X421" s="484"/>
      <c r="Y421" s="484"/>
      <c r="Z421" s="484"/>
      <c r="AA421" s="484"/>
      <c r="AB421" s="484"/>
      <c r="AC421" s="484"/>
      <c r="AD421" s="484"/>
      <c r="AE421" s="484"/>
      <c r="AF421" s="484"/>
      <c r="AG421" s="484"/>
      <c r="AH421" s="484"/>
      <c r="AI421" s="484"/>
      <c r="AJ421" s="484"/>
      <c r="AK421" s="484"/>
    </row>
    <row r="422" spans="2:37" s="64" customFormat="1" x14ac:dyDescent="0.35">
      <c r="B422" s="30"/>
      <c r="C422" s="30"/>
      <c r="D422" s="30"/>
      <c r="E422" s="30"/>
      <c r="F422" s="258"/>
      <c r="H422" s="487"/>
      <c r="I422" s="487"/>
      <c r="J422" s="487"/>
      <c r="K422" s="487"/>
      <c r="L422" s="483"/>
      <c r="M422" s="484"/>
      <c r="N422" s="484"/>
      <c r="O422" s="484"/>
      <c r="P422" s="484"/>
      <c r="Q422" s="484"/>
      <c r="R422" s="484"/>
      <c r="S422" s="484"/>
      <c r="T422" s="484"/>
      <c r="U422" s="484"/>
      <c r="V422" s="484"/>
      <c r="W422" s="484"/>
      <c r="X422" s="484"/>
      <c r="Y422" s="484"/>
      <c r="Z422" s="484"/>
      <c r="AA422" s="484"/>
      <c r="AB422" s="484"/>
      <c r="AC422" s="484"/>
      <c r="AD422" s="484"/>
      <c r="AE422" s="484"/>
      <c r="AF422" s="484"/>
      <c r="AG422" s="484"/>
      <c r="AH422" s="484"/>
      <c r="AI422" s="484"/>
      <c r="AJ422" s="484"/>
      <c r="AK422" s="484"/>
    </row>
    <row r="423" spans="2:37" s="64" customFormat="1" x14ac:dyDescent="0.35">
      <c r="B423" s="30"/>
      <c r="C423" s="30"/>
      <c r="D423" s="30"/>
      <c r="E423" s="30"/>
      <c r="F423" s="258"/>
      <c r="G423" s="30"/>
      <c r="H423" s="482"/>
      <c r="I423" s="482"/>
      <c r="J423" s="482"/>
      <c r="K423" s="482"/>
      <c r="L423" s="483"/>
      <c r="M423" s="484"/>
      <c r="N423" s="484"/>
      <c r="O423" s="484"/>
      <c r="P423" s="484"/>
      <c r="Q423" s="484"/>
      <c r="R423" s="484"/>
      <c r="S423" s="484"/>
      <c r="T423" s="484"/>
      <c r="U423" s="484"/>
      <c r="V423" s="484"/>
      <c r="W423" s="484"/>
      <c r="X423" s="484"/>
      <c r="Y423" s="484"/>
      <c r="Z423" s="484"/>
      <c r="AA423" s="484"/>
      <c r="AB423" s="484"/>
      <c r="AC423" s="484"/>
      <c r="AD423" s="484"/>
      <c r="AE423" s="484"/>
      <c r="AF423" s="484"/>
      <c r="AG423" s="484"/>
      <c r="AH423" s="484"/>
      <c r="AI423" s="484"/>
      <c r="AJ423" s="484"/>
      <c r="AK423" s="484"/>
    </row>
    <row r="424" spans="2:37" s="64" customFormat="1" x14ac:dyDescent="0.35">
      <c r="B424" s="30"/>
      <c r="C424" s="30"/>
      <c r="D424" s="30"/>
      <c r="E424" s="30"/>
      <c r="F424" s="258"/>
      <c r="H424" s="487"/>
      <c r="I424" s="487"/>
      <c r="J424" s="487"/>
      <c r="K424" s="487"/>
      <c r="L424" s="483"/>
      <c r="M424" s="484"/>
      <c r="N424" s="484"/>
      <c r="O424" s="484"/>
      <c r="P424" s="484"/>
      <c r="Q424" s="484"/>
      <c r="R424" s="484"/>
      <c r="S424" s="484"/>
      <c r="T424" s="484"/>
      <c r="U424" s="484"/>
      <c r="V424" s="484"/>
      <c r="W424" s="484"/>
      <c r="X424" s="484"/>
      <c r="Y424" s="484"/>
      <c r="Z424" s="484"/>
      <c r="AA424" s="484"/>
      <c r="AB424" s="484"/>
      <c r="AC424" s="484"/>
      <c r="AD424" s="484"/>
      <c r="AE424" s="484"/>
      <c r="AF424" s="484"/>
      <c r="AG424" s="484"/>
      <c r="AH424" s="484"/>
      <c r="AI424" s="484"/>
      <c r="AJ424" s="484"/>
      <c r="AK424" s="484"/>
    </row>
    <row r="425" spans="2:37" s="64" customFormat="1" x14ac:dyDescent="0.35">
      <c r="B425" s="30"/>
      <c r="C425" s="30"/>
      <c r="D425" s="30"/>
      <c r="E425" s="30"/>
      <c r="F425" s="258"/>
      <c r="G425" s="30"/>
      <c r="H425" s="482"/>
      <c r="I425" s="482"/>
      <c r="J425" s="482"/>
      <c r="K425" s="482"/>
      <c r="L425" s="483"/>
      <c r="M425" s="484"/>
      <c r="N425" s="484"/>
      <c r="O425" s="484"/>
      <c r="P425" s="484"/>
      <c r="Q425" s="484"/>
      <c r="R425" s="484"/>
      <c r="S425" s="484"/>
      <c r="T425" s="484"/>
      <c r="U425" s="484"/>
      <c r="V425" s="484"/>
      <c r="W425" s="484"/>
      <c r="X425" s="484"/>
      <c r="Y425" s="484"/>
      <c r="Z425" s="484"/>
      <c r="AA425" s="484"/>
      <c r="AB425" s="484"/>
      <c r="AC425" s="484"/>
      <c r="AD425" s="484"/>
      <c r="AE425" s="484"/>
      <c r="AF425" s="484"/>
      <c r="AG425" s="484"/>
      <c r="AH425" s="484"/>
      <c r="AI425" s="484"/>
      <c r="AJ425" s="484"/>
      <c r="AK425" s="484"/>
    </row>
    <row r="426" spans="2:37" s="64" customFormat="1" x14ac:dyDescent="0.35">
      <c r="B426" s="30"/>
      <c r="C426" s="30"/>
      <c r="D426" s="30"/>
      <c r="E426" s="30"/>
      <c r="F426" s="258"/>
      <c r="H426" s="487"/>
      <c r="I426" s="487"/>
      <c r="J426" s="487"/>
      <c r="K426" s="487"/>
      <c r="L426" s="483"/>
      <c r="M426" s="484"/>
      <c r="N426" s="484"/>
      <c r="O426" s="484"/>
      <c r="P426" s="484"/>
      <c r="Q426" s="484"/>
      <c r="R426" s="484"/>
      <c r="S426" s="484"/>
      <c r="T426" s="484"/>
      <c r="U426" s="484"/>
      <c r="V426" s="484"/>
      <c r="W426" s="484"/>
      <c r="X426" s="484"/>
      <c r="Y426" s="484"/>
      <c r="Z426" s="484"/>
      <c r="AA426" s="484"/>
      <c r="AB426" s="484"/>
      <c r="AC426" s="484"/>
      <c r="AD426" s="484"/>
      <c r="AE426" s="484"/>
      <c r="AF426" s="484"/>
      <c r="AG426" s="484"/>
      <c r="AH426" s="484"/>
      <c r="AI426" s="484"/>
      <c r="AJ426" s="484"/>
      <c r="AK426" s="484"/>
    </row>
    <row r="427" spans="2:37" s="64" customFormat="1" x14ac:dyDescent="0.35">
      <c r="B427" s="30"/>
      <c r="C427" s="30"/>
      <c r="D427" s="30"/>
      <c r="E427" s="30"/>
      <c r="F427" s="258"/>
      <c r="G427" s="30"/>
      <c r="H427" s="482"/>
      <c r="I427" s="482"/>
      <c r="J427" s="482"/>
      <c r="K427" s="482"/>
      <c r="L427" s="483"/>
      <c r="M427" s="484"/>
      <c r="N427" s="484"/>
      <c r="O427" s="484"/>
      <c r="P427" s="484"/>
      <c r="Q427" s="484"/>
      <c r="R427" s="484"/>
      <c r="S427" s="484"/>
      <c r="T427" s="484"/>
      <c r="U427" s="484"/>
      <c r="V427" s="484"/>
      <c r="W427" s="484"/>
      <c r="X427" s="484"/>
      <c r="Y427" s="484"/>
      <c r="Z427" s="484"/>
      <c r="AA427" s="484"/>
      <c r="AB427" s="484"/>
      <c r="AC427" s="484"/>
      <c r="AD427" s="484"/>
      <c r="AE427" s="484"/>
      <c r="AF427" s="484"/>
      <c r="AG427" s="484"/>
      <c r="AH427" s="484"/>
      <c r="AI427" s="484"/>
      <c r="AJ427" s="484"/>
      <c r="AK427" s="484"/>
    </row>
    <row r="428" spans="2:37" s="64" customFormat="1" x14ac:dyDescent="0.35">
      <c r="B428" s="30"/>
      <c r="C428" s="30"/>
      <c r="D428" s="30"/>
      <c r="E428" s="30"/>
      <c r="F428" s="258"/>
      <c r="H428" s="487"/>
      <c r="I428" s="487"/>
      <c r="J428" s="487"/>
      <c r="K428" s="487"/>
      <c r="L428" s="483"/>
      <c r="M428" s="484"/>
      <c r="N428" s="484"/>
      <c r="O428" s="484"/>
      <c r="P428" s="484"/>
      <c r="Q428" s="484"/>
      <c r="R428" s="484"/>
      <c r="S428" s="484"/>
      <c r="T428" s="484"/>
      <c r="U428" s="484"/>
      <c r="V428" s="484"/>
      <c r="W428" s="484"/>
      <c r="X428" s="484"/>
      <c r="Y428" s="484"/>
      <c r="Z428" s="484"/>
      <c r="AA428" s="484"/>
      <c r="AB428" s="484"/>
      <c r="AC428" s="484"/>
      <c r="AD428" s="484"/>
      <c r="AE428" s="484"/>
      <c r="AF428" s="484"/>
      <c r="AG428" s="484"/>
      <c r="AH428" s="484"/>
      <c r="AI428" s="484"/>
      <c r="AJ428" s="484"/>
      <c r="AK428" s="484"/>
    </row>
    <row r="429" spans="2:37" s="64" customFormat="1" x14ac:dyDescent="0.35">
      <c r="B429" s="30"/>
      <c r="C429" s="30"/>
      <c r="D429" s="30"/>
      <c r="E429" s="30"/>
      <c r="F429" s="258"/>
      <c r="G429" s="30"/>
      <c r="H429" s="482"/>
      <c r="I429" s="482"/>
      <c r="J429" s="482"/>
      <c r="K429" s="482"/>
      <c r="L429" s="483"/>
      <c r="M429" s="484"/>
      <c r="N429" s="484"/>
      <c r="O429" s="484"/>
      <c r="P429" s="484"/>
      <c r="Q429" s="484"/>
      <c r="R429" s="484"/>
      <c r="S429" s="484"/>
      <c r="T429" s="484"/>
      <c r="U429" s="484"/>
      <c r="V429" s="484"/>
      <c r="W429" s="484"/>
      <c r="X429" s="484"/>
      <c r="Y429" s="484"/>
      <c r="Z429" s="484"/>
      <c r="AA429" s="484"/>
      <c r="AB429" s="484"/>
      <c r="AC429" s="484"/>
      <c r="AD429" s="484"/>
      <c r="AE429" s="484"/>
      <c r="AF429" s="484"/>
      <c r="AG429" s="484"/>
      <c r="AH429" s="484"/>
      <c r="AI429" s="484"/>
      <c r="AJ429" s="484"/>
      <c r="AK429" s="484"/>
    </row>
    <row r="430" spans="2:37" s="64" customFormat="1" x14ac:dyDescent="0.35">
      <c r="B430" s="30"/>
      <c r="C430" s="30"/>
      <c r="D430" s="30"/>
      <c r="E430" s="30"/>
      <c r="F430" s="258"/>
      <c r="H430" s="487"/>
      <c r="I430" s="487"/>
      <c r="J430" s="487"/>
      <c r="K430" s="487"/>
      <c r="L430" s="483"/>
      <c r="M430" s="484"/>
      <c r="N430" s="484"/>
      <c r="O430" s="484"/>
      <c r="P430" s="484"/>
      <c r="Q430" s="484"/>
      <c r="R430" s="484"/>
      <c r="S430" s="484"/>
      <c r="T430" s="484"/>
      <c r="U430" s="484"/>
      <c r="V430" s="484"/>
      <c r="W430" s="484"/>
      <c r="X430" s="484"/>
      <c r="Y430" s="484"/>
      <c r="Z430" s="484"/>
      <c r="AA430" s="484"/>
      <c r="AB430" s="484"/>
      <c r="AC430" s="484"/>
      <c r="AD430" s="484"/>
      <c r="AE430" s="484"/>
      <c r="AF430" s="484"/>
      <c r="AG430" s="484"/>
      <c r="AH430" s="484"/>
      <c r="AI430" s="484"/>
      <c r="AJ430" s="484"/>
      <c r="AK430" s="484"/>
    </row>
    <row r="431" spans="2:37" s="64" customFormat="1" x14ac:dyDescent="0.35">
      <c r="B431" s="30"/>
      <c r="C431" s="30"/>
      <c r="D431" s="30"/>
      <c r="E431" s="30"/>
      <c r="F431" s="258"/>
      <c r="G431" s="30"/>
      <c r="H431" s="482"/>
      <c r="I431" s="482"/>
      <c r="J431" s="482"/>
      <c r="K431" s="482"/>
      <c r="L431" s="483"/>
      <c r="M431" s="484"/>
      <c r="N431" s="484"/>
      <c r="O431" s="484"/>
      <c r="P431" s="484"/>
      <c r="Q431" s="484"/>
      <c r="R431" s="484"/>
      <c r="S431" s="484"/>
      <c r="T431" s="484"/>
      <c r="U431" s="484"/>
      <c r="V431" s="484"/>
      <c r="W431" s="484"/>
      <c r="X431" s="484"/>
      <c r="Y431" s="484"/>
      <c r="Z431" s="484"/>
      <c r="AA431" s="484"/>
      <c r="AB431" s="484"/>
      <c r="AC431" s="484"/>
      <c r="AD431" s="484"/>
      <c r="AE431" s="484"/>
      <c r="AF431" s="484"/>
      <c r="AG431" s="484"/>
      <c r="AH431" s="484"/>
      <c r="AI431" s="484"/>
      <c r="AJ431" s="484"/>
      <c r="AK431" s="484"/>
    </row>
    <row r="432" spans="2:37" s="64" customFormat="1" x14ac:dyDescent="0.35">
      <c r="B432" s="30"/>
      <c r="C432" s="30"/>
      <c r="D432" s="30"/>
      <c r="E432" s="30"/>
      <c r="F432" s="258"/>
      <c r="H432" s="487"/>
      <c r="I432" s="487"/>
      <c r="J432" s="487"/>
      <c r="K432" s="487"/>
      <c r="L432" s="483"/>
      <c r="M432" s="484"/>
      <c r="N432" s="484"/>
      <c r="O432" s="484"/>
      <c r="P432" s="484"/>
      <c r="Q432" s="484"/>
      <c r="R432" s="484"/>
      <c r="S432" s="484"/>
      <c r="T432" s="484"/>
      <c r="U432" s="484"/>
      <c r="V432" s="484"/>
      <c r="W432" s="484"/>
      <c r="X432" s="484"/>
      <c r="Y432" s="484"/>
      <c r="Z432" s="484"/>
      <c r="AA432" s="484"/>
      <c r="AB432" s="484"/>
      <c r="AC432" s="484"/>
      <c r="AD432" s="484"/>
      <c r="AE432" s="484"/>
      <c r="AF432" s="484"/>
      <c r="AG432" s="484"/>
      <c r="AH432" s="484"/>
      <c r="AI432" s="484"/>
      <c r="AJ432" s="484"/>
      <c r="AK432" s="484"/>
    </row>
    <row r="433" spans="2:37" s="64" customFormat="1" x14ac:dyDescent="0.35">
      <c r="B433" s="30"/>
      <c r="C433" s="30"/>
      <c r="D433" s="30"/>
      <c r="E433" s="30"/>
      <c r="F433" s="258"/>
      <c r="G433" s="30"/>
      <c r="H433" s="482"/>
      <c r="I433" s="482"/>
      <c r="J433" s="482"/>
      <c r="K433" s="482"/>
      <c r="L433" s="483"/>
      <c r="M433" s="484"/>
      <c r="N433" s="484"/>
      <c r="O433" s="484"/>
      <c r="P433" s="484"/>
      <c r="Q433" s="484"/>
      <c r="R433" s="484"/>
      <c r="S433" s="484"/>
      <c r="T433" s="484"/>
      <c r="U433" s="484"/>
      <c r="V433" s="484"/>
      <c r="W433" s="484"/>
      <c r="X433" s="484"/>
      <c r="Y433" s="484"/>
      <c r="Z433" s="484"/>
      <c r="AA433" s="484"/>
      <c r="AB433" s="484"/>
      <c r="AC433" s="484"/>
      <c r="AD433" s="484"/>
      <c r="AE433" s="484"/>
      <c r="AF433" s="484"/>
      <c r="AG433" s="484"/>
      <c r="AH433" s="484"/>
      <c r="AI433" s="484"/>
      <c r="AJ433" s="484"/>
      <c r="AK433" s="484"/>
    </row>
    <row r="434" spans="2:37" s="64" customFormat="1" x14ac:dyDescent="0.35">
      <c r="B434" s="30"/>
      <c r="C434" s="30"/>
      <c r="D434" s="30"/>
      <c r="E434" s="30"/>
      <c r="F434" s="258"/>
      <c r="H434" s="487"/>
      <c r="I434" s="487"/>
      <c r="J434" s="487"/>
      <c r="K434" s="487"/>
      <c r="L434" s="483"/>
      <c r="M434" s="484"/>
      <c r="N434" s="484"/>
      <c r="O434" s="484"/>
      <c r="P434" s="484"/>
      <c r="Q434" s="484"/>
      <c r="R434" s="484"/>
      <c r="S434" s="484"/>
      <c r="T434" s="484"/>
      <c r="U434" s="484"/>
      <c r="V434" s="484"/>
      <c r="W434" s="484"/>
      <c r="X434" s="484"/>
      <c r="Y434" s="484"/>
      <c r="Z434" s="484"/>
      <c r="AA434" s="484"/>
      <c r="AB434" s="484"/>
      <c r="AC434" s="484"/>
      <c r="AD434" s="484"/>
      <c r="AE434" s="484"/>
      <c r="AF434" s="484"/>
      <c r="AG434" s="484"/>
      <c r="AH434" s="484"/>
      <c r="AI434" s="484"/>
      <c r="AJ434" s="484"/>
      <c r="AK434" s="484"/>
    </row>
    <row r="435" spans="2:37" s="64" customFormat="1" x14ac:dyDescent="0.35">
      <c r="B435" s="30"/>
      <c r="C435" s="30"/>
      <c r="D435" s="30"/>
      <c r="E435" s="30"/>
      <c r="F435" s="258"/>
      <c r="G435" s="30"/>
      <c r="H435" s="482"/>
      <c r="I435" s="482"/>
      <c r="J435" s="482"/>
      <c r="K435" s="482"/>
      <c r="L435" s="483"/>
      <c r="M435" s="484"/>
      <c r="N435" s="484"/>
      <c r="O435" s="484"/>
      <c r="P435" s="484"/>
      <c r="Q435" s="484"/>
      <c r="R435" s="484"/>
      <c r="S435" s="484"/>
      <c r="T435" s="484"/>
      <c r="U435" s="484"/>
      <c r="V435" s="484"/>
      <c r="W435" s="484"/>
      <c r="X435" s="484"/>
      <c r="Y435" s="484"/>
      <c r="Z435" s="484"/>
      <c r="AA435" s="484"/>
      <c r="AB435" s="484"/>
      <c r="AC435" s="484"/>
      <c r="AD435" s="484"/>
      <c r="AE435" s="484"/>
      <c r="AF435" s="484"/>
      <c r="AG435" s="484"/>
      <c r="AH435" s="484"/>
      <c r="AI435" s="484"/>
      <c r="AJ435" s="484"/>
      <c r="AK435" s="484"/>
    </row>
    <row r="436" spans="2:37" s="64" customFormat="1" x14ac:dyDescent="0.35">
      <c r="B436" s="30"/>
      <c r="C436" s="30"/>
      <c r="D436" s="30"/>
      <c r="E436" s="30"/>
      <c r="F436" s="258"/>
      <c r="H436" s="487"/>
      <c r="I436" s="487"/>
      <c r="J436" s="487"/>
      <c r="K436" s="487"/>
      <c r="L436" s="483"/>
      <c r="M436" s="484"/>
      <c r="N436" s="484"/>
      <c r="O436" s="484"/>
      <c r="P436" s="484"/>
      <c r="Q436" s="484"/>
      <c r="R436" s="484"/>
      <c r="S436" s="484"/>
      <c r="T436" s="484"/>
      <c r="U436" s="484"/>
      <c r="V436" s="484"/>
      <c r="W436" s="484"/>
      <c r="X436" s="484"/>
      <c r="Y436" s="484"/>
      <c r="Z436" s="484"/>
      <c r="AA436" s="484"/>
      <c r="AB436" s="484"/>
      <c r="AC436" s="484"/>
      <c r="AD436" s="484"/>
      <c r="AE436" s="484"/>
      <c r="AF436" s="484"/>
      <c r="AG436" s="484"/>
      <c r="AH436" s="484"/>
      <c r="AI436" s="484"/>
      <c r="AJ436" s="484"/>
      <c r="AK436" s="484"/>
    </row>
    <row r="437" spans="2:37" s="64" customFormat="1" x14ac:dyDescent="0.35">
      <c r="B437" s="30"/>
      <c r="C437" s="30"/>
      <c r="D437" s="30"/>
      <c r="E437" s="30"/>
      <c r="F437" s="258"/>
      <c r="G437" s="30"/>
      <c r="H437" s="482"/>
      <c r="I437" s="482"/>
      <c r="J437" s="482"/>
      <c r="K437" s="482"/>
      <c r="L437" s="483"/>
      <c r="M437" s="484"/>
      <c r="N437" s="484"/>
      <c r="O437" s="484"/>
      <c r="P437" s="484"/>
      <c r="Q437" s="484"/>
      <c r="R437" s="484"/>
      <c r="S437" s="484"/>
      <c r="T437" s="484"/>
      <c r="U437" s="484"/>
      <c r="V437" s="484"/>
      <c r="W437" s="484"/>
      <c r="X437" s="484"/>
      <c r="Y437" s="484"/>
      <c r="Z437" s="484"/>
      <c r="AA437" s="484"/>
      <c r="AB437" s="484"/>
      <c r="AC437" s="484"/>
      <c r="AD437" s="484"/>
      <c r="AE437" s="484"/>
      <c r="AF437" s="484"/>
      <c r="AG437" s="484"/>
      <c r="AH437" s="484"/>
      <c r="AI437" s="484"/>
      <c r="AJ437" s="484"/>
      <c r="AK437" s="484"/>
    </row>
    <row r="438" spans="2:37" s="64" customFormat="1" x14ac:dyDescent="0.35">
      <c r="B438" s="30"/>
      <c r="C438" s="30"/>
      <c r="D438" s="30"/>
      <c r="E438" s="30"/>
      <c r="F438" s="258"/>
      <c r="H438" s="487"/>
      <c r="I438" s="487"/>
      <c r="J438" s="487"/>
      <c r="K438" s="487"/>
      <c r="L438" s="483"/>
      <c r="M438" s="484"/>
      <c r="N438" s="484"/>
      <c r="O438" s="484"/>
      <c r="P438" s="484"/>
      <c r="Q438" s="484"/>
      <c r="R438" s="484"/>
      <c r="S438" s="484"/>
      <c r="T438" s="484"/>
      <c r="U438" s="484"/>
      <c r="V438" s="484"/>
      <c r="W438" s="484"/>
      <c r="X438" s="484"/>
      <c r="Y438" s="484"/>
      <c r="Z438" s="484"/>
      <c r="AA438" s="484"/>
      <c r="AB438" s="484"/>
      <c r="AC438" s="484"/>
      <c r="AD438" s="484"/>
      <c r="AE438" s="484"/>
      <c r="AF438" s="484"/>
      <c r="AG438" s="484"/>
      <c r="AH438" s="484"/>
      <c r="AI438" s="484"/>
      <c r="AJ438" s="484"/>
      <c r="AK438" s="484"/>
    </row>
    <row r="439" spans="2:37" s="64" customFormat="1" x14ac:dyDescent="0.35">
      <c r="B439" s="30"/>
      <c r="C439" s="30"/>
      <c r="D439" s="30"/>
      <c r="E439" s="30"/>
      <c r="F439" s="258"/>
      <c r="G439" s="30"/>
      <c r="H439" s="482"/>
      <c r="I439" s="482"/>
      <c r="J439" s="482"/>
      <c r="K439" s="482"/>
      <c r="L439" s="483"/>
      <c r="M439" s="484"/>
      <c r="N439" s="484"/>
      <c r="O439" s="484"/>
      <c r="P439" s="484"/>
      <c r="Q439" s="484"/>
      <c r="R439" s="484"/>
      <c r="S439" s="484"/>
      <c r="T439" s="484"/>
      <c r="U439" s="484"/>
      <c r="V439" s="484"/>
      <c r="W439" s="484"/>
      <c r="X439" s="484"/>
      <c r="Y439" s="484"/>
      <c r="Z439" s="484"/>
      <c r="AA439" s="484"/>
      <c r="AB439" s="484"/>
      <c r="AC439" s="484"/>
      <c r="AD439" s="484"/>
      <c r="AE439" s="484"/>
      <c r="AF439" s="484"/>
      <c r="AG439" s="484"/>
      <c r="AH439" s="484"/>
      <c r="AI439" s="484"/>
      <c r="AJ439" s="484"/>
      <c r="AK439" s="484"/>
    </row>
    <row r="440" spans="2:37" s="64" customFormat="1" x14ac:dyDescent="0.35">
      <c r="B440" s="30"/>
      <c r="C440" s="30"/>
      <c r="D440" s="30"/>
      <c r="E440" s="30"/>
      <c r="F440" s="258"/>
      <c r="H440" s="487"/>
      <c r="I440" s="487"/>
      <c r="J440" s="487"/>
      <c r="K440" s="487"/>
      <c r="L440" s="483"/>
      <c r="M440" s="484"/>
      <c r="N440" s="484"/>
      <c r="O440" s="484"/>
      <c r="P440" s="484"/>
      <c r="Q440" s="484"/>
      <c r="R440" s="484"/>
      <c r="S440" s="484"/>
      <c r="T440" s="484"/>
      <c r="U440" s="484"/>
      <c r="V440" s="484"/>
      <c r="W440" s="484"/>
      <c r="X440" s="484"/>
      <c r="Y440" s="484"/>
      <c r="Z440" s="484"/>
      <c r="AA440" s="484"/>
      <c r="AB440" s="484"/>
      <c r="AC440" s="484"/>
      <c r="AD440" s="484"/>
      <c r="AE440" s="484"/>
      <c r="AF440" s="484"/>
      <c r="AG440" s="484"/>
      <c r="AH440" s="484"/>
      <c r="AI440" s="484"/>
      <c r="AJ440" s="484"/>
      <c r="AK440" s="484"/>
    </row>
    <row r="441" spans="2:37" s="64" customFormat="1" x14ac:dyDescent="0.35">
      <c r="B441" s="30"/>
      <c r="C441" s="30"/>
      <c r="D441" s="30"/>
      <c r="E441" s="30"/>
      <c r="F441" s="258"/>
      <c r="G441" s="30"/>
      <c r="H441" s="482"/>
      <c r="I441" s="482"/>
      <c r="J441" s="482"/>
      <c r="K441" s="482"/>
      <c r="L441" s="483"/>
      <c r="M441" s="484"/>
      <c r="N441" s="484"/>
      <c r="O441" s="484"/>
      <c r="P441" s="484"/>
      <c r="Q441" s="484"/>
      <c r="R441" s="484"/>
      <c r="S441" s="484"/>
      <c r="T441" s="484"/>
      <c r="U441" s="484"/>
      <c r="V441" s="484"/>
      <c r="W441" s="484"/>
      <c r="X441" s="484"/>
      <c r="Y441" s="484"/>
      <c r="Z441" s="484"/>
      <c r="AA441" s="484"/>
      <c r="AB441" s="484"/>
      <c r="AC441" s="484"/>
      <c r="AD441" s="484"/>
      <c r="AE441" s="484"/>
      <c r="AF441" s="484"/>
      <c r="AG441" s="484"/>
      <c r="AH441" s="484"/>
      <c r="AI441" s="484"/>
      <c r="AJ441" s="484"/>
      <c r="AK441" s="484"/>
    </row>
    <row r="442" spans="2:37" s="64" customFormat="1" x14ac:dyDescent="0.35">
      <c r="B442" s="30"/>
      <c r="C442" s="30"/>
      <c r="D442" s="30"/>
      <c r="E442" s="30"/>
      <c r="F442" s="258"/>
      <c r="H442" s="487"/>
      <c r="I442" s="487"/>
      <c r="J442" s="487"/>
      <c r="K442" s="487"/>
      <c r="L442" s="483"/>
      <c r="M442" s="484"/>
      <c r="N442" s="484"/>
      <c r="O442" s="484"/>
      <c r="P442" s="484"/>
      <c r="Q442" s="484"/>
      <c r="R442" s="484"/>
      <c r="S442" s="484"/>
      <c r="T442" s="484"/>
      <c r="U442" s="484"/>
      <c r="V442" s="484"/>
      <c r="W442" s="484"/>
      <c r="X442" s="484"/>
      <c r="Y442" s="484"/>
      <c r="Z442" s="484"/>
      <c r="AA442" s="484"/>
      <c r="AB442" s="484"/>
      <c r="AC442" s="484"/>
      <c r="AD442" s="484"/>
      <c r="AE442" s="484"/>
      <c r="AF442" s="484"/>
      <c r="AG442" s="484"/>
      <c r="AH442" s="484"/>
      <c r="AI442" s="484"/>
      <c r="AJ442" s="484"/>
      <c r="AK442" s="484"/>
    </row>
    <row r="443" spans="2:37" s="64" customFormat="1" x14ac:dyDescent="0.35">
      <c r="B443" s="30"/>
      <c r="C443" s="30"/>
      <c r="D443" s="30"/>
      <c r="E443" s="30"/>
      <c r="F443" s="258"/>
      <c r="G443" s="30"/>
      <c r="H443" s="482"/>
      <c r="I443" s="482"/>
      <c r="J443" s="482"/>
      <c r="K443" s="482"/>
      <c r="L443" s="483"/>
      <c r="M443" s="484"/>
      <c r="N443" s="484"/>
      <c r="O443" s="484"/>
      <c r="P443" s="484"/>
      <c r="Q443" s="484"/>
      <c r="R443" s="484"/>
      <c r="S443" s="484"/>
      <c r="T443" s="484"/>
      <c r="U443" s="484"/>
      <c r="V443" s="484"/>
      <c r="W443" s="484"/>
      <c r="X443" s="484"/>
      <c r="Y443" s="484"/>
      <c r="Z443" s="484"/>
      <c r="AA443" s="484"/>
      <c r="AB443" s="484"/>
      <c r="AC443" s="484"/>
      <c r="AD443" s="484"/>
      <c r="AE443" s="484"/>
      <c r="AF443" s="484"/>
      <c r="AG443" s="484"/>
      <c r="AH443" s="484"/>
      <c r="AI443" s="484"/>
      <c r="AJ443" s="484"/>
      <c r="AK443" s="484"/>
    </row>
    <row r="444" spans="2:37" s="64" customFormat="1" x14ac:dyDescent="0.35">
      <c r="B444" s="30"/>
      <c r="C444" s="30"/>
      <c r="D444" s="30"/>
      <c r="E444" s="30"/>
      <c r="F444" s="258"/>
      <c r="H444" s="487"/>
      <c r="I444" s="487"/>
      <c r="J444" s="487"/>
      <c r="K444" s="487"/>
      <c r="L444" s="483"/>
      <c r="M444" s="484"/>
      <c r="N444" s="484"/>
      <c r="O444" s="484"/>
      <c r="P444" s="484"/>
      <c r="Q444" s="484"/>
      <c r="R444" s="484"/>
      <c r="S444" s="484"/>
      <c r="T444" s="484"/>
      <c r="U444" s="484"/>
      <c r="V444" s="484"/>
      <c r="W444" s="484"/>
      <c r="X444" s="484"/>
      <c r="Y444" s="484"/>
      <c r="Z444" s="484"/>
      <c r="AA444" s="484"/>
      <c r="AB444" s="484"/>
      <c r="AC444" s="484"/>
      <c r="AD444" s="484"/>
      <c r="AE444" s="484"/>
      <c r="AF444" s="484"/>
      <c r="AG444" s="484"/>
      <c r="AH444" s="484"/>
      <c r="AI444" s="484"/>
      <c r="AJ444" s="484"/>
      <c r="AK444" s="484"/>
    </row>
    <row r="445" spans="2:37" s="64" customFormat="1" x14ac:dyDescent="0.35">
      <c r="B445" s="30"/>
      <c r="C445" s="30"/>
      <c r="D445" s="30"/>
      <c r="E445" s="30"/>
      <c r="F445" s="258"/>
      <c r="G445" s="30"/>
      <c r="H445" s="482"/>
      <c r="I445" s="482"/>
      <c r="J445" s="482"/>
      <c r="K445" s="482"/>
      <c r="L445" s="483"/>
      <c r="M445" s="484"/>
      <c r="N445" s="484"/>
      <c r="O445" s="484"/>
      <c r="P445" s="484"/>
      <c r="Q445" s="484"/>
      <c r="R445" s="484"/>
      <c r="S445" s="484"/>
      <c r="T445" s="484"/>
      <c r="U445" s="484"/>
      <c r="V445" s="484"/>
      <c r="W445" s="484"/>
      <c r="X445" s="484"/>
      <c r="Y445" s="484"/>
      <c r="Z445" s="484"/>
      <c r="AA445" s="484"/>
      <c r="AB445" s="484"/>
      <c r="AC445" s="484"/>
      <c r="AD445" s="484"/>
      <c r="AE445" s="484"/>
      <c r="AF445" s="484"/>
      <c r="AG445" s="484"/>
      <c r="AH445" s="484"/>
      <c r="AI445" s="484"/>
      <c r="AJ445" s="484"/>
      <c r="AK445" s="484"/>
    </row>
    <row r="446" spans="2:37" s="64" customFormat="1" x14ac:dyDescent="0.35">
      <c r="B446" s="30"/>
      <c r="C446" s="30"/>
      <c r="D446" s="30"/>
      <c r="E446" s="30"/>
      <c r="F446" s="258"/>
      <c r="H446" s="487"/>
      <c r="I446" s="487"/>
      <c r="J446" s="487"/>
      <c r="K446" s="487"/>
      <c r="L446" s="483"/>
      <c r="M446" s="484"/>
      <c r="N446" s="484"/>
      <c r="O446" s="484"/>
      <c r="P446" s="484"/>
      <c r="Q446" s="484"/>
      <c r="R446" s="484"/>
      <c r="S446" s="484"/>
      <c r="T446" s="484"/>
      <c r="U446" s="484"/>
      <c r="V446" s="484"/>
      <c r="W446" s="484"/>
      <c r="X446" s="484"/>
      <c r="Y446" s="484"/>
      <c r="Z446" s="484"/>
      <c r="AA446" s="484"/>
      <c r="AB446" s="484"/>
      <c r="AC446" s="484"/>
      <c r="AD446" s="484"/>
      <c r="AE446" s="484"/>
      <c r="AF446" s="484"/>
      <c r="AG446" s="484"/>
      <c r="AH446" s="484"/>
      <c r="AI446" s="484"/>
      <c r="AJ446" s="484"/>
      <c r="AK446" s="484"/>
    </row>
    <row r="447" spans="2:37" s="64" customFormat="1" x14ac:dyDescent="0.35">
      <c r="B447" s="30"/>
      <c r="C447" s="30"/>
      <c r="D447" s="30"/>
      <c r="E447" s="30"/>
      <c r="F447" s="258"/>
      <c r="G447" s="30"/>
      <c r="H447" s="482"/>
      <c r="I447" s="482"/>
      <c r="J447" s="482"/>
      <c r="K447" s="482"/>
      <c r="L447" s="483"/>
      <c r="M447" s="484"/>
      <c r="N447" s="484"/>
      <c r="O447" s="484"/>
      <c r="P447" s="484"/>
      <c r="Q447" s="484"/>
      <c r="R447" s="484"/>
      <c r="S447" s="484"/>
      <c r="T447" s="484"/>
      <c r="U447" s="484"/>
      <c r="V447" s="484"/>
      <c r="W447" s="484"/>
      <c r="X447" s="484"/>
      <c r="Y447" s="484"/>
      <c r="Z447" s="484"/>
      <c r="AA447" s="484"/>
      <c r="AB447" s="484"/>
      <c r="AC447" s="484"/>
      <c r="AD447" s="484"/>
      <c r="AE447" s="484"/>
      <c r="AF447" s="484"/>
      <c r="AG447" s="484"/>
      <c r="AH447" s="484"/>
      <c r="AI447" s="484"/>
      <c r="AJ447" s="484"/>
      <c r="AK447" s="484"/>
    </row>
    <row r="448" spans="2:37" s="64" customFormat="1" x14ac:dyDescent="0.35">
      <c r="B448" s="30"/>
      <c r="C448" s="30"/>
      <c r="D448" s="30"/>
      <c r="E448" s="30"/>
      <c r="F448" s="258"/>
      <c r="H448" s="487"/>
      <c r="I448" s="487"/>
      <c r="J448" s="487"/>
      <c r="K448" s="487"/>
      <c r="L448" s="483"/>
      <c r="M448" s="484"/>
      <c r="N448" s="484"/>
      <c r="O448" s="484"/>
      <c r="P448" s="484"/>
      <c r="Q448" s="484"/>
      <c r="R448" s="484"/>
      <c r="S448" s="484"/>
      <c r="T448" s="484"/>
      <c r="U448" s="484"/>
      <c r="V448" s="484"/>
      <c r="W448" s="484"/>
      <c r="X448" s="484"/>
      <c r="Y448" s="484"/>
      <c r="Z448" s="484"/>
      <c r="AA448" s="484"/>
      <c r="AB448" s="484"/>
      <c r="AC448" s="484"/>
      <c r="AD448" s="484"/>
      <c r="AE448" s="484"/>
      <c r="AF448" s="484"/>
      <c r="AG448" s="484"/>
      <c r="AH448" s="484"/>
      <c r="AI448" s="484"/>
      <c r="AJ448" s="484"/>
      <c r="AK448" s="484"/>
    </row>
    <row r="449" spans="2:37" s="64" customFormat="1" x14ac:dyDescent="0.35">
      <c r="B449" s="30"/>
      <c r="C449" s="30"/>
      <c r="D449" s="30"/>
      <c r="E449" s="30"/>
      <c r="F449" s="258"/>
      <c r="G449" s="30"/>
      <c r="H449" s="482"/>
      <c r="I449" s="482"/>
      <c r="J449" s="482"/>
      <c r="K449" s="482"/>
      <c r="L449" s="483"/>
      <c r="M449" s="484"/>
      <c r="N449" s="484"/>
      <c r="O449" s="484"/>
      <c r="P449" s="484"/>
      <c r="Q449" s="484"/>
      <c r="R449" s="484"/>
      <c r="S449" s="484"/>
      <c r="T449" s="484"/>
      <c r="U449" s="484"/>
      <c r="V449" s="484"/>
      <c r="W449" s="484"/>
      <c r="X449" s="484"/>
      <c r="Y449" s="484"/>
      <c r="Z449" s="484"/>
      <c r="AA449" s="484"/>
      <c r="AB449" s="484"/>
      <c r="AC449" s="484"/>
      <c r="AD449" s="484"/>
      <c r="AE449" s="484"/>
      <c r="AF449" s="484"/>
      <c r="AG449" s="484"/>
      <c r="AH449" s="484"/>
      <c r="AI449" s="484"/>
      <c r="AJ449" s="484"/>
      <c r="AK449" s="484"/>
    </row>
    <row r="450" spans="2:37" s="64" customFormat="1" x14ac:dyDescent="0.35">
      <c r="B450" s="30"/>
      <c r="C450" s="30"/>
      <c r="D450" s="30"/>
      <c r="E450" s="30"/>
      <c r="F450" s="258"/>
      <c r="H450" s="487"/>
      <c r="I450" s="487"/>
      <c r="J450" s="487"/>
      <c r="K450" s="487"/>
      <c r="L450" s="483"/>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c r="AJ450" s="484"/>
      <c r="AK450" s="484"/>
    </row>
    <row r="451" spans="2:37" s="64" customFormat="1" x14ac:dyDescent="0.35">
      <c r="B451" s="30"/>
      <c r="C451" s="30"/>
      <c r="D451" s="30"/>
      <c r="E451" s="30"/>
      <c r="F451" s="258"/>
      <c r="G451" s="30"/>
      <c r="H451" s="482"/>
      <c r="I451" s="482"/>
      <c r="J451" s="482"/>
      <c r="K451" s="482"/>
      <c r="L451" s="483"/>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c r="AJ451" s="484"/>
      <c r="AK451" s="484"/>
    </row>
    <row r="452" spans="2:37" s="64" customFormat="1" x14ac:dyDescent="0.35">
      <c r="B452" s="30"/>
      <c r="C452" s="30"/>
      <c r="D452" s="30"/>
      <c r="E452" s="30"/>
      <c r="F452" s="258"/>
      <c r="H452" s="487"/>
      <c r="I452" s="487"/>
      <c r="J452" s="487"/>
      <c r="K452" s="487"/>
      <c r="L452" s="483"/>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c r="AJ452" s="484"/>
      <c r="AK452" s="484"/>
    </row>
    <row r="453" spans="2:37" s="64" customFormat="1" x14ac:dyDescent="0.35">
      <c r="B453" s="30"/>
      <c r="C453" s="30"/>
      <c r="D453" s="30"/>
      <c r="E453" s="30"/>
      <c r="F453" s="258"/>
      <c r="G453" s="30"/>
      <c r="H453" s="482"/>
      <c r="I453" s="482"/>
      <c r="J453" s="482"/>
      <c r="K453" s="482"/>
      <c r="L453" s="483"/>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c r="AJ453" s="484"/>
      <c r="AK453" s="484"/>
    </row>
    <row r="454" spans="2:37" s="64" customFormat="1" x14ac:dyDescent="0.35">
      <c r="B454" s="30"/>
      <c r="C454" s="30"/>
      <c r="D454" s="30"/>
      <c r="E454" s="30"/>
      <c r="F454" s="258"/>
      <c r="H454" s="487"/>
      <c r="I454" s="487"/>
      <c r="J454" s="487"/>
      <c r="K454" s="487"/>
      <c r="L454" s="483"/>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c r="AJ454" s="484"/>
      <c r="AK454" s="484"/>
    </row>
    <row r="455" spans="2:37" s="64" customFormat="1" x14ac:dyDescent="0.35">
      <c r="B455" s="30"/>
      <c r="C455" s="30"/>
      <c r="D455" s="30"/>
      <c r="E455" s="30"/>
      <c r="F455" s="258"/>
      <c r="G455" s="30"/>
      <c r="H455" s="482"/>
      <c r="I455" s="482"/>
      <c r="J455" s="482"/>
      <c r="K455" s="482"/>
      <c r="L455" s="483"/>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c r="AJ455" s="484"/>
      <c r="AK455" s="484"/>
    </row>
    <row r="456" spans="2:37" s="64" customFormat="1" x14ac:dyDescent="0.35">
      <c r="B456" s="30"/>
      <c r="C456" s="30"/>
      <c r="D456" s="30"/>
      <c r="E456" s="30"/>
      <c r="F456" s="258"/>
      <c r="H456" s="487"/>
      <c r="I456" s="487"/>
      <c r="J456" s="487"/>
      <c r="K456" s="487"/>
      <c r="L456" s="483"/>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c r="AJ456" s="484"/>
      <c r="AK456" s="484"/>
    </row>
    <row r="457" spans="2:37" s="64" customFormat="1" x14ac:dyDescent="0.35">
      <c r="B457" s="30"/>
      <c r="C457" s="30"/>
      <c r="D457" s="30"/>
      <c r="E457" s="30"/>
      <c r="F457" s="258"/>
      <c r="G457" s="30"/>
      <c r="H457" s="482"/>
      <c r="I457" s="482"/>
      <c r="J457" s="482"/>
      <c r="K457" s="482"/>
      <c r="L457" s="483"/>
      <c r="M457" s="484"/>
      <c r="N457" s="484"/>
      <c r="O457" s="484"/>
      <c r="P457" s="484"/>
      <c r="Q457" s="484"/>
      <c r="R457" s="484"/>
      <c r="S457" s="484"/>
      <c r="T457" s="484"/>
      <c r="U457" s="484"/>
      <c r="V457" s="484"/>
      <c r="W457" s="484"/>
      <c r="X457" s="484"/>
      <c r="Y457" s="484"/>
      <c r="Z457" s="484"/>
      <c r="AA457" s="484"/>
      <c r="AB457" s="484"/>
      <c r="AC457" s="484"/>
      <c r="AD457" s="484"/>
      <c r="AE457" s="484"/>
      <c r="AF457" s="484"/>
      <c r="AG457" s="484"/>
      <c r="AH457" s="484"/>
      <c r="AI457" s="484"/>
      <c r="AJ457" s="484"/>
      <c r="AK457" s="484"/>
    </row>
    <row r="458" spans="2:37" s="64" customFormat="1" x14ac:dyDescent="0.35">
      <c r="B458" s="30"/>
      <c r="C458" s="30"/>
      <c r="D458" s="30"/>
      <c r="E458" s="30"/>
      <c r="F458" s="258"/>
      <c r="H458" s="487"/>
      <c r="I458" s="487"/>
      <c r="J458" s="487"/>
      <c r="K458" s="487"/>
      <c r="L458" s="483"/>
      <c r="M458" s="484"/>
      <c r="N458" s="484"/>
      <c r="O458" s="484"/>
      <c r="P458" s="484"/>
      <c r="Q458" s="484"/>
      <c r="R458" s="484"/>
      <c r="S458" s="484"/>
      <c r="T458" s="484"/>
      <c r="U458" s="484"/>
      <c r="V458" s="484"/>
      <c r="W458" s="484"/>
      <c r="X458" s="484"/>
      <c r="Y458" s="484"/>
      <c r="Z458" s="484"/>
      <c r="AA458" s="484"/>
      <c r="AB458" s="484"/>
      <c r="AC458" s="484"/>
      <c r="AD458" s="484"/>
      <c r="AE458" s="484"/>
      <c r="AF458" s="484"/>
      <c r="AG458" s="484"/>
      <c r="AH458" s="484"/>
      <c r="AI458" s="484"/>
      <c r="AJ458" s="484"/>
      <c r="AK458" s="484"/>
    </row>
    <row r="459" spans="2:37" s="64" customFormat="1" x14ac:dyDescent="0.35">
      <c r="B459" s="30"/>
      <c r="C459" s="30"/>
      <c r="D459" s="30"/>
      <c r="E459" s="30"/>
      <c r="F459" s="258"/>
      <c r="G459" s="30"/>
      <c r="H459" s="482"/>
      <c r="I459" s="482"/>
      <c r="J459" s="482"/>
      <c r="K459" s="482"/>
      <c r="L459" s="483"/>
      <c r="M459" s="484"/>
      <c r="N459" s="484"/>
      <c r="O459" s="484"/>
      <c r="P459" s="484"/>
      <c r="Q459" s="484"/>
      <c r="R459" s="484"/>
      <c r="S459" s="484"/>
      <c r="T459" s="484"/>
      <c r="U459" s="484"/>
      <c r="V459" s="484"/>
      <c r="W459" s="484"/>
      <c r="X459" s="484"/>
      <c r="Y459" s="484"/>
      <c r="Z459" s="484"/>
      <c r="AA459" s="484"/>
      <c r="AB459" s="484"/>
      <c r="AC459" s="484"/>
      <c r="AD459" s="484"/>
      <c r="AE459" s="484"/>
      <c r="AF459" s="484"/>
      <c r="AG459" s="484"/>
      <c r="AH459" s="484"/>
      <c r="AI459" s="484"/>
      <c r="AJ459" s="484"/>
      <c r="AK459" s="484"/>
    </row>
    <row r="460" spans="2:37" s="64" customFormat="1" x14ac:dyDescent="0.35">
      <c r="B460" s="30"/>
      <c r="C460" s="30"/>
      <c r="D460" s="30"/>
      <c r="E460" s="30"/>
      <c r="F460" s="258"/>
      <c r="H460" s="487"/>
      <c r="I460" s="487"/>
      <c r="J460" s="487"/>
      <c r="K460" s="487"/>
      <c r="L460" s="483"/>
      <c r="M460" s="484"/>
      <c r="N460" s="484"/>
      <c r="O460" s="484"/>
      <c r="P460" s="484"/>
      <c r="Q460" s="484"/>
      <c r="R460" s="484"/>
      <c r="S460" s="484"/>
      <c r="T460" s="484"/>
      <c r="U460" s="484"/>
      <c r="V460" s="484"/>
      <c r="W460" s="484"/>
      <c r="X460" s="484"/>
      <c r="Y460" s="484"/>
      <c r="Z460" s="484"/>
      <c r="AA460" s="484"/>
      <c r="AB460" s="484"/>
      <c r="AC460" s="484"/>
      <c r="AD460" s="484"/>
      <c r="AE460" s="484"/>
      <c r="AF460" s="484"/>
      <c r="AG460" s="484"/>
      <c r="AH460" s="484"/>
      <c r="AI460" s="484"/>
      <c r="AJ460" s="484"/>
      <c r="AK460" s="484"/>
    </row>
    <row r="461" spans="2:37" s="64" customFormat="1" x14ac:dyDescent="0.35">
      <c r="B461" s="30"/>
      <c r="C461" s="30"/>
      <c r="D461" s="30"/>
      <c r="E461" s="30"/>
      <c r="F461" s="258"/>
      <c r="G461" s="30"/>
      <c r="H461" s="482"/>
      <c r="I461" s="482"/>
      <c r="J461" s="482"/>
      <c r="K461" s="482"/>
      <c r="L461" s="483"/>
      <c r="M461" s="484"/>
      <c r="N461" s="484"/>
      <c r="O461" s="484"/>
      <c r="P461" s="484"/>
      <c r="Q461" s="484"/>
      <c r="R461" s="484"/>
      <c r="S461" s="484"/>
      <c r="T461" s="484"/>
      <c r="U461" s="484"/>
      <c r="V461" s="484"/>
      <c r="W461" s="484"/>
      <c r="X461" s="484"/>
      <c r="Y461" s="484"/>
      <c r="Z461" s="484"/>
      <c r="AA461" s="484"/>
      <c r="AB461" s="484"/>
      <c r="AC461" s="484"/>
      <c r="AD461" s="484"/>
      <c r="AE461" s="484"/>
      <c r="AF461" s="484"/>
      <c r="AG461" s="484"/>
      <c r="AH461" s="484"/>
      <c r="AI461" s="484"/>
      <c r="AJ461" s="484"/>
      <c r="AK461" s="484"/>
    </row>
    <row r="462" spans="2:37" s="64" customFormat="1" x14ac:dyDescent="0.35">
      <c r="B462" s="30"/>
      <c r="C462" s="30"/>
      <c r="D462" s="30"/>
      <c r="E462" s="30"/>
      <c r="F462" s="258"/>
      <c r="H462" s="487"/>
      <c r="I462" s="487"/>
      <c r="J462" s="487"/>
      <c r="K462" s="487"/>
      <c r="L462" s="483"/>
      <c r="M462" s="484"/>
      <c r="N462" s="484"/>
      <c r="O462" s="484"/>
      <c r="P462" s="484"/>
      <c r="Q462" s="484"/>
      <c r="R462" s="484"/>
      <c r="S462" s="484"/>
      <c r="T462" s="484"/>
      <c r="U462" s="484"/>
      <c r="V462" s="484"/>
      <c r="W462" s="484"/>
      <c r="X462" s="484"/>
      <c r="Y462" s="484"/>
      <c r="Z462" s="484"/>
      <c r="AA462" s="484"/>
      <c r="AB462" s="484"/>
      <c r="AC462" s="484"/>
      <c r="AD462" s="484"/>
      <c r="AE462" s="484"/>
      <c r="AF462" s="484"/>
      <c r="AG462" s="484"/>
      <c r="AH462" s="484"/>
      <c r="AI462" s="484"/>
      <c r="AJ462" s="484"/>
      <c r="AK462" s="484"/>
    </row>
    <row r="463" spans="2:37" s="64" customFormat="1" x14ac:dyDescent="0.35">
      <c r="B463" s="30"/>
      <c r="C463" s="30"/>
      <c r="D463" s="30"/>
      <c r="E463" s="30"/>
      <c r="F463" s="258"/>
      <c r="G463" s="30"/>
      <c r="H463" s="482"/>
      <c r="I463" s="482"/>
      <c r="J463" s="482"/>
      <c r="K463" s="482"/>
      <c r="L463" s="483"/>
      <c r="M463" s="484"/>
      <c r="N463" s="484"/>
      <c r="O463" s="484"/>
      <c r="P463" s="484"/>
      <c r="Q463" s="484"/>
      <c r="R463" s="484"/>
      <c r="S463" s="484"/>
      <c r="T463" s="484"/>
      <c r="U463" s="484"/>
      <c r="V463" s="484"/>
      <c r="W463" s="484"/>
      <c r="X463" s="484"/>
      <c r="Y463" s="484"/>
      <c r="Z463" s="484"/>
      <c r="AA463" s="484"/>
      <c r="AB463" s="484"/>
      <c r="AC463" s="484"/>
      <c r="AD463" s="484"/>
      <c r="AE463" s="484"/>
      <c r="AF463" s="484"/>
      <c r="AG463" s="484"/>
      <c r="AH463" s="484"/>
      <c r="AI463" s="484"/>
      <c r="AJ463" s="484"/>
      <c r="AK463" s="484"/>
    </row>
    <row r="464" spans="2:37" s="64" customFormat="1" x14ac:dyDescent="0.35">
      <c r="B464" s="30"/>
      <c r="C464" s="30"/>
      <c r="D464" s="30"/>
      <c r="E464" s="30"/>
      <c r="F464" s="258"/>
      <c r="H464" s="487"/>
      <c r="I464" s="487"/>
      <c r="J464" s="487"/>
      <c r="K464" s="487"/>
      <c r="L464" s="483"/>
      <c r="M464" s="484"/>
      <c r="N464" s="484"/>
      <c r="O464" s="484"/>
      <c r="P464" s="484"/>
      <c r="Q464" s="484"/>
      <c r="R464" s="484"/>
      <c r="S464" s="484"/>
      <c r="T464" s="484"/>
      <c r="U464" s="484"/>
      <c r="V464" s="484"/>
      <c r="W464" s="484"/>
      <c r="X464" s="484"/>
      <c r="Y464" s="484"/>
      <c r="Z464" s="484"/>
      <c r="AA464" s="484"/>
      <c r="AB464" s="484"/>
      <c r="AC464" s="484"/>
      <c r="AD464" s="484"/>
      <c r="AE464" s="484"/>
      <c r="AF464" s="484"/>
      <c r="AG464" s="484"/>
      <c r="AH464" s="484"/>
      <c r="AI464" s="484"/>
      <c r="AJ464" s="484"/>
      <c r="AK464" s="484"/>
    </row>
    <row r="465" spans="2:37" s="64" customFormat="1" x14ac:dyDescent="0.35">
      <c r="B465" s="30"/>
      <c r="C465" s="30"/>
      <c r="D465" s="30"/>
      <c r="E465" s="30"/>
      <c r="F465" s="258"/>
      <c r="G465" s="30"/>
      <c r="H465" s="482"/>
      <c r="I465" s="482"/>
      <c r="J465" s="482"/>
      <c r="K465" s="482"/>
      <c r="L465" s="483"/>
      <c r="M465" s="484"/>
      <c r="N465" s="484"/>
      <c r="O465" s="484"/>
      <c r="P465" s="484"/>
      <c r="Q465" s="484"/>
      <c r="R465" s="484"/>
      <c r="S465" s="484"/>
      <c r="T465" s="484"/>
      <c r="U465" s="484"/>
      <c r="V465" s="484"/>
      <c r="W465" s="484"/>
      <c r="X465" s="484"/>
      <c r="Y465" s="484"/>
      <c r="Z465" s="484"/>
      <c r="AA465" s="484"/>
      <c r="AB465" s="484"/>
      <c r="AC465" s="484"/>
      <c r="AD465" s="484"/>
      <c r="AE465" s="484"/>
      <c r="AF465" s="484"/>
      <c r="AG465" s="484"/>
      <c r="AH465" s="484"/>
      <c r="AI465" s="484"/>
      <c r="AJ465" s="484"/>
      <c r="AK465" s="484"/>
    </row>
    <row r="466" spans="2:37" s="64" customFormat="1" x14ac:dyDescent="0.35">
      <c r="B466" s="30"/>
      <c r="C466" s="30"/>
      <c r="D466" s="30"/>
      <c r="E466" s="30"/>
      <c r="F466" s="258"/>
      <c r="H466" s="487"/>
      <c r="I466" s="487"/>
      <c r="J466" s="487"/>
      <c r="K466" s="487"/>
      <c r="L466" s="483"/>
      <c r="M466" s="484"/>
      <c r="N466" s="484"/>
      <c r="O466" s="484"/>
      <c r="P466" s="484"/>
      <c r="Q466" s="484"/>
      <c r="R466" s="484"/>
      <c r="S466" s="484"/>
      <c r="T466" s="484"/>
      <c r="U466" s="484"/>
      <c r="V466" s="484"/>
      <c r="W466" s="484"/>
      <c r="X466" s="484"/>
      <c r="Y466" s="484"/>
      <c r="Z466" s="484"/>
      <c r="AA466" s="484"/>
      <c r="AB466" s="484"/>
      <c r="AC466" s="484"/>
      <c r="AD466" s="484"/>
      <c r="AE466" s="484"/>
      <c r="AF466" s="484"/>
      <c r="AG466" s="484"/>
      <c r="AH466" s="484"/>
      <c r="AI466" s="484"/>
      <c r="AJ466" s="484"/>
      <c r="AK466" s="484"/>
    </row>
    <row r="467" spans="2:37" s="64" customFormat="1" x14ac:dyDescent="0.35">
      <c r="B467" s="30"/>
      <c r="C467" s="30"/>
      <c r="D467" s="30"/>
      <c r="E467" s="30"/>
      <c r="F467" s="258"/>
      <c r="G467" s="30"/>
      <c r="H467" s="482"/>
      <c r="I467" s="482"/>
      <c r="J467" s="482"/>
      <c r="K467" s="482"/>
      <c r="L467" s="483"/>
      <c r="M467" s="484"/>
      <c r="N467" s="484"/>
      <c r="O467" s="484"/>
      <c r="P467" s="484"/>
      <c r="Q467" s="484"/>
      <c r="R467" s="484"/>
      <c r="S467" s="484"/>
      <c r="T467" s="484"/>
      <c r="U467" s="484"/>
      <c r="V467" s="484"/>
      <c r="W467" s="484"/>
      <c r="X467" s="484"/>
      <c r="Y467" s="484"/>
      <c r="Z467" s="484"/>
      <c r="AA467" s="484"/>
      <c r="AB467" s="484"/>
      <c r="AC467" s="484"/>
      <c r="AD467" s="484"/>
      <c r="AE467" s="484"/>
      <c r="AF467" s="484"/>
      <c r="AG467" s="484"/>
      <c r="AH467" s="484"/>
      <c r="AI467" s="484"/>
      <c r="AJ467" s="484"/>
      <c r="AK467" s="484"/>
    </row>
    <row r="468" spans="2:37" s="64" customFormat="1" x14ac:dyDescent="0.35">
      <c r="B468" s="30"/>
      <c r="C468" s="30"/>
      <c r="D468" s="30"/>
      <c r="E468" s="30"/>
      <c r="F468" s="258"/>
      <c r="H468" s="487"/>
      <c r="I468" s="487"/>
      <c r="J468" s="487"/>
      <c r="K468" s="487"/>
      <c r="L468" s="483"/>
      <c r="M468" s="484"/>
      <c r="N468" s="484"/>
      <c r="O468" s="484"/>
      <c r="P468" s="484"/>
      <c r="Q468" s="484"/>
      <c r="R468" s="484"/>
      <c r="S468" s="484"/>
      <c r="T468" s="484"/>
      <c r="U468" s="484"/>
      <c r="V468" s="484"/>
      <c r="W468" s="484"/>
      <c r="X468" s="484"/>
      <c r="Y468" s="484"/>
      <c r="Z468" s="484"/>
      <c r="AA468" s="484"/>
      <c r="AB468" s="484"/>
      <c r="AC468" s="484"/>
      <c r="AD468" s="484"/>
      <c r="AE468" s="484"/>
      <c r="AF468" s="484"/>
      <c r="AG468" s="484"/>
      <c r="AH468" s="484"/>
      <c r="AI468" s="484"/>
      <c r="AJ468" s="484"/>
      <c r="AK468" s="484"/>
    </row>
    <row r="469" spans="2:37" s="64" customFormat="1" x14ac:dyDescent="0.35">
      <c r="B469" s="30"/>
      <c r="C469" s="30"/>
      <c r="D469" s="30"/>
      <c r="E469" s="30"/>
      <c r="F469" s="258"/>
      <c r="G469" s="30"/>
      <c r="H469" s="482"/>
      <c r="I469" s="482"/>
      <c r="J469" s="482"/>
      <c r="K469" s="482"/>
      <c r="L469" s="483"/>
      <c r="M469" s="484"/>
      <c r="N469" s="484"/>
      <c r="O469" s="484"/>
      <c r="P469" s="484"/>
      <c r="Q469" s="484"/>
      <c r="R469" s="484"/>
      <c r="S469" s="484"/>
      <c r="T469" s="484"/>
      <c r="U469" s="484"/>
      <c r="V469" s="484"/>
      <c r="W469" s="484"/>
      <c r="X469" s="484"/>
      <c r="Y469" s="484"/>
      <c r="Z469" s="484"/>
      <c r="AA469" s="484"/>
      <c r="AB469" s="484"/>
      <c r="AC469" s="484"/>
      <c r="AD469" s="484"/>
      <c r="AE469" s="484"/>
      <c r="AF469" s="484"/>
      <c r="AG469" s="484"/>
      <c r="AH469" s="484"/>
      <c r="AI469" s="484"/>
      <c r="AJ469" s="484"/>
      <c r="AK469" s="484"/>
    </row>
    <row r="470" spans="2:37" s="64" customFormat="1" x14ac:dyDescent="0.35">
      <c r="B470" s="30"/>
      <c r="C470" s="30"/>
      <c r="D470" s="30"/>
      <c r="E470" s="30"/>
      <c r="F470" s="258"/>
      <c r="H470" s="487"/>
      <c r="I470" s="487"/>
      <c r="J470" s="487"/>
      <c r="K470" s="487"/>
      <c r="L470" s="483"/>
      <c r="M470" s="484"/>
      <c r="N470" s="484"/>
      <c r="O470" s="484"/>
      <c r="P470" s="484"/>
      <c r="Q470" s="484"/>
      <c r="R470" s="484"/>
      <c r="S470" s="484"/>
      <c r="T470" s="484"/>
      <c r="U470" s="484"/>
      <c r="V470" s="484"/>
      <c r="W470" s="484"/>
      <c r="X470" s="484"/>
      <c r="Y470" s="484"/>
      <c r="Z470" s="484"/>
      <c r="AA470" s="484"/>
      <c r="AB470" s="484"/>
      <c r="AC470" s="484"/>
      <c r="AD470" s="484"/>
      <c r="AE470" s="484"/>
      <c r="AF470" s="484"/>
      <c r="AG470" s="484"/>
      <c r="AH470" s="484"/>
      <c r="AI470" s="484"/>
      <c r="AJ470" s="484"/>
      <c r="AK470" s="484"/>
    </row>
    <row r="471" spans="2:37" s="64" customFormat="1" x14ac:dyDescent="0.35">
      <c r="B471" s="30"/>
      <c r="C471" s="30"/>
      <c r="D471" s="30"/>
      <c r="E471" s="30"/>
      <c r="F471" s="258"/>
      <c r="G471" s="30"/>
      <c r="H471" s="482"/>
      <c r="I471" s="482"/>
      <c r="J471" s="482"/>
      <c r="K471" s="482"/>
      <c r="L471" s="483"/>
      <c r="M471" s="484"/>
      <c r="N471" s="484"/>
      <c r="O471" s="484"/>
      <c r="P471" s="484"/>
      <c r="Q471" s="484"/>
      <c r="R471" s="484"/>
      <c r="S471" s="484"/>
      <c r="T471" s="484"/>
      <c r="U471" s="484"/>
      <c r="V471" s="484"/>
      <c r="W471" s="484"/>
      <c r="X471" s="484"/>
      <c r="Y471" s="484"/>
      <c r="Z471" s="484"/>
      <c r="AA471" s="484"/>
      <c r="AB471" s="484"/>
      <c r="AC471" s="484"/>
      <c r="AD471" s="484"/>
      <c r="AE471" s="484"/>
      <c r="AF471" s="484"/>
      <c r="AG471" s="484"/>
      <c r="AH471" s="484"/>
      <c r="AI471" s="484"/>
      <c r="AJ471" s="484"/>
      <c r="AK471" s="484"/>
    </row>
    <row r="472" spans="2:37" s="64" customFormat="1" x14ac:dyDescent="0.35">
      <c r="B472" s="30"/>
      <c r="C472" s="30"/>
      <c r="D472" s="30"/>
      <c r="E472" s="30"/>
      <c r="F472" s="258"/>
      <c r="H472" s="487"/>
      <c r="I472" s="487"/>
      <c r="J472" s="487"/>
      <c r="K472" s="487"/>
      <c r="L472" s="483"/>
      <c r="M472" s="484"/>
      <c r="N472" s="484"/>
      <c r="O472" s="484"/>
      <c r="P472" s="484"/>
      <c r="Q472" s="484"/>
      <c r="R472" s="484"/>
      <c r="S472" s="484"/>
      <c r="T472" s="484"/>
      <c r="U472" s="484"/>
      <c r="V472" s="484"/>
      <c r="W472" s="484"/>
      <c r="X472" s="484"/>
      <c r="Y472" s="484"/>
      <c r="Z472" s="484"/>
      <c r="AA472" s="484"/>
      <c r="AB472" s="484"/>
      <c r="AC472" s="484"/>
      <c r="AD472" s="484"/>
      <c r="AE472" s="484"/>
      <c r="AF472" s="484"/>
      <c r="AG472" s="484"/>
      <c r="AH472" s="484"/>
      <c r="AI472" s="484"/>
      <c r="AJ472" s="484"/>
      <c r="AK472" s="484"/>
    </row>
    <row r="473" spans="2:37" s="64" customFormat="1" x14ac:dyDescent="0.35">
      <c r="B473" s="30"/>
      <c r="C473" s="30"/>
      <c r="D473" s="30"/>
      <c r="E473" s="30"/>
      <c r="F473" s="258"/>
      <c r="G473" s="30"/>
      <c r="H473" s="482"/>
      <c r="I473" s="482"/>
      <c r="J473" s="482"/>
      <c r="K473" s="482"/>
      <c r="L473" s="483"/>
      <c r="M473" s="484"/>
      <c r="N473" s="484"/>
      <c r="O473" s="484"/>
      <c r="P473" s="484"/>
      <c r="Q473" s="484"/>
      <c r="R473" s="484"/>
      <c r="S473" s="484"/>
      <c r="T473" s="484"/>
      <c r="U473" s="484"/>
      <c r="V473" s="484"/>
      <c r="W473" s="484"/>
      <c r="X473" s="484"/>
      <c r="Y473" s="484"/>
      <c r="Z473" s="484"/>
      <c r="AA473" s="484"/>
      <c r="AB473" s="484"/>
      <c r="AC473" s="484"/>
      <c r="AD473" s="484"/>
      <c r="AE473" s="484"/>
      <c r="AF473" s="484"/>
      <c r="AG473" s="484"/>
      <c r="AH473" s="484"/>
      <c r="AI473" s="484"/>
      <c r="AJ473" s="484"/>
      <c r="AK473" s="484"/>
    </row>
    <row r="474" spans="2:37" s="64" customFormat="1" x14ac:dyDescent="0.35">
      <c r="B474" s="30"/>
      <c r="C474" s="30"/>
      <c r="D474" s="30"/>
      <c r="E474" s="30"/>
      <c r="F474" s="258"/>
      <c r="H474" s="487"/>
      <c r="I474" s="487"/>
      <c r="J474" s="487"/>
      <c r="K474" s="487"/>
      <c r="L474" s="483"/>
      <c r="M474" s="484"/>
      <c r="N474" s="484"/>
      <c r="O474" s="484"/>
      <c r="P474" s="484"/>
      <c r="Q474" s="484"/>
      <c r="R474" s="484"/>
      <c r="S474" s="484"/>
      <c r="T474" s="484"/>
      <c r="U474" s="484"/>
      <c r="V474" s="484"/>
      <c r="W474" s="484"/>
      <c r="X474" s="484"/>
      <c r="Y474" s="484"/>
      <c r="Z474" s="484"/>
      <c r="AA474" s="484"/>
      <c r="AB474" s="484"/>
      <c r="AC474" s="484"/>
      <c r="AD474" s="484"/>
      <c r="AE474" s="484"/>
      <c r="AF474" s="484"/>
      <c r="AG474" s="484"/>
      <c r="AH474" s="484"/>
      <c r="AI474" s="484"/>
      <c r="AJ474" s="484"/>
      <c r="AK474" s="484"/>
    </row>
    <row r="475" spans="2:37" s="64" customFormat="1" x14ac:dyDescent="0.35">
      <c r="B475" s="30"/>
      <c r="C475" s="30"/>
      <c r="D475" s="30"/>
      <c r="E475" s="30"/>
      <c r="F475" s="258"/>
      <c r="G475" s="30"/>
      <c r="H475" s="482"/>
      <c r="I475" s="482"/>
      <c r="J475" s="482"/>
      <c r="K475" s="482"/>
      <c r="L475" s="483"/>
      <c r="M475" s="484"/>
      <c r="N475" s="484"/>
      <c r="O475" s="484"/>
      <c r="P475" s="484"/>
      <c r="Q475" s="484"/>
      <c r="R475" s="484"/>
      <c r="S475" s="484"/>
      <c r="T475" s="484"/>
      <c r="U475" s="484"/>
      <c r="V475" s="484"/>
      <c r="W475" s="484"/>
      <c r="X475" s="484"/>
      <c r="Y475" s="484"/>
      <c r="Z475" s="484"/>
      <c r="AA475" s="484"/>
      <c r="AB475" s="484"/>
      <c r="AC475" s="484"/>
      <c r="AD475" s="484"/>
      <c r="AE475" s="484"/>
      <c r="AF475" s="484"/>
      <c r="AG475" s="484"/>
      <c r="AH475" s="484"/>
      <c r="AI475" s="484"/>
      <c r="AJ475" s="484"/>
      <c r="AK475" s="484"/>
    </row>
    <row r="476" spans="2:37" s="64" customFormat="1" x14ac:dyDescent="0.35">
      <c r="B476" s="30"/>
      <c r="C476" s="30"/>
      <c r="D476" s="30"/>
      <c r="E476" s="30"/>
      <c r="F476" s="258"/>
      <c r="H476" s="487"/>
      <c r="I476" s="487"/>
      <c r="J476" s="487"/>
      <c r="K476" s="487"/>
      <c r="L476" s="483"/>
      <c r="M476" s="484"/>
      <c r="N476" s="484"/>
      <c r="O476" s="484"/>
      <c r="P476" s="484"/>
      <c r="Q476" s="484"/>
      <c r="R476" s="484"/>
      <c r="S476" s="484"/>
      <c r="T476" s="484"/>
      <c r="U476" s="484"/>
      <c r="V476" s="484"/>
      <c r="W476" s="484"/>
      <c r="X476" s="484"/>
      <c r="Y476" s="484"/>
      <c r="Z476" s="484"/>
      <c r="AA476" s="484"/>
      <c r="AB476" s="484"/>
      <c r="AC476" s="484"/>
      <c r="AD476" s="484"/>
      <c r="AE476" s="484"/>
      <c r="AF476" s="484"/>
      <c r="AG476" s="484"/>
      <c r="AH476" s="484"/>
      <c r="AI476" s="484"/>
      <c r="AJ476" s="484"/>
      <c r="AK476" s="484"/>
    </row>
    <row r="477" spans="2:37" s="64" customFormat="1" x14ac:dyDescent="0.35">
      <c r="B477" s="30"/>
      <c r="C477" s="30"/>
      <c r="D477" s="30"/>
      <c r="E477" s="30"/>
      <c r="F477" s="258"/>
      <c r="G477" s="30"/>
      <c r="H477" s="482"/>
      <c r="I477" s="482"/>
      <c r="J477" s="482"/>
      <c r="K477" s="482"/>
      <c r="L477" s="483"/>
      <c r="M477" s="484"/>
      <c r="N477" s="484"/>
      <c r="O477" s="484"/>
      <c r="P477" s="484"/>
      <c r="Q477" s="484"/>
      <c r="R477" s="484"/>
      <c r="S477" s="484"/>
      <c r="T477" s="484"/>
      <c r="U477" s="484"/>
      <c r="V477" s="484"/>
      <c r="W477" s="484"/>
      <c r="X477" s="484"/>
      <c r="Y477" s="484"/>
      <c r="Z477" s="484"/>
      <c r="AA477" s="484"/>
      <c r="AB477" s="484"/>
      <c r="AC477" s="484"/>
      <c r="AD477" s="484"/>
      <c r="AE477" s="484"/>
      <c r="AF477" s="484"/>
      <c r="AG477" s="484"/>
      <c r="AH477" s="484"/>
      <c r="AI477" s="484"/>
      <c r="AJ477" s="484"/>
      <c r="AK477" s="484"/>
    </row>
    <row r="478" spans="2:37" s="64" customFormat="1" x14ac:dyDescent="0.35">
      <c r="B478" s="30"/>
      <c r="C478" s="30"/>
      <c r="D478" s="30"/>
      <c r="E478" s="30"/>
      <c r="F478" s="258"/>
      <c r="H478" s="487"/>
      <c r="I478" s="487"/>
      <c r="J478" s="487"/>
      <c r="K478" s="487"/>
      <c r="L478" s="483"/>
      <c r="M478" s="484"/>
      <c r="N478" s="484"/>
      <c r="O478" s="484"/>
      <c r="P478" s="484"/>
      <c r="Q478" s="484"/>
      <c r="R478" s="484"/>
      <c r="S478" s="484"/>
      <c r="T478" s="484"/>
      <c r="U478" s="484"/>
      <c r="V478" s="484"/>
      <c r="W478" s="484"/>
      <c r="X478" s="484"/>
      <c r="Y478" s="484"/>
      <c r="Z478" s="484"/>
      <c r="AA478" s="484"/>
      <c r="AB478" s="484"/>
      <c r="AC478" s="484"/>
      <c r="AD478" s="484"/>
      <c r="AE478" s="484"/>
      <c r="AF478" s="484"/>
      <c r="AG478" s="484"/>
      <c r="AH478" s="484"/>
      <c r="AI478" s="484"/>
      <c r="AJ478" s="484"/>
      <c r="AK478" s="484"/>
    </row>
    <row r="479" spans="2:37" s="64" customFormat="1" x14ac:dyDescent="0.35">
      <c r="B479" s="30"/>
      <c r="C479" s="30"/>
      <c r="D479" s="30"/>
      <c r="E479" s="30"/>
      <c r="F479" s="258"/>
      <c r="G479" s="30"/>
      <c r="H479" s="482"/>
      <c r="I479" s="482"/>
      <c r="J479" s="482"/>
      <c r="K479" s="482"/>
      <c r="L479" s="483"/>
      <c r="M479" s="484"/>
      <c r="N479" s="484"/>
      <c r="O479" s="484"/>
      <c r="P479" s="484"/>
      <c r="Q479" s="484"/>
      <c r="R479" s="484"/>
      <c r="S479" s="484"/>
      <c r="T479" s="484"/>
      <c r="U479" s="484"/>
      <c r="V479" s="484"/>
      <c r="W479" s="484"/>
      <c r="X479" s="484"/>
      <c r="Y479" s="484"/>
      <c r="Z479" s="484"/>
      <c r="AA479" s="484"/>
      <c r="AB479" s="484"/>
      <c r="AC479" s="484"/>
      <c r="AD479" s="484"/>
      <c r="AE479" s="484"/>
      <c r="AF479" s="484"/>
      <c r="AG479" s="484"/>
      <c r="AH479" s="484"/>
      <c r="AI479" s="484"/>
      <c r="AJ479" s="484"/>
      <c r="AK479" s="484"/>
    </row>
    <row r="480" spans="2:37" s="64" customFormat="1" x14ac:dyDescent="0.35">
      <c r="B480" s="30"/>
      <c r="C480" s="30"/>
      <c r="D480" s="30"/>
      <c r="E480" s="30"/>
      <c r="F480" s="258"/>
      <c r="H480" s="487"/>
      <c r="I480" s="487"/>
      <c r="J480" s="487"/>
      <c r="K480" s="487"/>
      <c r="L480" s="483"/>
      <c r="M480" s="484"/>
      <c r="N480" s="484"/>
      <c r="O480" s="484"/>
      <c r="P480" s="484"/>
      <c r="Q480" s="484"/>
      <c r="R480" s="484"/>
      <c r="S480" s="484"/>
      <c r="T480" s="484"/>
      <c r="U480" s="484"/>
      <c r="V480" s="484"/>
      <c r="W480" s="484"/>
      <c r="X480" s="484"/>
      <c r="Y480" s="484"/>
      <c r="Z480" s="484"/>
      <c r="AA480" s="484"/>
      <c r="AB480" s="484"/>
      <c r="AC480" s="484"/>
      <c r="AD480" s="484"/>
      <c r="AE480" s="484"/>
      <c r="AF480" s="484"/>
      <c r="AG480" s="484"/>
      <c r="AH480" s="484"/>
      <c r="AI480" s="484"/>
      <c r="AJ480" s="484"/>
      <c r="AK480" s="484"/>
    </row>
    <row r="481" spans="2:37" s="64" customFormat="1" x14ac:dyDescent="0.35">
      <c r="B481" s="30"/>
      <c r="C481" s="30"/>
      <c r="D481" s="30"/>
      <c r="E481" s="30"/>
      <c r="F481" s="258"/>
      <c r="G481" s="30"/>
      <c r="H481" s="482"/>
      <c r="I481" s="482"/>
      <c r="J481" s="482"/>
      <c r="K481" s="482"/>
      <c r="L481" s="483"/>
      <c r="M481" s="484"/>
      <c r="N481" s="484"/>
      <c r="O481" s="484"/>
      <c r="P481" s="484"/>
      <c r="Q481" s="484"/>
      <c r="R481" s="484"/>
      <c r="S481" s="484"/>
      <c r="T481" s="484"/>
      <c r="U481" s="484"/>
      <c r="V481" s="484"/>
      <c r="W481" s="484"/>
      <c r="X481" s="484"/>
      <c r="Y481" s="484"/>
      <c r="Z481" s="484"/>
      <c r="AA481" s="484"/>
      <c r="AB481" s="484"/>
      <c r="AC481" s="484"/>
      <c r="AD481" s="484"/>
      <c r="AE481" s="484"/>
      <c r="AF481" s="484"/>
      <c r="AG481" s="484"/>
      <c r="AH481" s="484"/>
      <c r="AI481" s="484"/>
      <c r="AJ481" s="484"/>
      <c r="AK481" s="484"/>
    </row>
    <row r="482" spans="2:37" s="64" customFormat="1" x14ac:dyDescent="0.35">
      <c r="B482" s="30"/>
      <c r="C482" s="30"/>
      <c r="D482" s="30"/>
      <c r="E482" s="30"/>
      <c r="F482" s="258"/>
      <c r="H482" s="487"/>
      <c r="I482" s="487"/>
      <c r="J482" s="487"/>
      <c r="K482" s="487"/>
      <c r="L482" s="483"/>
      <c r="M482" s="484"/>
      <c r="N482" s="484"/>
      <c r="O482" s="484"/>
      <c r="P482" s="484"/>
      <c r="Q482" s="484"/>
      <c r="R482" s="484"/>
      <c r="S482" s="484"/>
      <c r="T482" s="484"/>
      <c r="U482" s="484"/>
      <c r="V482" s="484"/>
      <c r="W482" s="484"/>
      <c r="X482" s="484"/>
      <c r="Y482" s="484"/>
      <c r="Z482" s="484"/>
      <c r="AA482" s="484"/>
      <c r="AB482" s="484"/>
      <c r="AC482" s="484"/>
      <c r="AD482" s="484"/>
      <c r="AE482" s="484"/>
      <c r="AF482" s="484"/>
      <c r="AG482" s="484"/>
      <c r="AH482" s="484"/>
      <c r="AI482" s="484"/>
      <c r="AJ482" s="484"/>
      <c r="AK482" s="484"/>
    </row>
    <row r="483" spans="2:37" s="64" customFormat="1" x14ac:dyDescent="0.35">
      <c r="B483" s="30"/>
      <c r="C483" s="30"/>
      <c r="D483" s="30"/>
      <c r="E483" s="30"/>
      <c r="F483" s="258"/>
      <c r="G483" s="30"/>
      <c r="H483" s="482"/>
      <c r="I483" s="482"/>
      <c r="J483" s="482"/>
      <c r="K483" s="482"/>
      <c r="L483" s="483"/>
      <c r="M483" s="484"/>
      <c r="N483" s="484"/>
      <c r="O483" s="484"/>
      <c r="P483" s="484"/>
      <c r="Q483" s="484"/>
      <c r="R483" s="484"/>
      <c r="S483" s="484"/>
      <c r="T483" s="484"/>
      <c r="U483" s="484"/>
      <c r="V483" s="484"/>
      <c r="W483" s="484"/>
      <c r="X483" s="484"/>
      <c r="Y483" s="484"/>
      <c r="Z483" s="484"/>
      <c r="AA483" s="484"/>
      <c r="AB483" s="484"/>
      <c r="AC483" s="484"/>
      <c r="AD483" s="484"/>
      <c r="AE483" s="484"/>
      <c r="AF483" s="484"/>
      <c r="AG483" s="484"/>
      <c r="AH483" s="484"/>
      <c r="AI483" s="484"/>
      <c r="AJ483" s="484"/>
      <c r="AK483" s="484"/>
    </row>
    <row r="484" spans="2:37" s="64" customFormat="1" x14ac:dyDescent="0.35">
      <c r="B484" s="30"/>
      <c r="C484" s="30"/>
      <c r="D484" s="30"/>
      <c r="E484" s="30"/>
      <c r="F484" s="258"/>
      <c r="H484" s="487"/>
      <c r="I484" s="487"/>
      <c r="J484" s="487"/>
      <c r="K484" s="487"/>
      <c r="L484" s="483"/>
      <c r="M484" s="484"/>
      <c r="N484" s="484"/>
      <c r="O484" s="484"/>
      <c r="P484" s="484"/>
      <c r="Q484" s="484"/>
      <c r="R484" s="484"/>
      <c r="S484" s="484"/>
      <c r="T484" s="484"/>
      <c r="U484" s="484"/>
      <c r="V484" s="484"/>
      <c r="W484" s="484"/>
      <c r="X484" s="484"/>
      <c r="Y484" s="484"/>
      <c r="Z484" s="484"/>
      <c r="AA484" s="484"/>
      <c r="AB484" s="484"/>
      <c r="AC484" s="484"/>
      <c r="AD484" s="484"/>
      <c r="AE484" s="484"/>
      <c r="AF484" s="484"/>
      <c r="AG484" s="484"/>
      <c r="AH484" s="484"/>
      <c r="AI484" s="484"/>
      <c r="AJ484" s="484"/>
      <c r="AK484" s="484"/>
    </row>
    <row r="485" spans="2:37" s="64" customFormat="1" x14ac:dyDescent="0.35">
      <c r="B485" s="30"/>
      <c r="C485" s="30"/>
      <c r="D485" s="30"/>
      <c r="E485" s="30"/>
      <c r="F485" s="258"/>
      <c r="G485" s="30"/>
      <c r="H485" s="482"/>
      <c r="I485" s="482"/>
      <c r="J485" s="482"/>
      <c r="K485" s="482"/>
      <c r="L485" s="483"/>
      <c r="M485" s="484"/>
      <c r="N485" s="484"/>
      <c r="O485" s="484"/>
      <c r="P485" s="484"/>
      <c r="Q485" s="484"/>
      <c r="R485" s="484"/>
      <c r="S485" s="484"/>
      <c r="T485" s="484"/>
      <c r="U485" s="484"/>
      <c r="V485" s="484"/>
      <c r="W485" s="484"/>
      <c r="X485" s="484"/>
      <c r="Y485" s="484"/>
      <c r="Z485" s="484"/>
      <c r="AA485" s="484"/>
      <c r="AB485" s="484"/>
      <c r="AC485" s="484"/>
      <c r="AD485" s="484"/>
      <c r="AE485" s="484"/>
      <c r="AF485" s="484"/>
      <c r="AG485" s="484"/>
      <c r="AH485" s="484"/>
      <c r="AI485" s="484"/>
      <c r="AJ485" s="484"/>
      <c r="AK485" s="484"/>
    </row>
    <row r="486" spans="2:37" s="64" customFormat="1" x14ac:dyDescent="0.35">
      <c r="B486" s="30"/>
      <c r="C486" s="30"/>
      <c r="D486" s="30"/>
      <c r="E486" s="30"/>
      <c r="F486" s="258"/>
      <c r="H486" s="487"/>
      <c r="I486" s="487"/>
      <c r="J486" s="487"/>
      <c r="K486" s="487"/>
      <c r="L486" s="483"/>
      <c r="M486" s="484"/>
      <c r="N486" s="484"/>
      <c r="O486" s="484"/>
      <c r="P486" s="484"/>
      <c r="Q486" s="484"/>
      <c r="R486" s="484"/>
      <c r="S486" s="484"/>
      <c r="T486" s="484"/>
      <c r="U486" s="484"/>
      <c r="V486" s="484"/>
      <c r="W486" s="484"/>
      <c r="X486" s="484"/>
      <c r="Y486" s="484"/>
      <c r="Z486" s="484"/>
      <c r="AA486" s="484"/>
      <c r="AB486" s="484"/>
      <c r="AC486" s="484"/>
      <c r="AD486" s="484"/>
      <c r="AE486" s="484"/>
      <c r="AF486" s="484"/>
      <c r="AG486" s="484"/>
      <c r="AH486" s="484"/>
      <c r="AI486" s="484"/>
      <c r="AJ486" s="484"/>
      <c r="AK486" s="484"/>
    </row>
    <row r="487" spans="2:37" s="64" customFormat="1" x14ac:dyDescent="0.35">
      <c r="B487" s="30"/>
      <c r="C487" s="30"/>
      <c r="D487" s="30"/>
      <c r="E487" s="30"/>
      <c r="F487" s="258"/>
      <c r="G487" s="30"/>
      <c r="H487" s="482"/>
      <c r="I487" s="482"/>
      <c r="J487" s="482"/>
      <c r="K487" s="482"/>
      <c r="L487" s="483"/>
      <c r="M487" s="484"/>
      <c r="N487" s="484"/>
      <c r="O487" s="484"/>
      <c r="P487" s="484"/>
      <c r="Q487" s="484"/>
      <c r="R487" s="484"/>
      <c r="S487" s="484"/>
      <c r="T487" s="484"/>
      <c r="U487" s="484"/>
      <c r="V487" s="484"/>
      <c r="W487" s="484"/>
      <c r="X487" s="484"/>
      <c r="Y487" s="484"/>
      <c r="Z487" s="484"/>
      <c r="AA487" s="484"/>
      <c r="AB487" s="484"/>
      <c r="AC487" s="484"/>
      <c r="AD487" s="484"/>
      <c r="AE487" s="484"/>
      <c r="AF487" s="484"/>
      <c r="AG487" s="484"/>
      <c r="AH487" s="484"/>
      <c r="AI487" s="484"/>
      <c r="AJ487" s="484"/>
      <c r="AK487" s="484"/>
    </row>
    <row r="488" spans="2:37" s="64" customFormat="1" x14ac:dyDescent="0.35">
      <c r="B488" s="30"/>
      <c r="C488" s="30"/>
      <c r="D488" s="30"/>
      <c r="E488" s="30"/>
      <c r="F488" s="258"/>
      <c r="H488" s="487"/>
      <c r="I488" s="487"/>
      <c r="J488" s="487"/>
      <c r="K488" s="487"/>
      <c r="L488" s="483"/>
      <c r="M488" s="484"/>
      <c r="N488" s="484"/>
      <c r="O488" s="484"/>
      <c r="P488" s="484"/>
      <c r="Q488" s="484"/>
      <c r="R488" s="484"/>
      <c r="S488" s="484"/>
      <c r="T488" s="484"/>
      <c r="U488" s="484"/>
      <c r="V488" s="484"/>
      <c r="W488" s="484"/>
      <c r="X488" s="484"/>
      <c r="Y488" s="484"/>
      <c r="Z488" s="484"/>
      <c r="AA488" s="484"/>
      <c r="AB488" s="484"/>
      <c r="AC488" s="484"/>
      <c r="AD488" s="484"/>
      <c r="AE488" s="484"/>
      <c r="AF488" s="484"/>
      <c r="AG488" s="484"/>
      <c r="AH488" s="484"/>
      <c r="AI488" s="484"/>
      <c r="AJ488" s="484"/>
      <c r="AK488" s="484"/>
    </row>
    <row r="489" spans="2:37" s="64" customFormat="1" x14ac:dyDescent="0.35">
      <c r="B489" s="30"/>
      <c r="C489" s="30"/>
      <c r="D489" s="30"/>
      <c r="E489" s="30"/>
      <c r="F489" s="258"/>
      <c r="G489" s="30"/>
      <c r="H489" s="482"/>
      <c r="I489" s="482"/>
      <c r="J489" s="482"/>
      <c r="K489" s="482"/>
      <c r="L489" s="483"/>
      <c r="M489" s="484"/>
      <c r="N489" s="484"/>
      <c r="O489" s="484"/>
      <c r="P489" s="484"/>
      <c r="Q489" s="484"/>
      <c r="R489" s="484"/>
      <c r="S489" s="484"/>
      <c r="T489" s="484"/>
      <c r="U489" s="484"/>
      <c r="V489" s="484"/>
      <c r="W489" s="484"/>
      <c r="X489" s="484"/>
      <c r="Y489" s="484"/>
      <c r="Z489" s="484"/>
      <c r="AA489" s="484"/>
      <c r="AB489" s="484"/>
      <c r="AC489" s="484"/>
      <c r="AD489" s="484"/>
      <c r="AE489" s="484"/>
      <c r="AF489" s="484"/>
      <c r="AG489" s="484"/>
      <c r="AH489" s="484"/>
      <c r="AI489" s="484"/>
      <c r="AJ489" s="484"/>
      <c r="AK489" s="484"/>
    </row>
    <row r="490" spans="2:37" s="64" customFormat="1" x14ac:dyDescent="0.35">
      <c r="B490" s="30"/>
      <c r="C490" s="30"/>
      <c r="D490" s="30"/>
      <c r="E490" s="30"/>
      <c r="F490" s="258"/>
      <c r="H490" s="487"/>
      <c r="I490" s="487"/>
      <c r="J490" s="487"/>
      <c r="K490" s="487"/>
      <c r="L490" s="483"/>
      <c r="M490" s="484"/>
      <c r="N490" s="484"/>
      <c r="O490" s="484"/>
      <c r="P490" s="484"/>
      <c r="Q490" s="484"/>
      <c r="R490" s="484"/>
      <c r="S490" s="484"/>
      <c r="T490" s="484"/>
      <c r="U490" s="484"/>
      <c r="V490" s="484"/>
      <c r="W490" s="484"/>
      <c r="X490" s="484"/>
      <c r="Y490" s="484"/>
      <c r="Z490" s="484"/>
      <c r="AA490" s="484"/>
      <c r="AB490" s="484"/>
      <c r="AC490" s="484"/>
      <c r="AD490" s="484"/>
      <c r="AE490" s="484"/>
      <c r="AF490" s="484"/>
      <c r="AG490" s="484"/>
      <c r="AH490" s="484"/>
      <c r="AI490" s="484"/>
      <c r="AJ490" s="484"/>
      <c r="AK490" s="484"/>
    </row>
    <row r="491" spans="2:37" s="64" customFormat="1" x14ac:dyDescent="0.35">
      <c r="B491" s="30"/>
      <c r="C491" s="30"/>
      <c r="D491" s="30"/>
      <c r="E491" s="30"/>
      <c r="F491" s="258"/>
      <c r="G491" s="30"/>
      <c r="H491" s="482"/>
      <c r="I491" s="482"/>
      <c r="J491" s="482"/>
      <c r="K491" s="482"/>
      <c r="L491" s="483"/>
      <c r="M491" s="484"/>
      <c r="N491" s="484"/>
      <c r="O491" s="484"/>
      <c r="P491" s="484"/>
      <c r="Q491" s="484"/>
      <c r="R491" s="484"/>
      <c r="S491" s="484"/>
      <c r="T491" s="484"/>
      <c r="U491" s="484"/>
      <c r="V491" s="484"/>
      <c r="W491" s="484"/>
      <c r="X491" s="484"/>
      <c r="Y491" s="484"/>
      <c r="Z491" s="484"/>
      <c r="AA491" s="484"/>
      <c r="AB491" s="484"/>
      <c r="AC491" s="484"/>
      <c r="AD491" s="484"/>
      <c r="AE491" s="484"/>
      <c r="AF491" s="484"/>
      <c r="AG491" s="484"/>
      <c r="AH491" s="484"/>
      <c r="AI491" s="484"/>
      <c r="AJ491" s="484"/>
      <c r="AK491" s="484"/>
    </row>
    <row r="492" spans="2:37" s="64" customFormat="1" x14ac:dyDescent="0.35">
      <c r="B492" s="30"/>
      <c r="C492" s="30"/>
      <c r="D492" s="30"/>
      <c r="E492" s="30"/>
      <c r="F492" s="258"/>
      <c r="H492" s="487"/>
      <c r="I492" s="487"/>
      <c r="J492" s="487"/>
      <c r="K492" s="487"/>
      <c r="L492" s="483"/>
      <c r="M492" s="484"/>
      <c r="N492" s="484"/>
      <c r="O492" s="484"/>
      <c r="P492" s="484"/>
      <c r="Q492" s="484"/>
      <c r="R492" s="484"/>
      <c r="S492" s="484"/>
      <c r="T492" s="484"/>
      <c r="U492" s="484"/>
      <c r="V492" s="484"/>
      <c r="W492" s="484"/>
      <c r="X492" s="484"/>
      <c r="Y492" s="484"/>
      <c r="Z492" s="484"/>
      <c r="AA492" s="484"/>
      <c r="AB492" s="484"/>
      <c r="AC492" s="484"/>
      <c r="AD492" s="484"/>
      <c r="AE492" s="484"/>
      <c r="AF492" s="484"/>
      <c r="AG492" s="484"/>
      <c r="AH492" s="484"/>
      <c r="AI492" s="484"/>
      <c r="AJ492" s="484"/>
      <c r="AK492" s="484"/>
    </row>
    <row r="493" spans="2:37" s="64" customFormat="1" x14ac:dyDescent="0.35">
      <c r="B493" s="30"/>
      <c r="C493" s="30"/>
      <c r="D493" s="30"/>
      <c r="E493" s="30"/>
      <c r="F493" s="258"/>
      <c r="G493" s="30"/>
      <c r="H493" s="482"/>
      <c r="I493" s="482"/>
      <c r="J493" s="482"/>
      <c r="K493" s="482"/>
      <c r="L493" s="483"/>
      <c r="M493" s="484"/>
      <c r="N493" s="484"/>
      <c r="O493" s="484"/>
      <c r="P493" s="484"/>
      <c r="Q493" s="484"/>
      <c r="R493" s="484"/>
      <c r="S493" s="484"/>
      <c r="T493" s="484"/>
      <c r="U493" s="484"/>
      <c r="V493" s="484"/>
      <c r="W493" s="484"/>
      <c r="X493" s="484"/>
      <c r="Y493" s="484"/>
      <c r="Z493" s="484"/>
      <c r="AA493" s="484"/>
      <c r="AB493" s="484"/>
      <c r="AC493" s="484"/>
      <c r="AD493" s="484"/>
      <c r="AE493" s="484"/>
      <c r="AF493" s="484"/>
      <c r="AG493" s="484"/>
      <c r="AH493" s="484"/>
      <c r="AI493" s="484"/>
      <c r="AJ493" s="484"/>
      <c r="AK493" s="484"/>
    </row>
    <row r="494" spans="2:37" s="64" customFormat="1" x14ac:dyDescent="0.35">
      <c r="B494" s="30"/>
      <c r="C494" s="30"/>
      <c r="D494" s="30"/>
      <c r="E494" s="30"/>
      <c r="F494" s="258"/>
      <c r="H494" s="487"/>
      <c r="I494" s="487"/>
      <c r="J494" s="487"/>
      <c r="K494" s="487"/>
      <c r="L494" s="483"/>
      <c r="M494" s="484"/>
      <c r="N494" s="484"/>
      <c r="O494" s="484"/>
      <c r="P494" s="484"/>
      <c r="Q494" s="484"/>
      <c r="R494" s="484"/>
      <c r="S494" s="484"/>
      <c r="T494" s="484"/>
      <c r="U494" s="484"/>
      <c r="V494" s="484"/>
      <c r="W494" s="484"/>
      <c r="X494" s="484"/>
      <c r="Y494" s="484"/>
      <c r="Z494" s="484"/>
      <c r="AA494" s="484"/>
      <c r="AB494" s="484"/>
      <c r="AC494" s="484"/>
      <c r="AD494" s="484"/>
      <c r="AE494" s="484"/>
      <c r="AF494" s="484"/>
      <c r="AG494" s="484"/>
      <c r="AH494" s="484"/>
      <c r="AI494" s="484"/>
      <c r="AJ494" s="484"/>
      <c r="AK494" s="484"/>
    </row>
    <row r="495" spans="2:37" s="64" customFormat="1" x14ac:dyDescent="0.35">
      <c r="B495" s="30"/>
      <c r="C495" s="30"/>
      <c r="D495" s="30"/>
      <c r="E495" s="30"/>
      <c r="F495" s="258"/>
      <c r="G495" s="30"/>
      <c r="H495" s="482"/>
      <c r="I495" s="482"/>
      <c r="J495" s="482"/>
      <c r="K495" s="482"/>
      <c r="L495" s="483"/>
      <c r="M495" s="484"/>
      <c r="N495" s="484"/>
      <c r="O495" s="484"/>
      <c r="P495" s="484"/>
      <c r="Q495" s="484"/>
      <c r="R495" s="484"/>
      <c r="S495" s="484"/>
      <c r="T495" s="484"/>
      <c r="U495" s="484"/>
      <c r="V495" s="484"/>
      <c r="W495" s="484"/>
      <c r="X495" s="484"/>
      <c r="Y495" s="484"/>
      <c r="Z495" s="484"/>
      <c r="AA495" s="484"/>
      <c r="AB495" s="484"/>
      <c r="AC495" s="484"/>
      <c r="AD495" s="484"/>
      <c r="AE495" s="484"/>
      <c r="AF495" s="484"/>
      <c r="AG495" s="484"/>
      <c r="AH495" s="484"/>
      <c r="AI495" s="484"/>
      <c r="AJ495" s="484"/>
      <c r="AK495" s="484"/>
    </row>
    <row r="496" spans="2:37" s="64" customFormat="1" x14ac:dyDescent="0.35">
      <c r="B496" s="30"/>
      <c r="C496" s="30"/>
      <c r="D496" s="30"/>
      <c r="E496" s="30"/>
      <c r="F496" s="258"/>
      <c r="H496" s="487"/>
      <c r="I496" s="487"/>
      <c r="J496" s="487"/>
      <c r="K496" s="487"/>
      <c r="L496" s="483"/>
      <c r="M496" s="484"/>
      <c r="N496" s="484"/>
      <c r="O496" s="484"/>
      <c r="P496" s="484"/>
      <c r="Q496" s="484"/>
      <c r="R496" s="484"/>
      <c r="S496" s="484"/>
      <c r="T496" s="484"/>
      <c r="U496" s="484"/>
      <c r="V496" s="484"/>
      <c r="W496" s="484"/>
      <c r="X496" s="484"/>
      <c r="Y496" s="484"/>
      <c r="Z496" s="484"/>
      <c r="AA496" s="484"/>
      <c r="AB496" s="484"/>
      <c r="AC496" s="484"/>
      <c r="AD496" s="484"/>
      <c r="AE496" s="484"/>
      <c r="AF496" s="484"/>
      <c r="AG496" s="484"/>
      <c r="AH496" s="484"/>
      <c r="AI496" s="484"/>
      <c r="AJ496" s="484"/>
      <c r="AK496" s="484"/>
    </row>
    <row r="497" spans="2:37" s="64" customFormat="1" x14ac:dyDescent="0.35">
      <c r="B497" s="30"/>
      <c r="C497" s="30"/>
      <c r="D497" s="30"/>
      <c r="E497" s="30"/>
      <c r="F497" s="258"/>
      <c r="G497" s="30"/>
      <c r="H497" s="482"/>
      <c r="I497" s="482"/>
      <c r="J497" s="482"/>
      <c r="K497" s="482"/>
      <c r="L497" s="483"/>
      <c r="M497" s="484"/>
      <c r="N497" s="484"/>
      <c r="O497" s="484"/>
      <c r="P497" s="484"/>
      <c r="Q497" s="484"/>
      <c r="R497" s="484"/>
      <c r="S497" s="484"/>
      <c r="T497" s="484"/>
      <c r="U497" s="484"/>
      <c r="V497" s="484"/>
      <c r="W497" s="484"/>
      <c r="X497" s="484"/>
      <c r="Y497" s="484"/>
      <c r="Z497" s="484"/>
      <c r="AA497" s="484"/>
      <c r="AB497" s="484"/>
      <c r="AC497" s="484"/>
      <c r="AD497" s="484"/>
      <c r="AE497" s="484"/>
      <c r="AF497" s="484"/>
      <c r="AG497" s="484"/>
      <c r="AH497" s="484"/>
      <c r="AI497" s="484"/>
      <c r="AJ497" s="484"/>
      <c r="AK497" s="484"/>
    </row>
    <row r="498" spans="2:37" s="64" customFormat="1" x14ac:dyDescent="0.35">
      <c r="B498" s="30"/>
      <c r="C498" s="30"/>
      <c r="D498" s="30"/>
      <c r="E498" s="30"/>
      <c r="F498" s="258"/>
      <c r="H498" s="487"/>
      <c r="I498" s="487"/>
      <c r="J498" s="487"/>
      <c r="K498" s="487"/>
      <c r="L498" s="483"/>
      <c r="M498" s="484"/>
      <c r="N498" s="484"/>
      <c r="O498" s="484"/>
      <c r="P498" s="484"/>
      <c r="Q498" s="484"/>
      <c r="R498" s="484"/>
      <c r="S498" s="484"/>
      <c r="T498" s="484"/>
      <c r="U498" s="484"/>
      <c r="V498" s="484"/>
      <c r="W498" s="484"/>
      <c r="X498" s="484"/>
      <c r="Y498" s="484"/>
      <c r="Z498" s="484"/>
      <c r="AA498" s="484"/>
      <c r="AB498" s="484"/>
      <c r="AC498" s="484"/>
      <c r="AD498" s="484"/>
      <c r="AE498" s="484"/>
      <c r="AF498" s="484"/>
      <c r="AG498" s="484"/>
      <c r="AH498" s="484"/>
      <c r="AI498" s="484"/>
      <c r="AJ498" s="484"/>
      <c r="AK498" s="484"/>
    </row>
    <row r="499" spans="2:37" s="64" customFormat="1" x14ac:dyDescent="0.35">
      <c r="B499" s="30"/>
      <c r="C499" s="30"/>
      <c r="D499" s="30"/>
      <c r="E499" s="30"/>
      <c r="F499" s="258"/>
      <c r="G499" s="30"/>
      <c r="H499" s="482"/>
      <c r="I499" s="482"/>
      <c r="J499" s="482"/>
      <c r="K499" s="482"/>
      <c r="L499" s="483"/>
      <c r="M499" s="484"/>
      <c r="N499" s="484"/>
      <c r="O499" s="484"/>
      <c r="P499" s="484"/>
      <c r="Q499" s="484"/>
      <c r="R499" s="484"/>
      <c r="S499" s="484"/>
      <c r="T499" s="484"/>
      <c r="U499" s="484"/>
      <c r="V499" s="484"/>
      <c r="W499" s="484"/>
      <c r="X499" s="484"/>
      <c r="Y499" s="484"/>
      <c r="Z499" s="484"/>
      <c r="AA499" s="484"/>
      <c r="AB499" s="484"/>
      <c r="AC499" s="484"/>
      <c r="AD499" s="484"/>
      <c r="AE499" s="484"/>
      <c r="AF499" s="484"/>
      <c r="AG499" s="484"/>
      <c r="AH499" s="484"/>
      <c r="AI499" s="484"/>
      <c r="AJ499" s="484"/>
      <c r="AK499" s="484"/>
    </row>
    <row r="500" spans="2:37" s="64" customFormat="1" x14ac:dyDescent="0.35">
      <c r="B500" s="30"/>
      <c r="C500" s="30"/>
      <c r="D500" s="30"/>
      <c r="E500" s="30"/>
      <c r="F500" s="258"/>
      <c r="H500" s="487"/>
      <c r="I500" s="487"/>
      <c r="J500" s="487"/>
      <c r="K500" s="487"/>
      <c r="L500" s="483"/>
      <c r="M500" s="484"/>
      <c r="N500" s="484"/>
      <c r="O500" s="484"/>
      <c r="P500" s="484"/>
      <c r="Q500" s="484"/>
      <c r="R500" s="484"/>
      <c r="S500" s="484"/>
      <c r="T500" s="484"/>
      <c r="U500" s="484"/>
      <c r="V500" s="484"/>
      <c r="W500" s="484"/>
      <c r="X500" s="484"/>
      <c r="Y500" s="484"/>
      <c r="Z500" s="484"/>
      <c r="AA500" s="484"/>
      <c r="AB500" s="484"/>
      <c r="AC500" s="484"/>
      <c r="AD500" s="484"/>
      <c r="AE500" s="484"/>
      <c r="AF500" s="484"/>
      <c r="AG500" s="484"/>
      <c r="AH500" s="484"/>
      <c r="AI500" s="484"/>
      <c r="AJ500" s="484"/>
      <c r="AK500" s="484"/>
    </row>
    <row r="501" spans="2:37" s="64" customFormat="1" x14ac:dyDescent="0.35">
      <c r="B501" s="30"/>
      <c r="C501" s="30"/>
      <c r="D501" s="30"/>
      <c r="E501" s="30"/>
      <c r="F501" s="258"/>
      <c r="G501" s="30"/>
      <c r="H501" s="482"/>
      <c r="I501" s="482"/>
      <c r="J501" s="482"/>
      <c r="K501" s="482"/>
      <c r="L501" s="483"/>
      <c r="M501" s="484"/>
      <c r="N501" s="484"/>
      <c r="O501" s="484"/>
      <c r="P501" s="484"/>
      <c r="Q501" s="484"/>
      <c r="R501" s="484"/>
      <c r="S501" s="484"/>
      <c r="T501" s="484"/>
      <c r="U501" s="484"/>
      <c r="V501" s="484"/>
      <c r="W501" s="484"/>
      <c r="X501" s="484"/>
      <c r="Y501" s="484"/>
      <c r="Z501" s="484"/>
      <c r="AA501" s="484"/>
      <c r="AB501" s="484"/>
      <c r="AC501" s="484"/>
      <c r="AD501" s="484"/>
      <c r="AE501" s="484"/>
      <c r="AF501" s="484"/>
      <c r="AG501" s="484"/>
      <c r="AH501" s="484"/>
      <c r="AI501" s="484"/>
      <c r="AJ501" s="484"/>
      <c r="AK501" s="484"/>
    </row>
    <row r="502" spans="2:37" s="64" customFormat="1" x14ac:dyDescent="0.35">
      <c r="B502" s="30"/>
      <c r="C502" s="30"/>
      <c r="D502" s="30"/>
      <c r="E502" s="30"/>
      <c r="F502" s="258"/>
      <c r="H502" s="487"/>
      <c r="I502" s="487"/>
      <c r="J502" s="487"/>
      <c r="K502" s="487"/>
      <c r="L502" s="483"/>
      <c r="M502" s="484"/>
      <c r="N502" s="484"/>
      <c r="O502" s="484"/>
      <c r="P502" s="484"/>
      <c r="Q502" s="484"/>
      <c r="R502" s="484"/>
      <c r="S502" s="484"/>
      <c r="T502" s="484"/>
      <c r="U502" s="484"/>
      <c r="V502" s="484"/>
      <c r="W502" s="484"/>
      <c r="X502" s="484"/>
      <c r="Y502" s="484"/>
      <c r="Z502" s="484"/>
      <c r="AA502" s="484"/>
      <c r="AB502" s="484"/>
      <c r="AC502" s="484"/>
      <c r="AD502" s="484"/>
      <c r="AE502" s="484"/>
      <c r="AF502" s="484"/>
      <c r="AG502" s="484"/>
      <c r="AH502" s="484"/>
      <c r="AI502" s="484"/>
      <c r="AJ502" s="484"/>
      <c r="AK502" s="484"/>
    </row>
    <row r="503" spans="2:37" s="64" customFormat="1" x14ac:dyDescent="0.35">
      <c r="B503" s="30"/>
      <c r="C503" s="30"/>
      <c r="D503" s="30"/>
      <c r="E503" s="30"/>
      <c r="F503" s="258"/>
      <c r="G503" s="30"/>
      <c r="H503" s="482"/>
      <c r="I503" s="482"/>
      <c r="J503" s="482"/>
      <c r="K503" s="482"/>
      <c r="L503" s="483"/>
      <c r="M503" s="484"/>
      <c r="N503" s="484"/>
      <c r="O503" s="484"/>
      <c r="P503" s="484"/>
      <c r="Q503" s="484"/>
      <c r="R503" s="484"/>
      <c r="S503" s="484"/>
      <c r="T503" s="484"/>
      <c r="U503" s="484"/>
      <c r="V503" s="484"/>
      <c r="W503" s="484"/>
      <c r="X503" s="484"/>
      <c r="Y503" s="484"/>
      <c r="Z503" s="484"/>
      <c r="AA503" s="484"/>
      <c r="AB503" s="484"/>
      <c r="AC503" s="484"/>
      <c r="AD503" s="484"/>
      <c r="AE503" s="484"/>
      <c r="AF503" s="484"/>
      <c r="AG503" s="484"/>
      <c r="AH503" s="484"/>
      <c r="AI503" s="484"/>
      <c r="AJ503" s="484"/>
      <c r="AK503" s="484"/>
    </row>
    <row r="504" spans="2:37" s="64" customFormat="1" x14ac:dyDescent="0.35">
      <c r="B504" s="30"/>
      <c r="C504" s="30"/>
      <c r="D504" s="30"/>
      <c r="E504" s="30"/>
      <c r="F504" s="258"/>
      <c r="H504" s="487"/>
      <c r="I504" s="487"/>
      <c r="J504" s="487"/>
      <c r="K504" s="487"/>
      <c r="L504" s="483"/>
      <c r="M504" s="484"/>
      <c r="N504" s="484"/>
      <c r="O504" s="484"/>
      <c r="P504" s="484"/>
      <c r="Q504" s="484"/>
      <c r="R504" s="484"/>
      <c r="S504" s="484"/>
      <c r="T504" s="484"/>
      <c r="U504" s="484"/>
      <c r="V504" s="484"/>
      <c r="W504" s="484"/>
      <c r="X504" s="484"/>
      <c r="Y504" s="484"/>
      <c r="Z504" s="484"/>
      <c r="AA504" s="484"/>
      <c r="AB504" s="484"/>
      <c r="AC504" s="484"/>
      <c r="AD504" s="484"/>
      <c r="AE504" s="484"/>
      <c r="AF504" s="484"/>
      <c r="AG504" s="484"/>
      <c r="AH504" s="484"/>
      <c r="AI504" s="484"/>
      <c r="AJ504" s="484"/>
      <c r="AK504" s="484"/>
    </row>
    <row r="505" spans="2:37" s="64" customFormat="1" x14ac:dyDescent="0.35">
      <c r="B505" s="30"/>
      <c r="C505" s="30"/>
      <c r="D505" s="30"/>
      <c r="E505" s="30"/>
      <c r="F505" s="258"/>
      <c r="G505" s="30"/>
      <c r="H505" s="482"/>
      <c r="I505" s="482"/>
      <c r="J505" s="482"/>
      <c r="K505" s="482"/>
      <c r="L505" s="483"/>
      <c r="M505" s="484"/>
      <c r="N505" s="484"/>
      <c r="O505" s="484"/>
      <c r="P505" s="484"/>
      <c r="Q505" s="484"/>
      <c r="R505" s="484"/>
      <c r="S505" s="484"/>
      <c r="T505" s="484"/>
      <c r="U505" s="484"/>
      <c r="V505" s="484"/>
      <c r="W505" s="484"/>
      <c r="X505" s="484"/>
      <c r="Y505" s="484"/>
      <c r="Z505" s="484"/>
      <c r="AA505" s="484"/>
      <c r="AB505" s="484"/>
      <c r="AC505" s="484"/>
      <c r="AD505" s="484"/>
      <c r="AE505" s="484"/>
      <c r="AF505" s="484"/>
      <c r="AG505" s="484"/>
      <c r="AH505" s="484"/>
      <c r="AI505" s="484"/>
      <c r="AJ505" s="484"/>
      <c r="AK505" s="484"/>
    </row>
    <row r="506" spans="2:37" s="64" customFormat="1" x14ac:dyDescent="0.35">
      <c r="B506" s="30"/>
      <c r="C506" s="30"/>
      <c r="D506" s="30"/>
      <c r="E506" s="30"/>
      <c r="F506" s="258"/>
      <c r="H506" s="487"/>
      <c r="I506" s="487"/>
      <c r="J506" s="487"/>
      <c r="K506" s="487"/>
      <c r="L506" s="483"/>
      <c r="M506" s="484"/>
      <c r="N506" s="484"/>
      <c r="O506" s="484"/>
      <c r="P506" s="484"/>
      <c r="Q506" s="484"/>
      <c r="R506" s="484"/>
      <c r="S506" s="484"/>
      <c r="T506" s="484"/>
      <c r="U506" s="484"/>
      <c r="V506" s="484"/>
      <c r="W506" s="484"/>
      <c r="X506" s="484"/>
      <c r="Y506" s="484"/>
      <c r="Z506" s="484"/>
      <c r="AA506" s="484"/>
      <c r="AB506" s="484"/>
      <c r="AC506" s="484"/>
      <c r="AD506" s="484"/>
      <c r="AE506" s="484"/>
      <c r="AF506" s="484"/>
      <c r="AG506" s="484"/>
      <c r="AH506" s="484"/>
      <c r="AI506" s="484"/>
      <c r="AJ506" s="484"/>
      <c r="AK506" s="484"/>
    </row>
    <row r="507" spans="2:37" s="64" customFormat="1" x14ac:dyDescent="0.35">
      <c r="B507" s="30"/>
      <c r="C507" s="30"/>
      <c r="D507" s="30"/>
      <c r="E507" s="30"/>
      <c r="F507" s="258"/>
      <c r="G507" s="30"/>
      <c r="H507" s="482"/>
      <c r="I507" s="482"/>
      <c r="J507" s="482"/>
      <c r="K507" s="482"/>
      <c r="L507" s="483"/>
      <c r="M507" s="484"/>
      <c r="N507" s="484"/>
      <c r="O507" s="484"/>
      <c r="P507" s="484"/>
      <c r="Q507" s="484"/>
      <c r="R507" s="484"/>
      <c r="S507" s="484"/>
      <c r="T507" s="484"/>
      <c r="U507" s="484"/>
      <c r="V507" s="484"/>
      <c r="W507" s="484"/>
      <c r="X507" s="484"/>
      <c r="Y507" s="484"/>
      <c r="Z507" s="484"/>
      <c r="AA507" s="484"/>
      <c r="AB507" s="484"/>
      <c r="AC507" s="484"/>
      <c r="AD507" s="484"/>
      <c r="AE507" s="484"/>
      <c r="AF507" s="484"/>
      <c r="AG507" s="484"/>
      <c r="AH507" s="484"/>
      <c r="AI507" s="484"/>
      <c r="AJ507" s="484"/>
      <c r="AK507" s="484"/>
    </row>
    <row r="508" spans="2:37" s="64" customFormat="1" x14ac:dyDescent="0.35">
      <c r="B508" s="30"/>
      <c r="C508" s="30"/>
      <c r="D508" s="30"/>
      <c r="E508" s="30"/>
      <c r="F508" s="258"/>
      <c r="H508" s="487"/>
      <c r="I508" s="487"/>
      <c r="J508" s="487"/>
      <c r="K508" s="487"/>
      <c r="L508" s="483"/>
      <c r="M508" s="484"/>
      <c r="N508" s="484"/>
      <c r="O508" s="484"/>
      <c r="P508" s="484"/>
      <c r="Q508" s="484"/>
      <c r="R508" s="484"/>
      <c r="S508" s="484"/>
      <c r="T508" s="484"/>
      <c r="U508" s="484"/>
      <c r="V508" s="484"/>
      <c r="W508" s="484"/>
      <c r="X508" s="484"/>
      <c r="Y508" s="484"/>
      <c r="Z508" s="484"/>
      <c r="AA508" s="484"/>
      <c r="AB508" s="484"/>
      <c r="AC508" s="484"/>
      <c r="AD508" s="484"/>
      <c r="AE508" s="484"/>
      <c r="AF508" s="484"/>
      <c r="AG508" s="484"/>
      <c r="AH508" s="484"/>
      <c r="AI508" s="484"/>
      <c r="AJ508" s="484"/>
      <c r="AK508" s="484"/>
    </row>
    <row r="509" spans="2:37" s="64" customFormat="1" x14ac:dyDescent="0.35">
      <c r="B509" s="30"/>
      <c r="C509" s="30"/>
      <c r="D509" s="30"/>
      <c r="E509" s="30"/>
      <c r="F509" s="258"/>
      <c r="G509" s="30"/>
      <c r="H509" s="482"/>
      <c r="I509" s="482"/>
      <c r="J509" s="482"/>
      <c r="K509" s="482"/>
      <c r="L509" s="483"/>
      <c r="M509" s="484"/>
      <c r="N509" s="484"/>
      <c r="O509" s="484"/>
      <c r="P509" s="484"/>
      <c r="Q509" s="484"/>
      <c r="R509" s="484"/>
      <c r="S509" s="484"/>
      <c r="T509" s="484"/>
      <c r="U509" s="484"/>
      <c r="V509" s="484"/>
      <c r="W509" s="484"/>
      <c r="X509" s="484"/>
      <c r="Y509" s="484"/>
      <c r="Z509" s="484"/>
      <c r="AA509" s="484"/>
      <c r="AB509" s="484"/>
      <c r="AC509" s="484"/>
      <c r="AD509" s="484"/>
      <c r="AE509" s="484"/>
      <c r="AF509" s="484"/>
      <c r="AG509" s="484"/>
      <c r="AH509" s="484"/>
      <c r="AI509" s="484"/>
      <c r="AJ509" s="484"/>
      <c r="AK509" s="484"/>
    </row>
    <row r="510" spans="2:37" s="64" customFormat="1" x14ac:dyDescent="0.35">
      <c r="B510" s="30"/>
      <c r="C510" s="30"/>
      <c r="D510" s="30"/>
      <c r="E510" s="30"/>
      <c r="F510" s="258"/>
      <c r="H510" s="487"/>
      <c r="I510" s="487"/>
      <c r="J510" s="487"/>
      <c r="K510" s="487"/>
      <c r="L510" s="483"/>
      <c r="M510" s="484"/>
      <c r="N510" s="484"/>
      <c r="O510" s="484"/>
      <c r="P510" s="484"/>
      <c r="Q510" s="484"/>
      <c r="R510" s="484"/>
      <c r="S510" s="484"/>
      <c r="T510" s="484"/>
      <c r="U510" s="484"/>
      <c r="V510" s="484"/>
      <c r="W510" s="484"/>
      <c r="X510" s="484"/>
      <c r="Y510" s="484"/>
      <c r="Z510" s="484"/>
      <c r="AA510" s="484"/>
      <c r="AB510" s="484"/>
      <c r="AC510" s="484"/>
      <c r="AD510" s="484"/>
      <c r="AE510" s="484"/>
      <c r="AF510" s="484"/>
      <c r="AG510" s="484"/>
      <c r="AH510" s="484"/>
      <c r="AI510" s="484"/>
      <c r="AJ510" s="484"/>
      <c r="AK510" s="484"/>
    </row>
    <row r="511" spans="2:37" s="64" customFormat="1" x14ac:dyDescent="0.35">
      <c r="B511" s="30"/>
      <c r="C511" s="30"/>
      <c r="D511" s="30"/>
      <c r="E511" s="30"/>
      <c r="F511" s="258"/>
      <c r="G511" s="30"/>
      <c r="H511" s="482"/>
      <c r="I511" s="482"/>
      <c r="J511" s="482"/>
      <c r="K511" s="482"/>
      <c r="L511" s="483"/>
      <c r="M511" s="484"/>
      <c r="N511" s="484"/>
      <c r="O511" s="484"/>
      <c r="P511" s="484"/>
      <c r="Q511" s="484"/>
      <c r="R511" s="484"/>
      <c r="S511" s="484"/>
      <c r="T511" s="484"/>
      <c r="U511" s="484"/>
      <c r="V511" s="484"/>
      <c r="W511" s="484"/>
      <c r="X511" s="484"/>
      <c r="Y511" s="484"/>
      <c r="Z511" s="484"/>
      <c r="AA511" s="484"/>
      <c r="AB511" s="484"/>
      <c r="AC511" s="484"/>
      <c r="AD511" s="484"/>
      <c r="AE511" s="484"/>
      <c r="AF511" s="484"/>
      <c r="AG511" s="484"/>
      <c r="AH511" s="484"/>
      <c r="AI511" s="484"/>
      <c r="AJ511" s="484"/>
      <c r="AK511" s="484"/>
    </row>
    <row r="512" spans="2:37" s="64" customFormat="1" x14ac:dyDescent="0.35">
      <c r="B512" s="30"/>
      <c r="C512" s="30"/>
      <c r="D512" s="30"/>
      <c r="E512" s="30"/>
      <c r="F512" s="258"/>
      <c r="H512" s="487"/>
      <c r="I512" s="487"/>
      <c r="J512" s="487"/>
      <c r="K512" s="487"/>
      <c r="L512" s="483"/>
      <c r="M512" s="484"/>
      <c r="N512" s="484"/>
      <c r="O512" s="484"/>
      <c r="P512" s="484"/>
      <c r="Q512" s="484"/>
      <c r="R512" s="484"/>
      <c r="S512" s="484"/>
      <c r="T512" s="484"/>
      <c r="U512" s="484"/>
      <c r="V512" s="484"/>
      <c r="W512" s="484"/>
      <c r="X512" s="484"/>
      <c r="Y512" s="484"/>
      <c r="Z512" s="484"/>
      <c r="AA512" s="484"/>
      <c r="AB512" s="484"/>
      <c r="AC512" s="484"/>
      <c r="AD512" s="484"/>
      <c r="AE512" s="484"/>
      <c r="AF512" s="484"/>
      <c r="AG512" s="484"/>
      <c r="AH512" s="484"/>
      <c r="AI512" s="484"/>
      <c r="AJ512" s="484"/>
      <c r="AK512" s="484"/>
    </row>
    <row r="513" spans="2:37" s="64" customFormat="1" x14ac:dyDescent="0.35">
      <c r="B513" s="30"/>
      <c r="C513" s="30"/>
      <c r="D513" s="30"/>
      <c r="E513" s="30"/>
      <c r="F513" s="258"/>
      <c r="G513" s="30"/>
      <c r="H513" s="482"/>
      <c r="I513" s="482"/>
      <c r="J513" s="482"/>
      <c r="K513" s="482"/>
      <c r="L513" s="483"/>
      <c r="M513" s="484"/>
      <c r="N513" s="484"/>
      <c r="O513" s="484"/>
      <c r="P513" s="484"/>
      <c r="Q513" s="484"/>
      <c r="R513" s="484"/>
      <c r="S513" s="484"/>
      <c r="T513" s="484"/>
      <c r="U513" s="484"/>
      <c r="V513" s="484"/>
      <c r="W513" s="484"/>
      <c r="X513" s="484"/>
      <c r="Y513" s="484"/>
      <c r="Z513" s="484"/>
      <c r="AA513" s="484"/>
      <c r="AB513" s="484"/>
      <c r="AC513" s="484"/>
      <c r="AD513" s="484"/>
      <c r="AE513" s="484"/>
      <c r="AF513" s="484"/>
      <c r="AG513" s="484"/>
      <c r="AH513" s="484"/>
      <c r="AI513" s="484"/>
      <c r="AJ513" s="484"/>
      <c r="AK513" s="484"/>
    </row>
    <row r="514" spans="2:37" s="64" customFormat="1" x14ac:dyDescent="0.35">
      <c r="B514" s="30"/>
      <c r="C514" s="30"/>
      <c r="D514" s="30"/>
      <c r="E514" s="30"/>
      <c r="F514" s="258"/>
      <c r="H514" s="487"/>
      <c r="I514" s="487"/>
      <c r="J514" s="487"/>
      <c r="K514" s="487"/>
      <c r="L514" s="483"/>
      <c r="M514" s="484"/>
      <c r="N514" s="484"/>
      <c r="O514" s="484"/>
      <c r="P514" s="484"/>
      <c r="Q514" s="484"/>
      <c r="R514" s="484"/>
      <c r="S514" s="484"/>
      <c r="T514" s="484"/>
      <c r="U514" s="484"/>
      <c r="V514" s="484"/>
      <c r="W514" s="484"/>
      <c r="X514" s="484"/>
      <c r="Y514" s="484"/>
      <c r="Z514" s="484"/>
      <c r="AA514" s="484"/>
      <c r="AB514" s="484"/>
      <c r="AC514" s="484"/>
      <c r="AD514" s="484"/>
      <c r="AE514" s="484"/>
      <c r="AF514" s="484"/>
      <c r="AG514" s="484"/>
      <c r="AH514" s="484"/>
      <c r="AI514" s="484"/>
      <c r="AJ514" s="484"/>
      <c r="AK514" s="484"/>
    </row>
    <row r="515" spans="2:37" s="64" customFormat="1" x14ac:dyDescent="0.35">
      <c r="B515" s="30"/>
      <c r="C515" s="30"/>
      <c r="D515" s="30"/>
      <c r="E515" s="30"/>
      <c r="F515" s="258"/>
      <c r="G515" s="30"/>
      <c r="H515" s="482"/>
      <c r="I515" s="482"/>
      <c r="J515" s="482"/>
      <c r="K515" s="482"/>
      <c r="L515" s="483"/>
      <c r="M515" s="484"/>
      <c r="N515" s="484"/>
      <c r="O515" s="484"/>
      <c r="P515" s="484"/>
      <c r="Q515" s="484"/>
      <c r="R515" s="484"/>
      <c r="S515" s="484"/>
      <c r="T515" s="484"/>
      <c r="U515" s="484"/>
      <c r="V515" s="484"/>
      <c r="W515" s="484"/>
      <c r="X515" s="484"/>
      <c r="Y515" s="484"/>
      <c r="Z515" s="484"/>
      <c r="AA515" s="484"/>
      <c r="AB515" s="484"/>
      <c r="AC515" s="484"/>
      <c r="AD515" s="484"/>
      <c r="AE515" s="484"/>
      <c r="AF515" s="484"/>
      <c r="AG515" s="484"/>
      <c r="AH515" s="484"/>
      <c r="AI515" s="484"/>
      <c r="AJ515" s="484"/>
      <c r="AK515" s="484"/>
    </row>
    <row r="516" spans="2:37" s="64" customFormat="1" x14ac:dyDescent="0.35">
      <c r="B516" s="30"/>
      <c r="C516" s="30"/>
      <c r="D516" s="30"/>
      <c r="E516" s="30"/>
      <c r="F516" s="258"/>
      <c r="H516" s="487"/>
      <c r="I516" s="487"/>
      <c r="J516" s="487"/>
      <c r="K516" s="487"/>
      <c r="L516" s="483"/>
      <c r="M516" s="484"/>
      <c r="N516" s="484"/>
      <c r="O516" s="484"/>
      <c r="P516" s="484"/>
      <c r="Q516" s="484"/>
      <c r="R516" s="484"/>
      <c r="S516" s="484"/>
      <c r="T516" s="484"/>
      <c r="U516" s="484"/>
      <c r="V516" s="484"/>
      <c r="W516" s="484"/>
      <c r="X516" s="484"/>
      <c r="Y516" s="484"/>
      <c r="Z516" s="484"/>
      <c r="AA516" s="484"/>
      <c r="AB516" s="484"/>
      <c r="AC516" s="484"/>
      <c r="AD516" s="484"/>
      <c r="AE516" s="484"/>
      <c r="AF516" s="484"/>
      <c r="AG516" s="484"/>
      <c r="AH516" s="484"/>
      <c r="AI516" s="484"/>
      <c r="AJ516" s="484"/>
      <c r="AK516" s="484"/>
    </row>
    <row r="517" spans="2:37" s="64" customFormat="1" x14ac:dyDescent="0.35">
      <c r="B517" s="30"/>
      <c r="C517" s="30"/>
      <c r="D517" s="30"/>
      <c r="E517" s="30"/>
      <c r="F517" s="258"/>
      <c r="G517" s="30"/>
      <c r="H517" s="482"/>
      <c r="I517" s="482"/>
      <c r="J517" s="482"/>
      <c r="K517" s="482"/>
      <c r="L517" s="483"/>
      <c r="M517" s="484"/>
      <c r="N517" s="484"/>
      <c r="O517" s="484"/>
      <c r="P517" s="484"/>
      <c r="Q517" s="484"/>
      <c r="R517" s="484"/>
      <c r="S517" s="484"/>
      <c r="T517" s="484"/>
      <c r="U517" s="484"/>
      <c r="V517" s="484"/>
      <c r="W517" s="484"/>
      <c r="X517" s="484"/>
      <c r="Y517" s="484"/>
      <c r="Z517" s="484"/>
      <c r="AA517" s="484"/>
      <c r="AB517" s="484"/>
      <c r="AC517" s="484"/>
      <c r="AD517" s="484"/>
      <c r="AE517" s="484"/>
      <c r="AF517" s="484"/>
      <c r="AG517" s="484"/>
      <c r="AH517" s="484"/>
      <c r="AI517" s="484"/>
      <c r="AJ517" s="484"/>
      <c r="AK517" s="484"/>
    </row>
    <row r="518" spans="2:37" s="64" customFormat="1" x14ac:dyDescent="0.35">
      <c r="B518" s="30"/>
      <c r="C518" s="30"/>
      <c r="D518" s="30"/>
      <c r="E518" s="30"/>
      <c r="F518" s="258"/>
      <c r="H518" s="487"/>
      <c r="I518" s="487"/>
      <c r="J518" s="487"/>
      <c r="K518" s="487"/>
      <c r="L518" s="483"/>
      <c r="M518" s="484"/>
      <c r="N518" s="484"/>
      <c r="O518" s="484"/>
      <c r="P518" s="484"/>
      <c r="Q518" s="484"/>
      <c r="R518" s="484"/>
      <c r="S518" s="484"/>
      <c r="T518" s="484"/>
      <c r="U518" s="484"/>
      <c r="V518" s="484"/>
      <c r="W518" s="484"/>
      <c r="X518" s="484"/>
      <c r="Y518" s="484"/>
      <c r="Z518" s="484"/>
      <c r="AA518" s="484"/>
      <c r="AB518" s="484"/>
      <c r="AC518" s="484"/>
      <c r="AD518" s="484"/>
      <c r="AE518" s="484"/>
      <c r="AF518" s="484"/>
      <c r="AG518" s="484"/>
      <c r="AH518" s="484"/>
      <c r="AI518" s="484"/>
      <c r="AJ518" s="484"/>
      <c r="AK518" s="484"/>
    </row>
    <row r="519" spans="2:37" s="64" customFormat="1" x14ac:dyDescent="0.35">
      <c r="B519" s="30"/>
      <c r="C519" s="30"/>
      <c r="D519" s="30"/>
      <c r="E519" s="30"/>
      <c r="F519" s="258"/>
      <c r="G519" s="30"/>
      <c r="H519" s="482"/>
      <c r="I519" s="482"/>
      <c r="J519" s="482"/>
      <c r="K519" s="482"/>
      <c r="L519" s="483"/>
      <c r="M519" s="484"/>
      <c r="N519" s="484"/>
      <c r="O519" s="484"/>
      <c r="P519" s="484"/>
      <c r="Q519" s="484"/>
      <c r="R519" s="484"/>
      <c r="S519" s="484"/>
      <c r="T519" s="484"/>
      <c r="U519" s="484"/>
      <c r="V519" s="484"/>
      <c r="W519" s="484"/>
      <c r="X519" s="484"/>
      <c r="Y519" s="484"/>
      <c r="Z519" s="484"/>
      <c r="AA519" s="484"/>
      <c r="AB519" s="484"/>
      <c r="AC519" s="484"/>
      <c r="AD519" s="484"/>
      <c r="AE519" s="484"/>
      <c r="AF519" s="484"/>
      <c r="AG519" s="484"/>
      <c r="AH519" s="484"/>
      <c r="AI519" s="484"/>
      <c r="AJ519" s="484"/>
      <c r="AK519" s="484"/>
    </row>
    <row r="520" spans="2:37" s="64" customFormat="1" x14ac:dyDescent="0.35">
      <c r="B520" s="30"/>
      <c r="C520" s="30"/>
      <c r="D520" s="30"/>
      <c r="E520" s="30"/>
      <c r="F520" s="258"/>
      <c r="H520" s="487"/>
      <c r="I520" s="487"/>
      <c r="J520" s="487"/>
      <c r="K520" s="487"/>
      <c r="L520" s="483"/>
      <c r="M520" s="484"/>
      <c r="N520" s="484"/>
      <c r="O520" s="484"/>
      <c r="P520" s="484"/>
      <c r="Q520" s="484"/>
      <c r="R520" s="484"/>
      <c r="S520" s="484"/>
      <c r="T520" s="484"/>
      <c r="U520" s="484"/>
      <c r="V520" s="484"/>
      <c r="W520" s="484"/>
      <c r="X520" s="484"/>
      <c r="Y520" s="484"/>
      <c r="Z520" s="484"/>
      <c r="AA520" s="484"/>
      <c r="AB520" s="484"/>
      <c r="AC520" s="484"/>
      <c r="AD520" s="484"/>
      <c r="AE520" s="484"/>
      <c r="AF520" s="484"/>
      <c r="AG520" s="484"/>
      <c r="AH520" s="484"/>
      <c r="AI520" s="484"/>
      <c r="AJ520" s="484"/>
      <c r="AK520" s="484"/>
    </row>
    <row r="521" spans="2:37" s="64" customFormat="1" x14ac:dyDescent="0.35">
      <c r="B521" s="30"/>
      <c r="C521" s="30"/>
      <c r="D521" s="30"/>
      <c r="E521" s="30"/>
      <c r="F521" s="258"/>
      <c r="G521" s="30"/>
      <c r="H521" s="482"/>
      <c r="I521" s="482"/>
      <c r="J521" s="482"/>
      <c r="K521" s="482"/>
      <c r="L521" s="483"/>
      <c r="M521" s="484"/>
      <c r="N521" s="484"/>
      <c r="O521" s="484"/>
      <c r="P521" s="484"/>
      <c r="Q521" s="484"/>
      <c r="R521" s="484"/>
      <c r="S521" s="484"/>
      <c r="T521" s="484"/>
      <c r="U521" s="484"/>
      <c r="V521" s="484"/>
      <c r="W521" s="484"/>
      <c r="X521" s="484"/>
      <c r="Y521" s="484"/>
      <c r="Z521" s="484"/>
      <c r="AA521" s="484"/>
      <c r="AB521" s="484"/>
      <c r="AC521" s="484"/>
      <c r="AD521" s="484"/>
      <c r="AE521" s="484"/>
      <c r="AF521" s="484"/>
      <c r="AG521" s="484"/>
      <c r="AH521" s="484"/>
      <c r="AI521" s="484"/>
      <c r="AJ521" s="484"/>
      <c r="AK521" s="484"/>
    </row>
    <row r="522" spans="2:37" s="64" customFormat="1" x14ac:dyDescent="0.35">
      <c r="B522" s="30"/>
      <c r="C522" s="30"/>
      <c r="D522" s="30"/>
      <c r="E522" s="30"/>
      <c r="F522" s="258"/>
      <c r="H522" s="487"/>
      <c r="I522" s="487"/>
      <c r="J522" s="487"/>
      <c r="K522" s="487"/>
      <c r="L522" s="483"/>
      <c r="M522" s="484"/>
      <c r="N522" s="484"/>
      <c r="O522" s="484"/>
      <c r="P522" s="484"/>
      <c r="Q522" s="484"/>
      <c r="R522" s="484"/>
      <c r="S522" s="484"/>
      <c r="T522" s="484"/>
      <c r="U522" s="484"/>
      <c r="V522" s="484"/>
      <c r="W522" s="484"/>
      <c r="X522" s="484"/>
      <c r="Y522" s="484"/>
      <c r="Z522" s="484"/>
      <c r="AA522" s="484"/>
      <c r="AB522" s="484"/>
      <c r="AC522" s="484"/>
      <c r="AD522" s="484"/>
      <c r="AE522" s="484"/>
      <c r="AF522" s="484"/>
      <c r="AG522" s="484"/>
      <c r="AH522" s="484"/>
      <c r="AI522" s="484"/>
      <c r="AJ522" s="484"/>
      <c r="AK522" s="484"/>
    </row>
    <row r="523" spans="2:37" s="64" customFormat="1" x14ac:dyDescent="0.35">
      <c r="B523" s="30"/>
      <c r="C523" s="30"/>
      <c r="D523" s="30"/>
      <c r="E523" s="30"/>
      <c r="F523" s="258"/>
      <c r="G523" s="30"/>
      <c r="H523" s="482"/>
      <c r="I523" s="482"/>
      <c r="J523" s="482"/>
      <c r="K523" s="482"/>
      <c r="L523" s="483"/>
      <c r="M523" s="484"/>
      <c r="N523" s="484"/>
      <c r="O523" s="484"/>
      <c r="P523" s="484"/>
      <c r="Q523" s="484"/>
      <c r="R523" s="484"/>
      <c r="S523" s="484"/>
      <c r="T523" s="484"/>
      <c r="U523" s="484"/>
      <c r="V523" s="484"/>
      <c r="W523" s="484"/>
      <c r="X523" s="484"/>
      <c r="Y523" s="484"/>
      <c r="Z523" s="484"/>
      <c r="AA523" s="484"/>
      <c r="AB523" s="484"/>
      <c r="AC523" s="484"/>
      <c r="AD523" s="484"/>
      <c r="AE523" s="484"/>
      <c r="AF523" s="484"/>
      <c r="AG523" s="484"/>
      <c r="AH523" s="484"/>
      <c r="AI523" s="484"/>
      <c r="AJ523" s="484"/>
      <c r="AK523" s="484"/>
    </row>
    <row r="524" spans="2:37" s="64" customFormat="1" x14ac:dyDescent="0.35">
      <c r="B524" s="30"/>
      <c r="C524" s="30"/>
      <c r="D524" s="30"/>
      <c r="E524" s="30"/>
      <c r="F524" s="258"/>
      <c r="H524" s="487"/>
      <c r="I524" s="487"/>
      <c r="J524" s="487"/>
      <c r="K524" s="487"/>
      <c r="L524" s="483"/>
      <c r="M524" s="484"/>
      <c r="N524" s="484"/>
      <c r="O524" s="484"/>
      <c r="P524" s="484"/>
      <c r="Q524" s="484"/>
      <c r="R524" s="484"/>
      <c r="S524" s="484"/>
      <c r="T524" s="484"/>
      <c r="U524" s="484"/>
      <c r="V524" s="484"/>
      <c r="W524" s="484"/>
      <c r="X524" s="484"/>
      <c r="Y524" s="484"/>
      <c r="Z524" s="484"/>
      <c r="AA524" s="484"/>
      <c r="AB524" s="484"/>
      <c r="AC524" s="484"/>
      <c r="AD524" s="484"/>
      <c r="AE524" s="484"/>
      <c r="AF524" s="484"/>
      <c r="AG524" s="484"/>
      <c r="AH524" s="484"/>
      <c r="AI524" s="484"/>
      <c r="AJ524" s="484"/>
      <c r="AK524" s="484"/>
    </row>
    <row r="525" spans="2:37" s="64" customFormat="1" x14ac:dyDescent="0.35">
      <c r="B525" s="30"/>
      <c r="C525" s="30"/>
      <c r="D525" s="30"/>
      <c r="E525" s="30"/>
      <c r="F525" s="258"/>
      <c r="G525" s="30"/>
      <c r="H525" s="482"/>
      <c r="I525" s="482"/>
      <c r="J525" s="482"/>
      <c r="K525" s="482"/>
      <c r="L525" s="483"/>
      <c r="M525" s="484"/>
      <c r="N525" s="484"/>
      <c r="O525" s="484"/>
      <c r="P525" s="484"/>
      <c r="Q525" s="484"/>
      <c r="R525" s="484"/>
      <c r="S525" s="484"/>
      <c r="T525" s="484"/>
      <c r="U525" s="484"/>
      <c r="V525" s="484"/>
      <c r="W525" s="484"/>
      <c r="X525" s="484"/>
      <c r="Y525" s="484"/>
      <c r="Z525" s="484"/>
      <c r="AA525" s="484"/>
      <c r="AB525" s="484"/>
      <c r="AC525" s="484"/>
      <c r="AD525" s="484"/>
      <c r="AE525" s="484"/>
      <c r="AF525" s="484"/>
      <c r="AG525" s="484"/>
      <c r="AH525" s="484"/>
      <c r="AI525" s="484"/>
      <c r="AJ525" s="484"/>
      <c r="AK525" s="484"/>
    </row>
    <row r="526" spans="2:37" s="64" customFormat="1" x14ac:dyDescent="0.35">
      <c r="B526" s="30"/>
      <c r="C526" s="30"/>
      <c r="D526" s="30"/>
      <c r="E526" s="30"/>
      <c r="F526" s="258"/>
      <c r="H526" s="487"/>
      <c r="I526" s="487"/>
      <c r="J526" s="487"/>
      <c r="K526" s="487"/>
      <c r="L526" s="483"/>
      <c r="M526" s="484"/>
      <c r="N526" s="484"/>
      <c r="O526" s="484"/>
      <c r="P526" s="484"/>
      <c r="Q526" s="484"/>
      <c r="R526" s="484"/>
      <c r="S526" s="484"/>
      <c r="T526" s="484"/>
      <c r="U526" s="484"/>
      <c r="V526" s="484"/>
      <c r="W526" s="484"/>
      <c r="X526" s="484"/>
      <c r="Y526" s="484"/>
      <c r="Z526" s="484"/>
      <c r="AA526" s="484"/>
      <c r="AB526" s="484"/>
      <c r="AC526" s="484"/>
      <c r="AD526" s="484"/>
      <c r="AE526" s="484"/>
      <c r="AF526" s="484"/>
      <c r="AG526" s="484"/>
      <c r="AH526" s="484"/>
      <c r="AI526" s="484"/>
      <c r="AJ526" s="484"/>
      <c r="AK526" s="484"/>
    </row>
    <row r="527" spans="2:37" s="64" customFormat="1" x14ac:dyDescent="0.35">
      <c r="B527" s="30"/>
      <c r="C527" s="30"/>
      <c r="D527" s="30"/>
      <c r="E527" s="30"/>
      <c r="F527" s="258"/>
      <c r="G527" s="30"/>
      <c r="H527" s="482"/>
      <c r="I527" s="482"/>
      <c r="J527" s="482"/>
      <c r="K527" s="482"/>
      <c r="L527" s="483"/>
      <c r="M527" s="484"/>
      <c r="N527" s="484"/>
      <c r="O527" s="484"/>
      <c r="P527" s="484"/>
      <c r="Q527" s="484"/>
      <c r="R527" s="484"/>
      <c r="S527" s="484"/>
      <c r="T527" s="484"/>
      <c r="U527" s="484"/>
      <c r="V527" s="484"/>
      <c r="W527" s="484"/>
      <c r="X527" s="484"/>
      <c r="Y527" s="484"/>
      <c r="Z527" s="484"/>
      <c r="AA527" s="484"/>
      <c r="AB527" s="484"/>
      <c r="AC527" s="484"/>
      <c r="AD527" s="484"/>
      <c r="AE527" s="484"/>
      <c r="AF527" s="484"/>
      <c r="AG527" s="484"/>
      <c r="AH527" s="484"/>
      <c r="AI527" s="484"/>
      <c r="AJ527" s="484"/>
      <c r="AK527" s="484"/>
    </row>
    <row r="528" spans="2:37" s="64" customFormat="1" x14ac:dyDescent="0.35">
      <c r="B528" s="30"/>
      <c r="C528" s="30"/>
      <c r="D528" s="30"/>
      <c r="E528" s="30"/>
      <c r="F528" s="258"/>
      <c r="H528" s="487"/>
      <c r="I528" s="487"/>
      <c r="J528" s="487"/>
      <c r="K528" s="487"/>
      <c r="L528" s="483"/>
      <c r="M528" s="484"/>
      <c r="N528" s="484"/>
      <c r="O528" s="484"/>
      <c r="P528" s="484"/>
      <c r="Q528" s="484"/>
      <c r="R528" s="484"/>
      <c r="S528" s="484"/>
      <c r="T528" s="484"/>
      <c r="U528" s="484"/>
      <c r="V528" s="484"/>
      <c r="W528" s="484"/>
      <c r="X528" s="484"/>
      <c r="Y528" s="484"/>
      <c r="Z528" s="484"/>
      <c r="AA528" s="484"/>
      <c r="AB528" s="484"/>
      <c r="AC528" s="484"/>
      <c r="AD528" s="484"/>
      <c r="AE528" s="484"/>
      <c r="AF528" s="484"/>
      <c r="AG528" s="484"/>
      <c r="AH528" s="484"/>
      <c r="AI528" s="484"/>
      <c r="AJ528" s="484"/>
      <c r="AK528" s="484"/>
    </row>
    <row r="529" spans="2:37" s="64" customFormat="1" x14ac:dyDescent="0.35">
      <c r="B529" s="30"/>
      <c r="C529" s="30"/>
      <c r="D529" s="30"/>
      <c r="E529" s="30"/>
      <c r="F529" s="258"/>
      <c r="G529" s="30"/>
      <c r="H529" s="482"/>
      <c r="I529" s="482"/>
      <c r="J529" s="482"/>
      <c r="K529" s="482"/>
      <c r="L529" s="483"/>
      <c r="M529" s="484"/>
      <c r="N529" s="484"/>
      <c r="O529" s="484"/>
      <c r="P529" s="484"/>
      <c r="Q529" s="484"/>
      <c r="R529" s="484"/>
      <c r="S529" s="484"/>
      <c r="T529" s="484"/>
      <c r="U529" s="484"/>
      <c r="V529" s="484"/>
      <c r="W529" s="484"/>
      <c r="X529" s="484"/>
      <c r="Y529" s="484"/>
      <c r="Z529" s="484"/>
      <c r="AA529" s="484"/>
      <c r="AB529" s="484"/>
      <c r="AC529" s="484"/>
      <c r="AD529" s="484"/>
      <c r="AE529" s="484"/>
      <c r="AF529" s="484"/>
      <c r="AG529" s="484"/>
      <c r="AH529" s="484"/>
      <c r="AI529" s="484"/>
      <c r="AJ529" s="484"/>
      <c r="AK529" s="484"/>
    </row>
    <row r="530" spans="2:37" s="64" customFormat="1" x14ac:dyDescent="0.35">
      <c r="B530" s="30"/>
      <c r="C530" s="30"/>
      <c r="D530" s="30"/>
      <c r="E530" s="30"/>
      <c r="F530" s="258"/>
      <c r="H530" s="487"/>
      <c r="I530" s="487"/>
      <c r="J530" s="487"/>
      <c r="K530" s="487"/>
      <c r="L530" s="483"/>
      <c r="M530" s="484"/>
      <c r="N530" s="484"/>
      <c r="O530" s="484"/>
      <c r="P530" s="484"/>
      <c r="Q530" s="484"/>
      <c r="R530" s="484"/>
      <c r="S530" s="484"/>
      <c r="T530" s="484"/>
      <c r="U530" s="484"/>
      <c r="V530" s="484"/>
      <c r="W530" s="484"/>
      <c r="X530" s="484"/>
      <c r="Y530" s="484"/>
      <c r="Z530" s="484"/>
      <c r="AA530" s="484"/>
      <c r="AB530" s="484"/>
      <c r="AC530" s="484"/>
      <c r="AD530" s="484"/>
      <c r="AE530" s="484"/>
      <c r="AF530" s="484"/>
      <c r="AG530" s="484"/>
      <c r="AH530" s="484"/>
      <c r="AI530" s="484"/>
      <c r="AJ530" s="484"/>
      <c r="AK530" s="484"/>
    </row>
    <row r="531" spans="2:37" s="64" customFormat="1" x14ac:dyDescent="0.35">
      <c r="B531" s="30"/>
      <c r="C531" s="30"/>
      <c r="D531" s="30"/>
      <c r="E531" s="30"/>
      <c r="F531" s="258"/>
      <c r="G531" s="30"/>
      <c r="H531" s="482"/>
      <c r="I531" s="482"/>
      <c r="J531" s="482"/>
      <c r="K531" s="482"/>
      <c r="L531" s="483"/>
      <c r="M531" s="484"/>
      <c r="N531" s="484"/>
      <c r="O531" s="484"/>
      <c r="P531" s="484"/>
      <c r="Q531" s="484"/>
      <c r="R531" s="484"/>
      <c r="S531" s="484"/>
      <c r="T531" s="484"/>
      <c r="U531" s="484"/>
      <c r="V531" s="484"/>
      <c r="W531" s="484"/>
      <c r="X531" s="484"/>
      <c r="Y531" s="484"/>
      <c r="Z531" s="484"/>
      <c r="AA531" s="484"/>
      <c r="AB531" s="484"/>
      <c r="AC531" s="484"/>
      <c r="AD531" s="484"/>
      <c r="AE531" s="484"/>
      <c r="AF531" s="484"/>
      <c r="AG531" s="484"/>
      <c r="AH531" s="484"/>
      <c r="AI531" s="484"/>
      <c r="AJ531" s="484"/>
      <c r="AK531" s="484"/>
    </row>
    <row r="532" spans="2:37" s="64" customFormat="1" x14ac:dyDescent="0.35">
      <c r="B532" s="30"/>
      <c r="C532" s="30"/>
      <c r="D532" s="30"/>
      <c r="E532" s="30"/>
      <c r="F532" s="258"/>
      <c r="H532" s="487"/>
      <c r="I532" s="487"/>
      <c r="J532" s="487"/>
      <c r="K532" s="487"/>
      <c r="L532" s="483"/>
      <c r="M532" s="484"/>
      <c r="N532" s="484"/>
      <c r="O532" s="484"/>
      <c r="P532" s="484"/>
      <c r="Q532" s="484"/>
      <c r="R532" s="484"/>
      <c r="S532" s="484"/>
      <c r="T532" s="484"/>
      <c r="U532" s="484"/>
      <c r="V532" s="484"/>
      <c r="W532" s="484"/>
      <c r="X532" s="484"/>
      <c r="Y532" s="484"/>
      <c r="Z532" s="484"/>
      <c r="AA532" s="484"/>
      <c r="AB532" s="484"/>
      <c r="AC532" s="484"/>
      <c r="AD532" s="484"/>
      <c r="AE532" s="484"/>
      <c r="AF532" s="484"/>
      <c r="AG532" s="484"/>
      <c r="AH532" s="484"/>
      <c r="AI532" s="484"/>
      <c r="AJ532" s="484"/>
      <c r="AK532" s="484"/>
    </row>
    <row r="533" spans="2:37" s="64" customFormat="1" x14ac:dyDescent="0.35">
      <c r="B533" s="30"/>
      <c r="C533" s="30"/>
      <c r="D533" s="30"/>
      <c r="E533" s="30"/>
      <c r="F533" s="258"/>
      <c r="G533" s="30"/>
      <c r="H533" s="482"/>
      <c r="I533" s="482"/>
      <c r="J533" s="482"/>
      <c r="K533" s="482"/>
      <c r="L533" s="483"/>
      <c r="M533" s="484"/>
      <c r="N533" s="484"/>
      <c r="O533" s="484"/>
      <c r="P533" s="484"/>
      <c r="Q533" s="484"/>
      <c r="R533" s="484"/>
      <c r="S533" s="484"/>
      <c r="T533" s="484"/>
      <c r="U533" s="484"/>
      <c r="V533" s="484"/>
      <c r="W533" s="484"/>
      <c r="X533" s="484"/>
      <c r="Y533" s="484"/>
      <c r="Z533" s="484"/>
      <c r="AA533" s="484"/>
      <c r="AB533" s="484"/>
      <c r="AC533" s="484"/>
      <c r="AD533" s="484"/>
      <c r="AE533" s="484"/>
      <c r="AF533" s="484"/>
      <c r="AG533" s="484"/>
      <c r="AH533" s="484"/>
      <c r="AI533" s="484"/>
      <c r="AJ533" s="484"/>
      <c r="AK533" s="484"/>
    </row>
    <row r="534" spans="2:37" s="64" customFormat="1" x14ac:dyDescent="0.35">
      <c r="B534" s="30"/>
      <c r="C534" s="30"/>
      <c r="D534" s="30"/>
      <c r="E534" s="30"/>
      <c r="F534" s="258"/>
      <c r="H534" s="487"/>
      <c r="I534" s="487"/>
      <c r="J534" s="487"/>
      <c r="K534" s="487"/>
      <c r="L534" s="483"/>
      <c r="M534" s="484"/>
      <c r="N534" s="484"/>
      <c r="O534" s="484"/>
      <c r="P534" s="484"/>
      <c r="Q534" s="484"/>
      <c r="R534" s="484"/>
      <c r="S534" s="484"/>
      <c r="T534" s="484"/>
      <c r="U534" s="484"/>
      <c r="V534" s="484"/>
      <c r="W534" s="484"/>
      <c r="X534" s="484"/>
      <c r="Y534" s="484"/>
      <c r="Z534" s="484"/>
      <c r="AA534" s="484"/>
      <c r="AB534" s="484"/>
      <c r="AC534" s="484"/>
      <c r="AD534" s="484"/>
      <c r="AE534" s="484"/>
      <c r="AF534" s="484"/>
      <c r="AG534" s="484"/>
      <c r="AH534" s="484"/>
      <c r="AI534" s="484"/>
      <c r="AJ534" s="484"/>
      <c r="AK534" s="484"/>
    </row>
    <row r="535" spans="2:37" s="64" customFormat="1" x14ac:dyDescent="0.35">
      <c r="B535" s="30"/>
      <c r="C535" s="30"/>
      <c r="D535" s="30"/>
      <c r="E535" s="30"/>
      <c r="F535" s="258"/>
      <c r="G535" s="30"/>
      <c r="H535" s="482"/>
      <c r="I535" s="482"/>
      <c r="J535" s="482"/>
      <c r="K535" s="482"/>
      <c r="L535" s="483"/>
      <c r="M535" s="484"/>
      <c r="N535" s="484"/>
      <c r="O535" s="484"/>
      <c r="P535" s="484"/>
      <c r="Q535" s="484"/>
      <c r="R535" s="484"/>
      <c r="S535" s="484"/>
      <c r="T535" s="484"/>
      <c r="U535" s="484"/>
      <c r="V535" s="484"/>
      <c r="W535" s="484"/>
      <c r="X535" s="484"/>
      <c r="Y535" s="484"/>
      <c r="Z535" s="484"/>
      <c r="AA535" s="484"/>
      <c r="AB535" s="484"/>
      <c r="AC535" s="484"/>
      <c r="AD535" s="484"/>
      <c r="AE535" s="484"/>
      <c r="AF535" s="484"/>
      <c r="AG535" s="484"/>
      <c r="AH535" s="484"/>
      <c r="AI535" s="484"/>
      <c r="AJ535" s="484"/>
      <c r="AK535" s="484"/>
    </row>
    <row r="536" spans="2:37" s="64" customFormat="1" x14ac:dyDescent="0.35">
      <c r="B536" s="30"/>
      <c r="C536" s="30"/>
      <c r="D536" s="30"/>
      <c r="E536" s="30"/>
      <c r="F536" s="258"/>
      <c r="H536" s="487"/>
      <c r="I536" s="487"/>
      <c r="J536" s="487"/>
      <c r="K536" s="487"/>
      <c r="L536" s="483"/>
      <c r="M536" s="484"/>
      <c r="N536" s="484"/>
      <c r="O536" s="484"/>
      <c r="P536" s="484"/>
      <c r="Q536" s="484"/>
      <c r="R536" s="484"/>
      <c r="S536" s="484"/>
      <c r="T536" s="484"/>
      <c r="U536" s="484"/>
      <c r="V536" s="484"/>
      <c r="W536" s="484"/>
      <c r="X536" s="484"/>
      <c r="Y536" s="484"/>
      <c r="Z536" s="484"/>
      <c r="AA536" s="484"/>
      <c r="AB536" s="484"/>
      <c r="AC536" s="484"/>
      <c r="AD536" s="484"/>
      <c r="AE536" s="484"/>
      <c r="AF536" s="484"/>
      <c r="AG536" s="484"/>
      <c r="AH536" s="484"/>
      <c r="AI536" s="484"/>
      <c r="AJ536" s="484"/>
      <c r="AK536" s="484"/>
    </row>
    <row r="537" spans="2:37" s="64" customFormat="1" x14ac:dyDescent="0.35">
      <c r="B537" s="30"/>
      <c r="C537" s="30"/>
      <c r="D537" s="30"/>
      <c r="E537" s="30"/>
      <c r="F537" s="258"/>
      <c r="G537" s="30"/>
      <c r="H537" s="482"/>
      <c r="I537" s="482"/>
      <c r="J537" s="482"/>
      <c r="K537" s="482"/>
      <c r="L537" s="483"/>
      <c r="M537" s="484"/>
      <c r="N537" s="484"/>
      <c r="O537" s="484"/>
      <c r="P537" s="484"/>
      <c r="Q537" s="484"/>
      <c r="R537" s="484"/>
      <c r="S537" s="484"/>
      <c r="T537" s="484"/>
      <c r="U537" s="484"/>
      <c r="V537" s="484"/>
      <c r="W537" s="484"/>
      <c r="X537" s="484"/>
      <c r="Y537" s="484"/>
      <c r="Z537" s="484"/>
      <c r="AA537" s="484"/>
      <c r="AB537" s="484"/>
      <c r="AC537" s="484"/>
      <c r="AD537" s="484"/>
      <c r="AE537" s="484"/>
      <c r="AF537" s="484"/>
      <c r="AG537" s="484"/>
      <c r="AH537" s="484"/>
      <c r="AI537" s="484"/>
      <c r="AJ537" s="484"/>
      <c r="AK537" s="484"/>
    </row>
    <row r="538" spans="2:37" s="64" customFormat="1" x14ac:dyDescent="0.35">
      <c r="B538" s="30"/>
      <c r="C538" s="30"/>
      <c r="D538" s="30"/>
      <c r="E538" s="30"/>
      <c r="F538" s="258"/>
      <c r="H538" s="487"/>
      <c r="I538" s="487"/>
      <c r="J538" s="487"/>
      <c r="K538" s="487"/>
      <c r="L538" s="483"/>
      <c r="M538" s="484"/>
      <c r="N538" s="484"/>
      <c r="O538" s="484"/>
      <c r="P538" s="484"/>
      <c r="Q538" s="484"/>
      <c r="R538" s="484"/>
      <c r="S538" s="484"/>
      <c r="T538" s="484"/>
      <c r="U538" s="484"/>
      <c r="V538" s="484"/>
      <c r="W538" s="484"/>
      <c r="X538" s="484"/>
      <c r="Y538" s="484"/>
      <c r="Z538" s="484"/>
      <c r="AA538" s="484"/>
      <c r="AB538" s="484"/>
      <c r="AC538" s="484"/>
      <c r="AD538" s="484"/>
      <c r="AE538" s="484"/>
      <c r="AF538" s="484"/>
      <c r="AG538" s="484"/>
      <c r="AH538" s="484"/>
      <c r="AI538" s="484"/>
      <c r="AJ538" s="484"/>
      <c r="AK538" s="484"/>
    </row>
    <row r="539" spans="2:37" s="64" customFormat="1" x14ac:dyDescent="0.35">
      <c r="B539" s="30"/>
      <c r="C539" s="30"/>
      <c r="D539" s="30"/>
      <c r="E539" s="30"/>
      <c r="F539" s="258"/>
      <c r="G539" s="30"/>
      <c r="H539" s="482"/>
      <c r="I539" s="482"/>
      <c r="J539" s="482"/>
      <c r="K539" s="482"/>
      <c r="L539" s="483"/>
      <c r="M539" s="484"/>
      <c r="N539" s="484"/>
      <c r="O539" s="484"/>
      <c r="P539" s="484"/>
      <c r="Q539" s="484"/>
      <c r="R539" s="484"/>
      <c r="S539" s="484"/>
      <c r="T539" s="484"/>
      <c r="U539" s="484"/>
      <c r="V539" s="484"/>
      <c r="W539" s="484"/>
      <c r="X539" s="484"/>
      <c r="Y539" s="484"/>
      <c r="Z539" s="484"/>
      <c r="AA539" s="484"/>
      <c r="AB539" s="484"/>
      <c r="AC539" s="484"/>
      <c r="AD539" s="484"/>
      <c r="AE539" s="484"/>
      <c r="AF539" s="484"/>
      <c r="AG539" s="484"/>
      <c r="AH539" s="484"/>
      <c r="AI539" s="484"/>
      <c r="AJ539" s="484"/>
      <c r="AK539" s="484"/>
    </row>
    <row r="540" spans="2:37" s="64" customFormat="1" x14ac:dyDescent="0.35">
      <c r="B540" s="30"/>
      <c r="C540" s="30"/>
      <c r="D540" s="30"/>
      <c r="E540" s="30"/>
      <c r="F540" s="258"/>
      <c r="H540" s="487"/>
      <c r="I540" s="487"/>
      <c r="J540" s="487"/>
      <c r="K540" s="487"/>
      <c r="L540" s="483"/>
      <c r="M540" s="484"/>
      <c r="N540" s="484"/>
      <c r="O540" s="484"/>
      <c r="P540" s="484"/>
      <c r="Q540" s="484"/>
      <c r="R540" s="484"/>
      <c r="S540" s="484"/>
      <c r="T540" s="484"/>
      <c r="U540" s="484"/>
      <c r="V540" s="484"/>
      <c r="W540" s="484"/>
      <c r="X540" s="484"/>
      <c r="Y540" s="484"/>
      <c r="Z540" s="484"/>
      <c r="AA540" s="484"/>
      <c r="AB540" s="484"/>
      <c r="AC540" s="484"/>
      <c r="AD540" s="484"/>
      <c r="AE540" s="484"/>
      <c r="AF540" s="484"/>
      <c r="AG540" s="484"/>
      <c r="AH540" s="484"/>
      <c r="AI540" s="484"/>
      <c r="AJ540" s="484"/>
      <c r="AK540" s="484"/>
    </row>
    <row r="541" spans="2:37" s="64" customFormat="1" x14ac:dyDescent="0.35">
      <c r="B541" s="30"/>
      <c r="C541" s="30"/>
      <c r="D541" s="30"/>
      <c r="E541" s="30"/>
      <c r="F541" s="258"/>
      <c r="G541" s="30"/>
      <c r="H541" s="482"/>
      <c r="I541" s="482"/>
      <c r="J541" s="482"/>
      <c r="K541" s="482"/>
      <c r="L541" s="483"/>
      <c r="M541" s="484"/>
      <c r="N541" s="484"/>
      <c r="O541" s="484"/>
      <c r="P541" s="484"/>
      <c r="Q541" s="484"/>
      <c r="R541" s="484"/>
      <c r="S541" s="484"/>
      <c r="T541" s="484"/>
      <c r="U541" s="484"/>
      <c r="V541" s="484"/>
      <c r="W541" s="484"/>
      <c r="X541" s="484"/>
      <c r="Y541" s="484"/>
      <c r="Z541" s="484"/>
      <c r="AA541" s="484"/>
      <c r="AB541" s="484"/>
      <c r="AC541" s="484"/>
      <c r="AD541" s="484"/>
      <c r="AE541" s="484"/>
      <c r="AF541" s="484"/>
      <c r="AG541" s="484"/>
      <c r="AH541" s="484"/>
      <c r="AI541" s="484"/>
      <c r="AJ541" s="484"/>
      <c r="AK541" s="484"/>
    </row>
    <row r="542" spans="2:37" s="64" customFormat="1" x14ac:dyDescent="0.35">
      <c r="B542" s="30"/>
      <c r="C542" s="30"/>
      <c r="D542" s="30"/>
      <c r="E542" s="30"/>
      <c r="F542" s="258"/>
      <c r="H542" s="487"/>
      <c r="I542" s="487"/>
      <c r="J542" s="487"/>
      <c r="K542" s="487"/>
      <c r="L542" s="483"/>
      <c r="M542" s="484"/>
      <c r="N542" s="484"/>
      <c r="O542" s="484"/>
      <c r="P542" s="484"/>
      <c r="Q542" s="484"/>
      <c r="R542" s="484"/>
      <c r="S542" s="484"/>
      <c r="T542" s="484"/>
      <c r="U542" s="484"/>
      <c r="V542" s="484"/>
      <c r="W542" s="484"/>
      <c r="X542" s="484"/>
      <c r="Y542" s="484"/>
      <c r="Z542" s="484"/>
      <c r="AA542" s="484"/>
      <c r="AB542" s="484"/>
      <c r="AC542" s="484"/>
      <c r="AD542" s="484"/>
      <c r="AE542" s="484"/>
      <c r="AF542" s="484"/>
      <c r="AG542" s="484"/>
      <c r="AH542" s="484"/>
      <c r="AI542" s="484"/>
      <c r="AJ542" s="484"/>
      <c r="AK542" s="484"/>
    </row>
    <row r="543" spans="2:37" s="64" customFormat="1" x14ac:dyDescent="0.35">
      <c r="B543" s="30"/>
      <c r="C543" s="30"/>
      <c r="D543" s="30"/>
      <c r="E543" s="30"/>
      <c r="F543" s="258"/>
      <c r="G543" s="30"/>
      <c r="H543" s="482"/>
      <c r="I543" s="482"/>
      <c r="J543" s="482"/>
      <c r="K543" s="482"/>
      <c r="L543" s="483"/>
      <c r="M543" s="484"/>
      <c r="N543" s="484"/>
      <c r="O543" s="484"/>
      <c r="P543" s="484"/>
      <c r="Q543" s="484"/>
      <c r="R543" s="484"/>
      <c r="S543" s="484"/>
      <c r="T543" s="484"/>
      <c r="U543" s="484"/>
      <c r="V543" s="484"/>
      <c r="W543" s="484"/>
      <c r="X543" s="484"/>
      <c r="Y543" s="484"/>
      <c r="Z543" s="484"/>
      <c r="AA543" s="484"/>
      <c r="AB543" s="484"/>
      <c r="AC543" s="484"/>
      <c r="AD543" s="484"/>
      <c r="AE543" s="484"/>
      <c r="AF543" s="484"/>
      <c r="AG543" s="484"/>
      <c r="AH543" s="484"/>
      <c r="AI543" s="484"/>
      <c r="AJ543" s="484"/>
      <c r="AK543" s="484"/>
    </row>
    <row r="544" spans="2:37" s="64" customFormat="1" x14ac:dyDescent="0.35">
      <c r="B544" s="30"/>
      <c r="C544" s="30"/>
      <c r="D544" s="30"/>
      <c r="E544" s="30"/>
      <c r="F544" s="258"/>
      <c r="H544" s="487"/>
      <c r="I544" s="487"/>
      <c r="J544" s="487"/>
      <c r="K544" s="487"/>
      <c r="L544" s="483"/>
      <c r="M544" s="484"/>
      <c r="N544" s="484"/>
      <c r="O544" s="484"/>
      <c r="P544" s="484"/>
      <c r="Q544" s="484"/>
      <c r="R544" s="484"/>
      <c r="S544" s="484"/>
      <c r="T544" s="484"/>
      <c r="U544" s="484"/>
      <c r="V544" s="484"/>
      <c r="W544" s="484"/>
      <c r="X544" s="484"/>
      <c r="Y544" s="484"/>
      <c r="Z544" s="484"/>
      <c r="AA544" s="484"/>
      <c r="AB544" s="484"/>
      <c r="AC544" s="484"/>
      <c r="AD544" s="484"/>
      <c r="AE544" s="484"/>
      <c r="AF544" s="484"/>
      <c r="AG544" s="484"/>
      <c r="AH544" s="484"/>
      <c r="AI544" s="484"/>
      <c r="AJ544" s="484"/>
      <c r="AK544" s="484"/>
    </row>
    <row r="545" spans="2:37" s="64" customFormat="1" x14ac:dyDescent="0.35">
      <c r="B545" s="30"/>
      <c r="C545" s="30"/>
      <c r="D545" s="30"/>
      <c r="E545" s="30"/>
      <c r="F545" s="258"/>
      <c r="G545" s="30"/>
      <c r="H545" s="482"/>
      <c r="I545" s="482"/>
      <c r="J545" s="482"/>
      <c r="K545" s="482"/>
      <c r="L545" s="483"/>
      <c r="M545" s="484"/>
      <c r="N545" s="484"/>
      <c r="O545" s="484"/>
      <c r="P545" s="484"/>
      <c r="Q545" s="484"/>
      <c r="R545" s="484"/>
      <c r="S545" s="484"/>
      <c r="T545" s="484"/>
      <c r="U545" s="484"/>
      <c r="V545" s="484"/>
      <c r="W545" s="484"/>
      <c r="X545" s="484"/>
      <c r="Y545" s="484"/>
      <c r="Z545" s="484"/>
      <c r="AA545" s="484"/>
      <c r="AB545" s="484"/>
      <c r="AC545" s="484"/>
      <c r="AD545" s="484"/>
      <c r="AE545" s="484"/>
      <c r="AF545" s="484"/>
      <c r="AG545" s="484"/>
      <c r="AH545" s="484"/>
      <c r="AI545" s="484"/>
      <c r="AJ545" s="484"/>
      <c r="AK545" s="484"/>
    </row>
    <row r="546" spans="2:37" s="64" customFormat="1" x14ac:dyDescent="0.35">
      <c r="B546" s="30"/>
      <c r="C546" s="30"/>
      <c r="D546" s="30"/>
      <c r="E546" s="30"/>
      <c r="F546" s="258"/>
      <c r="H546" s="487"/>
      <c r="I546" s="487"/>
      <c r="J546" s="487"/>
      <c r="K546" s="487"/>
      <c r="L546" s="483"/>
      <c r="M546" s="484"/>
      <c r="N546" s="484"/>
      <c r="O546" s="484"/>
      <c r="P546" s="484"/>
      <c r="Q546" s="484"/>
      <c r="R546" s="484"/>
      <c r="S546" s="484"/>
      <c r="T546" s="484"/>
      <c r="U546" s="484"/>
      <c r="V546" s="484"/>
      <c r="W546" s="484"/>
      <c r="X546" s="484"/>
      <c r="Y546" s="484"/>
      <c r="Z546" s="484"/>
      <c r="AA546" s="484"/>
      <c r="AB546" s="484"/>
      <c r="AC546" s="484"/>
      <c r="AD546" s="484"/>
      <c r="AE546" s="484"/>
      <c r="AF546" s="484"/>
      <c r="AG546" s="484"/>
      <c r="AH546" s="484"/>
      <c r="AI546" s="484"/>
      <c r="AJ546" s="484"/>
      <c r="AK546" s="484"/>
    </row>
    <row r="547" spans="2:37" s="64" customFormat="1" x14ac:dyDescent="0.35">
      <c r="B547" s="30"/>
      <c r="C547" s="30"/>
      <c r="D547" s="30"/>
      <c r="E547" s="30"/>
      <c r="F547" s="258"/>
      <c r="G547" s="30"/>
      <c r="H547" s="482"/>
      <c r="I547" s="482"/>
      <c r="J547" s="482"/>
      <c r="K547" s="482"/>
      <c r="L547" s="483"/>
      <c r="M547" s="484"/>
      <c r="N547" s="484"/>
      <c r="O547" s="484"/>
      <c r="P547" s="484"/>
      <c r="Q547" s="484"/>
      <c r="R547" s="484"/>
      <c r="S547" s="484"/>
      <c r="T547" s="484"/>
      <c r="U547" s="484"/>
      <c r="V547" s="484"/>
      <c r="W547" s="484"/>
      <c r="X547" s="484"/>
      <c r="Y547" s="484"/>
      <c r="Z547" s="484"/>
      <c r="AA547" s="484"/>
      <c r="AB547" s="484"/>
      <c r="AC547" s="484"/>
      <c r="AD547" s="484"/>
      <c r="AE547" s="484"/>
      <c r="AF547" s="484"/>
      <c r="AG547" s="484"/>
      <c r="AH547" s="484"/>
      <c r="AI547" s="484"/>
      <c r="AJ547" s="484"/>
      <c r="AK547" s="484"/>
    </row>
    <row r="548" spans="2:37" s="64" customFormat="1" x14ac:dyDescent="0.35">
      <c r="B548" s="30"/>
      <c r="C548" s="30"/>
      <c r="D548" s="30"/>
      <c r="E548" s="30"/>
      <c r="F548" s="258"/>
      <c r="H548" s="487"/>
      <c r="I548" s="487"/>
      <c r="J548" s="487"/>
      <c r="K548" s="487"/>
      <c r="L548" s="483"/>
      <c r="M548" s="484"/>
      <c r="N548" s="484"/>
      <c r="O548" s="484"/>
      <c r="P548" s="484"/>
      <c r="Q548" s="484"/>
      <c r="R548" s="484"/>
      <c r="S548" s="484"/>
      <c r="T548" s="484"/>
      <c r="U548" s="484"/>
      <c r="V548" s="484"/>
      <c r="W548" s="484"/>
      <c r="X548" s="484"/>
      <c r="Y548" s="484"/>
      <c r="Z548" s="484"/>
      <c r="AA548" s="484"/>
      <c r="AB548" s="484"/>
      <c r="AC548" s="484"/>
      <c r="AD548" s="484"/>
      <c r="AE548" s="484"/>
      <c r="AF548" s="484"/>
      <c r="AG548" s="484"/>
      <c r="AH548" s="484"/>
      <c r="AI548" s="484"/>
      <c r="AJ548" s="484"/>
      <c r="AK548" s="484"/>
    </row>
    <row r="549" spans="2:37" s="64" customFormat="1" x14ac:dyDescent="0.35">
      <c r="B549" s="30"/>
      <c r="C549" s="30"/>
      <c r="D549" s="30"/>
      <c r="E549" s="30"/>
      <c r="F549" s="258"/>
      <c r="G549" s="30"/>
      <c r="H549" s="482"/>
      <c r="I549" s="482"/>
      <c r="J549" s="482"/>
      <c r="K549" s="482"/>
      <c r="L549" s="483"/>
      <c r="M549" s="484"/>
      <c r="N549" s="484"/>
      <c r="O549" s="484"/>
      <c r="P549" s="484"/>
      <c r="Q549" s="484"/>
      <c r="R549" s="484"/>
      <c r="S549" s="484"/>
      <c r="T549" s="484"/>
      <c r="U549" s="484"/>
      <c r="V549" s="484"/>
      <c r="W549" s="484"/>
      <c r="X549" s="484"/>
      <c r="Y549" s="484"/>
      <c r="Z549" s="484"/>
      <c r="AA549" s="484"/>
      <c r="AB549" s="484"/>
      <c r="AC549" s="484"/>
      <c r="AD549" s="484"/>
      <c r="AE549" s="484"/>
      <c r="AF549" s="484"/>
      <c r="AG549" s="484"/>
      <c r="AH549" s="484"/>
      <c r="AI549" s="484"/>
      <c r="AJ549" s="484"/>
      <c r="AK549" s="484"/>
    </row>
    <row r="550" spans="2:37" s="64" customFormat="1" x14ac:dyDescent="0.35">
      <c r="B550" s="30"/>
      <c r="C550" s="30"/>
      <c r="D550" s="30"/>
      <c r="E550" s="30"/>
      <c r="F550" s="258"/>
      <c r="H550" s="487"/>
      <c r="I550" s="487"/>
      <c r="J550" s="487"/>
      <c r="K550" s="487"/>
      <c r="L550" s="483"/>
      <c r="M550" s="484"/>
      <c r="N550" s="484"/>
      <c r="O550" s="484"/>
      <c r="P550" s="484"/>
      <c r="Q550" s="484"/>
      <c r="R550" s="484"/>
      <c r="S550" s="484"/>
      <c r="T550" s="484"/>
      <c r="U550" s="484"/>
      <c r="V550" s="484"/>
      <c r="W550" s="484"/>
      <c r="X550" s="484"/>
      <c r="Y550" s="484"/>
      <c r="Z550" s="484"/>
      <c r="AA550" s="484"/>
      <c r="AB550" s="484"/>
      <c r="AC550" s="484"/>
      <c r="AD550" s="484"/>
      <c r="AE550" s="484"/>
      <c r="AF550" s="484"/>
      <c r="AG550" s="484"/>
      <c r="AH550" s="484"/>
      <c r="AI550" s="484"/>
      <c r="AJ550" s="484"/>
      <c r="AK550" s="484"/>
    </row>
    <row r="551" spans="2:37" s="64" customFormat="1" x14ac:dyDescent="0.35">
      <c r="B551" s="30"/>
      <c r="C551" s="30"/>
      <c r="D551" s="30"/>
      <c r="E551" s="30"/>
      <c r="F551" s="258"/>
      <c r="G551" s="30"/>
      <c r="H551" s="482"/>
      <c r="I551" s="482"/>
      <c r="J551" s="482"/>
      <c r="K551" s="482"/>
      <c r="L551" s="483"/>
      <c r="M551" s="484"/>
      <c r="N551" s="484"/>
      <c r="O551" s="484"/>
      <c r="P551" s="484"/>
      <c r="Q551" s="484"/>
      <c r="R551" s="484"/>
      <c r="S551" s="484"/>
      <c r="T551" s="484"/>
      <c r="U551" s="484"/>
      <c r="V551" s="484"/>
      <c r="W551" s="484"/>
      <c r="X551" s="484"/>
      <c r="Y551" s="484"/>
      <c r="Z551" s="484"/>
      <c r="AA551" s="484"/>
      <c r="AB551" s="484"/>
      <c r="AC551" s="484"/>
      <c r="AD551" s="484"/>
      <c r="AE551" s="484"/>
      <c r="AF551" s="484"/>
      <c r="AG551" s="484"/>
      <c r="AH551" s="484"/>
      <c r="AI551" s="484"/>
      <c r="AJ551" s="484"/>
      <c r="AK551" s="484"/>
    </row>
    <row r="552" spans="2:37" s="64" customFormat="1" x14ac:dyDescent="0.35">
      <c r="B552" s="30"/>
      <c r="C552" s="30"/>
      <c r="D552" s="30"/>
      <c r="E552" s="30"/>
      <c r="F552" s="258"/>
      <c r="H552" s="487"/>
      <c r="I552" s="487"/>
      <c r="J552" s="487"/>
      <c r="K552" s="487"/>
      <c r="L552" s="483"/>
      <c r="M552" s="484"/>
      <c r="N552" s="484"/>
      <c r="O552" s="484"/>
      <c r="P552" s="484"/>
      <c r="Q552" s="484"/>
      <c r="R552" s="484"/>
      <c r="S552" s="484"/>
      <c r="T552" s="484"/>
      <c r="U552" s="484"/>
      <c r="V552" s="484"/>
      <c r="W552" s="484"/>
      <c r="X552" s="484"/>
      <c r="Y552" s="484"/>
      <c r="Z552" s="484"/>
      <c r="AA552" s="484"/>
      <c r="AB552" s="484"/>
      <c r="AC552" s="484"/>
      <c r="AD552" s="484"/>
      <c r="AE552" s="484"/>
      <c r="AF552" s="484"/>
      <c r="AG552" s="484"/>
      <c r="AH552" s="484"/>
      <c r="AI552" s="484"/>
      <c r="AJ552" s="484"/>
      <c r="AK552" s="484"/>
    </row>
    <row r="553" spans="2:37" s="64" customFormat="1" x14ac:dyDescent="0.35">
      <c r="B553" s="30"/>
      <c r="C553" s="30"/>
      <c r="D553" s="30"/>
      <c r="E553" s="30"/>
      <c r="F553" s="258"/>
      <c r="G553" s="30"/>
      <c r="H553" s="482"/>
      <c r="I553" s="482"/>
      <c r="J553" s="482"/>
      <c r="K553" s="482"/>
      <c r="L553" s="483"/>
      <c r="M553" s="484"/>
      <c r="N553" s="484"/>
      <c r="O553" s="484"/>
      <c r="P553" s="484"/>
      <c r="Q553" s="484"/>
      <c r="R553" s="484"/>
      <c r="S553" s="484"/>
      <c r="T553" s="484"/>
      <c r="U553" s="484"/>
      <c r="V553" s="484"/>
      <c r="W553" s="484"/>
      <c r="X553" s="484"/>
      <c r="Y553" s="484"/>
      <c r="Z553" s="484"/>
      <c r="AA553" s="484"/>
      <c r="AB553" s="484"/>
      <c r="AC553" s="484"/>
      <c r="AD553" s="484"/>
      <c r="AE553" s="484"/>
      <c r="AF553" s="484"/>
      <c r="AG553" s="484"/>
      <c r="AH553" s="484"/>
      <c r="AI553" s="484"/>
      <c r="AJ553" s="484"/>
      <c r="AK553" s="484"/>
    </row>
    <row r="554" spans="2:37" s="64" customFormat="1" x14ac:dyDescent="0.35">
      <c r="B554" s="30"/>
      <c r="C554" s="30"/>
      <c r="D554" s="30"/>
      <c r="E554" s="30"/>
      <c r="F554" s="258"/>
      <c r="H554" s="487"/>
      <c r="I554" s="487"/>
      <c r="J554" s="487"/>
      <c r="K554" s="487"/>
      <c r="L554" s="483"/>
      <c r="M554" s="484"/>
      <c r="N554" s="484"/>
      <c r="O554" s="484"/>
      <c r="P554" s="484"/>
      <c r="Q554" s="484"/>
      <c r="R554" s="484"/>
      <c r="S554" s="484"/>
      <c r="T554" s="484"/>
      <c r="U554" s="484"/>
      <c r="V554" s="484"/>
      <c r="W554" s="484"/>
      <c r="X554" s="484"/>
      <c r="Y554" s="484"/>
      <c r="Z554" s="484"/>
      <c r="AA554" s="484"/>
      <c r="AB554" s="484"/>
      <c r="AC554" s="484"/>
      <c r="AD554" s="484"/>
      <c r="AE554" s="484"/>
      <c r="AF554" s="484"/>
      <c r="AG554" s="484"/>
      <c r="AH554" s="484"/>
      <c r="AI554" s="484"/>
      <c r="AJ554" s="484"/>
      <c r="AK554" s="484"/>
    </row>
    <row r="555" spans="2:37" s="64" customFormat="1" x14ac:dyDescent="0.35">
      <c r="B555" s="30"/>
      <c r="C555" s="30"/>
      <c r="D555" s="30"/>
      <c r="E555" s="30"/>
      <c r="F555" s="258"/>
      <c r="G555" s="30"/>
      <c r="H555" s="482"/>
      <c r="I555" s="482"/>
      <c r="J555" s="482"/>
      <c r="K555" s="482"/>
      <c r="L555" s="483"/>
      <c r="M555" s="484"/>
      <c r="N555" s="484"/>
      <c r="O555" s="484"/>
      <c r="P555" s="484"/>
      <c r="Q555" s="484"/>
      <c r="R555" s="484"/>
      <c r="S555" s="484"/>
      <c r="T555" s="484"/>
      <c r="U555" s="484"/>
      <c r="V555" s="484"/>
      <c r="W555" s="484"/>
      <c r="X555" s="484"/>
      <c r="Y555" s="484"/>
      <c r="Z555" s="484"/>
      <c r="AA555" s="484"/>
      <c r="AB555" s="484"/>
      <c r="AC555" s="484"/>
      <c r="AD555" s="484"/>
      <c r="AE555" s="484"/>
      <c r="AF555" s="484"/>
      <c r="AG555" s="484"/>
      <c r="AH555" s="484"/>
      <c r="AI555" s="484"/>
      <c r="AJ555" s="484"/>
      <c r="AK555" s="484"/>
    </row>
    <row r="556" spans="2:37" s="64" customFormat="1" x14ac:dyDescent="0.35">
      <c r="B556" s="30"/>
      <c r="C556" s="30"/>
      <c r="D556" s="30"/>
      <c r="E556" s="30"/>
      <c r="F556" s="258"/>
      <c r="H556" s="487"/>
      <c r="I556" s="487"/>
      <c r="J556" s="487"/>
      <c r="K556" s="487"/>
      <c r="L556" s="483"/>
      <c r="M556" s="484"/>
      <c r="N556" s="484"/>
      <c r="O556" s="484"/>
      <c r="P556" s="484"/>
      <c r="Q556" s="484"/>
      <c r="R556" s="484"/>
      <c r="S556" s="484"/>
      <c r="T556" s="484"/>
      <c r="U556" s="484"/>
      <c r="V556" s="484"/>
      <c r="W556" s="484"/>
      <c r="X556" s="484"/>
      <c r="Y556" s="484"/>
      <c r="Z556" s="484"/>
      <c r="AA556" s="484"/>
      <c r="AB556" s="484"/>
      <c r="AC556" s="484"/>
      <c r="AD556" s="484"/>
      <c r="AE556" s="484"/>
      <c r="AF556" s="484"/>
      <c r="AG556" s="484"/>
      <c r="AH556" s="484"/>
      <c r="AI556" s="484"/>
      <c r="AJ556" s="484"/>
      <c r="AK556" s="484"/>
    </row>
    <row r="557" spans="2:37" s="64" customFormat="1" x14ac:dyDescent="0.35">
      <c r="B557" s="30"/>
      <c r="C557" s="30"/>
      <c r="D557" s="30"/>
      <c r="E557" s="30"/>
      <c r="F557" s="258"/>
      <c r="G557" s="30"/>
      <c r="H557" s="482"/>
      <c r="I557" s="482"/>
      <c r="J557" s="482"/>
      <c r="K557" s="482"/>
      <c r="L557" s="483"/>
      <c r="M557" s="484"/>
      <c r="N557" s="484"/>
      <c r="O557" s="484"/>
      <c r="P557" s="484"/>
      <c r="Q557" s="484"/>
      <c r="R557" s="484"/>
      <c r="S557" s="484"/>
      <c r="T557" s="484"/>
      <c r="U557" s="484"/>
      <c r="V557" s="484"/>
      <c r="W557" s="484"/>
      <c r="X557" s="484"/>
      <c r="Y557" s="484"/>
      <c r="Z557" s="484"/>
      <c r="AA557" s="484"/>
      <c r="AB557" s="484"/>
      <c r="AC557" s="484"/>
      <c r="AD557" s="484"/>
      <c r="AE557" s="484"/>
      <c r="AF557" s="484"/>
      <c r="AG557" s="484"/>
      <c r="AH557" s="484"/>
      <c r="AI557" s="484"/>
      <c r="AJ557" s="484"/>
      <c r="AK557" s="484"/>
    </row>
    <row r="558" spans="2:37" s="64" customFormat="1" x14ac:dyDescent="0.35">
      <c r="B558" s="30"/>
      <c r="C558" s="30"/>
      <c r="D558" s="30"/>
      <c r="E558" s="30"/>
      <c r="F558" s="258"/>
      <c r="H558" s="487"/>
      <c r="I558" s="487"/>
      <c r="J558" s="487"/>
      <c r="K558" s="487"/>
      <c r="L558" s="483"/>
      <c r="M558" s="484"/>
      <c r="N558" s="484"/>
      <c r="O558" s="484"/>
      <c r="P558" s="484"/>
      <c r="Q558" s="484"/>
      <c r="R558" s="484"/>
      <c r="S558" s="484"/>
      <c r="T558" s="484"/>
      <c r="U558" s="484"/>
      <c r="V558" s="484"/>
      <c r="W558" s="484"/>
      <c r="X558" s="484"/>
      <c r="Y558" s="484"/>
      <c r="Z558" s="484"/>
      <c r="AA558" s="484"/>
      <c r="AB558" s="484"/>
      <c r="AC558" s="484"/>
      <c r="AD558" s="484"/>
      <c r="AE558" s="484"/>
      <c r="AF558" s="484"/>
      <c r="AG558" s="484"/>
      <c r="AH558" s="484"/>
      <c r="AI558" s="484"/>
      <c r="AJ558" s="484"/>
      <c r="AK558" s="484"/>
    </row>
    <row r="559" spans="2:37" s="64" customFormat="1" x14ac:dyDescent="0.35">
      <c r="B559" s="30"/>
      <c r="C559" s="30"/>
      <c r="D559" s="30"/>
      <c r="E559" s="30"/>
      <c r="F559" s="258"/>
      <c r="G559" s="30"/>
      <c r="H559" s="482"/>
      <c r="I559" s="482"/>
      <c r="J559" s="482"/>
      <c r="K559" s="482"/>
      <c r="L559" s="483"/>
      <c r="M559" s="484"/>
      <c r="N559" s="484"/>
      <c r="O559" s="484"/>
      <c r="P559" s="484"/>
      <c r="Q559" s="484"/>
      <c r="R559" s="484"/>
      <c r="S559" s="484"/>
      <c r="T559" s="484"/>
      <c r="U559" s="484"/>
      <c r="V559" s="484"/>
      <c r="W559" s="484"/>
      <c r="X559" s="484"/>
      <c r="Y559" s="484"/>
      <c r="Z559" s="484"/>
      <c r="AA559" s="484"/>
      <c r="AB559" s="484"/>
      <c r="AC559" s="484"/>
      <c r="AD559" s="484"/>
      <c r="AE559" s="484"/>
      <c r="AF559" s="484"/>
      <c r="AG559" s="484"/>
      <c r="AH559" s="484"/>
      <c r="AI559" s="484"/>
      <c r="AJ559" s="484"/>
      <c r="AK559" s="484"/>
    </row>
    <row r="560" spans="2:37" s="64" customFormat="1" x14ac:dyDescent="0.35">
      <c r="B560" s="30"/>
      <c r="C560" s="30"/>
      <c r="D560" s="30"/>
      <c r="E560" s="30"/>
      <c r="F560" s="258"/>
      <c r="H560" s="487"/>
      <c r="I560" s="487"/>
      <c r="J560" s="487"/>
      <c r="K560" s="487"/>
      <c r="L560" s="483"/>
      <c r="M560" s="484"/>
      <c r="N560" s="484"/>
      <c r="O560" s="484"/>
      <c r="P560" s="484"/>
      <c r="Q560" s="484"/>
      <c r="R560" s="484"/>
      <c r="S560" s="484"/>
      <c r="T560" s="484"/>
      <c r="U560" s="484"/>
      <c r="V560" s="484"/>
      <c r="W560" s="484"/>
      <c r="X560" s="484"/>
      <c r="Y560" s="484"/>
      <c r="Z560" s="484"/>
      <c r="AA560" s="484"/>
      <c r="AB560" s="484"/>
      <c r="AC560" s="484"/>
      <c r="AD560" s="484"/>
      <c r="AE560" s="484"/>
      <c r="AF560" s="484"/>
      <c r="AG560" s="484"/>
      <c r="AH560" s="484"/>
      <c r="AI560" s="484"/>
      <c r="AJ560" s="484"/>
      <c r="AK560" s="484"/>
    </row>
    <row r="561" spans="2:37" s="64" customFormat="1" x14ac:dyDescent="0.35">
      <c r="B561" s="30"/>
      <c r="C561" s="30"/>
      <c r="D561" s="30"/>
      <c r="E561" s="30"/>
      <c r="F561" s="258"/>
      <c r="G561" s="30"/>
      <c r="H561" s="482"/>
      <c r="I561" s="482"/>
      <c r="J561" s="482"/>
      <c r="K561" s="482"/>
      <c r="L561" s="483"/>
      <c r="M561" s="484"/>
      <c r="N561" s="484"/>
      <c r="O561" s="484"/>
      <c r="P561" s="484"/>
      <c r="Q561" s="484"/>
      <c r="R561" s="484"/>
      <c r="S561" s="484"/>
      <c r="T561" s="484"/>
      <c r="U561" s="484"/>
      <c r="V561" s="484"/>
      <c r="W561" s="484"/>
      <c r="X561" s="484"/>
      <c r="Y561" s="484"/>
      <c r="Z561" s="484"/>
      <c r="AA561" s="484"/>
      <c r="AB561" s="484"/>
      <c r="AC561" s="484"/>
      <c r="AD561" s="484"/>
      <c r="AE561" s="484"/>
      <c r="AF561" s="484"/>
      <c r="AG561" s="484"/>
      <c r="AH561" s="484"/>
      <c r="AI561" s="484"/>
      <c r="AJ561" s="484"/>
      <c r="AK561" s="484"/>
    </row>
    <row r="562" spans="2:37" s="64" customFormat="1" x14ac:dyDescent="0.35">
      <c r="B562" s="30"/>
      <c r="C562" s="30"/>
      <c r="D562" s="30"/>
      <c r="E562" s="30"/>
      <c r="F562" s="258"/>
      <c r="H562" s="487"/>
      <c r="I562" s="487"/>
      <c r="J562" s="487"/>
      <c r="K562" s="487"/>
      <c r="L562" s="483"/>
      <c r="M562" s="484"/>
      <c r="N562" s="484"/>
      <c r="O562" s="484"/>
      <c r="P562" s="484"/>
      <c r="Q562" s="484"/>
      <c r="R562" s="484"/>
      <c r="S562" s="484"/>
      <c r="T562" s="484"/>
      <c r="U562" s="484"/>
      <c r="V562" s="484"/>
      <c r="W562" s="484"/>
      <c r="X562" s="484"/>
      <c r="Y562" s="484"/>
      <c r="Z562" s="484"/>
      <c r="AA562" s="484"/>
      <c r="AB562" s="484"/>
      <c r="AC562" s="484"/>
      <c r="AD562" s="484"/>
      <c r="AE562" s="484"/>
      <c r="AF562" s="484"/>
      <c r="AG562" s="484"/>
      <c r="AH562" s="484"/>
      <c r="AI562" s="484"/>
      <c r="AJ562" s="484"/>
      <c r="AK562" s="484"/>
    </row>
    <row r="563" spans="2:37" s="64" customFormat="1" x14ac:dyDescent="0.35">
      <c r="B563" s="30"/>
      <c r="C563" s="30"/>
      <c r="D563" s="30"/>
      <c r="E563" s="30"/>
      <c r="F563" s="258"/>
      <c r="G563" s="30"/>
      <c r="H563" s="482"/>
      <c r="I563" s="482"/>
      <c r="J563" s="482"/>
      <c r="K563" s="482"/>
      <c r="L563" s="483"/>
      <c r="M563" s="484"/>
      <c r="N563" s="484"/>
      <c r="O563" s="484"/>
      <c r="P563" s="484"/>
      <c r="Q563" s="484"/>
      <c r="R563" s="484"/>
      <c r="S563" s="484"/>
      <c r="T563" s="484"/>
      <c r="U563" s="484"/>
      <c r="V563" s="484"/>
      <c r="W563" s="484"/>
      <c r="X563" s="484"/>
      <c r="Y563" s="484"/>
      <c r="Z563" s="484"/>
      <c r="AA563" s="484"/>
      <c r="AB563" s="484"/>
      <c r="AC563" s="484"/>
      <c r="AD563" s="484"/>
      <c r="AE563" s="484"/>
      <c r="AF563" s="484"/>
      <c r="AG563" s="484"/>
      <c r="AH563" s="484"/>
      <c r="AI563" s="484"/>
      <c r="AJ563" s="484"/>
      <c r="AK563" s="484"/>
    </row>
    <row r="564" spans="2:37" s="64" customFormat="1" x14ac:dyDescent="0.35">
      <c r="B564" s="30"/>
      <c r="C564" s="30"/>
      <c r="D564" s="30"/>
      <c r="E564" s="30"/>
      <c r="F564" s="258"/>
      <c r="H564" s="487"/>
      <c r="I564" s="487"/>
      <c r="J564" s="487"/>
      <c r="K564" s="487"/>
      <c r="L564" s="483"/>
      <c r="M564" s="484"/>
      <c r="N564" s="484"/>
      <c r="O564" s="484"/>
      <c r="P564" s="484"/>
      <c r="Q564" s="484"/>
      <c r="R564" s="484"/>
      <c r="S564" s="484"/>
      <c r="T564" s="484"/>
      <c r="U564" s="484"/>
      <c r="V564" s="484"/>
      <c r="W564" s="484"/>
      <c r="X564" s="484"/>
      <c r="Y564" s="484"/>
      <c r="Z564" s="484"/>
      <c r="AA564" s="484"/>
      <c r="AB564" s="484"/>
      <c r="AC564" s="484"/>
      <c r="AD564" s="484"/>
      <c r="AE564" s="484"/>
      <c r="AF564" s="484"/>
      <c r="AG564" s="484"/>
      <c r="AH564" s="484"/>
      <c r="AI564" s="484"/>
      <c r="AJ564" s="484"/>
      <c r="AK564" s="484"/>
    </row>
    <row r="565" spans="2:37" s="64" customFormat="1" x14ac:dyDescent="0.35">
      <c r="B565" s="30"/>
      <c r="C565" s="30"/>
      <c r="D565" s="30"/>
      <c r="E565" s="30"/>
      <c r="F565" s="258"/>
      <c r="G565" s="30"/>
      <c r="H565" s="482"/>
      <c r="I565" s="482"/>
      <c r="J565" s="482"/>
      <c r="K565" s="482"/>
      <c r="L565" s="483"/>
      <c r="M565" s="484"/>
      <c r="N565" s="484"/>
      <c r="O565" s="484"/>
      <c r="P565" s="484"/>
      <c r="Q565" s="484"/>
      <c r="R565" s="484"/>
      <c r="S565" s="484"/>
      <c r="T565" s="484"/>
      <c r="U565" s="484"/>
      <c r="V565" s="484"/>
      <c r="W565" s="484"/>
      <c r="X565" s="484"/>
      <c r="Y565" s="484"/>
      <c r="Z565" s="484"/>
      <c r="AA565" s="484"/>
      <c r="AB565" s="484"/>
      <c r="AC565" s="484"/>
      <c r="AD565" s="484"/>
      <c r="AE565" s="484"/>
      <c r="AF565" s="484"/>
      <c r="AG565" s="484"/>
      <c r="AH565" s="484"/>
      <c r="AI565" s="484"/>
      <c r="AJ565" s="484"/>
      <c r="AK565" s="484"/>
    </row>
    <row r="566" spans="2:37" s="64" customFormat="1" x14ac:dyDescent="0.35">
      <c r="B566" s="30"/>
      <c r="C566" s="30"/>
      <c r="D566" s="30"/>
      <c r="E566" s="30"/>
      <c r="F566" s="258"/>
      <c r="H566" s="487"/>
      <c r="I566" s="487"/>
      <c r="J566" s="487"/>
      <c r="K566" s="487"/>
      <c r="L566" s="483"/>
      <c r="M566" s="484"/>
      <c r="N566" s="484"/>
      <c r="O566" s="484"/>
      <c r="P566" s="484"/>
      <c r="Q566" s="484"/>
      <c r="R566" s="484"/>
      <c r="S566" s="484"/>
      <c r="T566" s="484"/>
      <c r="U566" s="484"/>
      <c r="V566" s="484"/>
      <c r="W566" s="484"/>
      <c r="X566" s="484"/>
      <c r="Y566" s="484"/>
      <c r="Z566" s="484"/>
      <c r="AA566" s="484"/>
      <c r="AB566" s="484"/>
      <c r="AC566" s="484"/>
      <c r="AD566" s="484"/>
      <c r="AE566" s="484"/>
      <c r="AF566" s="484"/>
      <c r="AG566" s="484"/>
      <c r="AH566" s="484"/>
      <c r="AI566" s="484"/>
      <c r="AJ566" s="484"/>
      <c r="AK566" s="484"/>
    </row>
    <row r="567" spans="2:37" s="64" customFormat="1" x14ac:dyDescent="0.35">
      <c r="B567" s="30"/>
      <c r="C567" s="30"/>
      <c r="D567" s="30"/>
      <c r="E567" s="30"/>
      <c r="F567" s="258"/>
      <c r="G567" s="30"/>
      <c r="H567" s="482"/>
      <c r="I567" s="482"/>
      <c r="J567" s="482"/>
      <c r="K567" s="482"/>
      <c r="L567" s="483"/>
      <c r="M567" s="484"/>
      <c r="N567" s="484"/>
      <c r="O567" s="484"/>
      <c r="P567" s="484"/>
      <c r="Q567" s="484"/>
      <c r="R567" s="484"/>
      <c r="S567" s="484"/>
      <c r="T567" s="484"/>
      <c r="U567" s="484"/>
      <c r="V567" s="484"/>
      <c r="W567" s="484"/>
      <c r="X567" s="484"/>
      <c r="Y567" s="484"/>
      <c r="Z567" s="484"/>
      <c r="AA567" s="484"/>
      <c r="AB567" s="484"/>
      <c r="AC567" s="484"/>
      <c r="AD567" s="484"/>
      <c r="AE567" s="484"/>
      <c r="AF567" s="484"/>
      <c r="AG567" s="484"/>
      <c r="AH567" s="484"/>
      <c r="AI567" s="484"/>
      <c r="AJ567" s="484"/>
      <c r="AK567" s="484"/>
    </row>
    <row r="568" spans="2:37" s="64" customFormat="1" x14ac:dyDescent="0.35">
      <c r="B568" s="30"/>
      <c r="C568" s="30"/>
      <c r="D568" s="30"/>
      <c r="E568" s="30"/>
      <c r="F568" s="258"/>
      <c r="H568" s="487"/>
      <c r="I568" s="487"/>
      <c r="J568" s="487"/>
      <c r="K568" s="487"/>
      <c r="L568" s="483"/>
      <c r="M568" s="484"/>
      <c r="N568" s="484"/>
      <c r="O568" s="484"/>
      <c r="P568" s="484"/>
      <c r="Q568" s="484"/>
      <c r="R568" s="484"/>
      <c r="S568" s="484"/>
      <c r="T568" s="484"/>
      <c r="U568" s="484"/>
      <c r="V568" s="484"/>
      <c r="W568" s="484"/>
      <c r="X568" s="484"/>
      <c r="Y568" s="484"/>
      <c r="Z568" s="484"/>
      <c r="AA568" s="484"/>
      <c r="AB568" s="484"/>
      <c r="AC568" s="484"/>
      <c r="AD568" s="484"/>
      <c r="AE568" s="484"/>
      <c r="AF568" s="484"/>
      <c r="AG568" s="484"/>
      <c r="AH568" s="484"/>
      <c r="AI568" s="484"/>
      <c r="AJ568" s="484"/>
      <c r="AK568" s="484"/>
    </row>
    <row r="569" spans="2:37" s="64" customFormat="1" x14ac:dyDescent="0.35">
      <c r="B569" s="30"/>
      <c r="C569" s="30"/>
      <c r="D569" s="30"/>
      <c r="E569" s="30"/>
      <c r="F569" s="258"/>
      <c r="G569" s="30"/>
      <c r="H569" s="482"/>
      <c r="I569" s="482"/>
      <c r="J569" s="482"/>
      <c r="K569" s="482"/>
      <c r="L569" s="483"/>
      <c r="M569" s="484"/>
      <c r="N569" s="484"/>
      <c r="O569" s="484"/>
      <c r="P569" s="484"/>
      <c r="Q569" s="484"/>
      <c r="R569" s="484"/>
      <c r="S569" s="484"/>
      <c r="T569" s="484"/>
      <c r="U569" s="484"/>
      <c r="V569" s="484"/>
      <c r="W569" s="484"/>
      <c r="X569" s="484"/>
      <c r="Y569" s="484"/>
      <c r="Z569" s="484"/>
      <c r="AA569" s="484"/>
      <c r="AB569" s="484"/>
      <c r="AC569" s="484"/>
      <c r="AD569" s="484"/>
      <c r="AE569" s="484"/>
      <c r="AF569" s="484"/>
      <c r="AG569" s="484"/>
      <c r="AH569" s="484"/>
      <c r="AI569" s="484"/>
      <c r="AJ569" s="484"/>
      <c r="AK569" s="484"/>
    </row>
    <row r="570" spans="2:37" s="64" customFormat="1" x14ac:dyDescent="0.35">
      <c r="B570" s="30"/>
      <c r="C570" s="30"/>
      <c r="D570" s="30"/>
      <c r="E570" s="30"/>
      <c r="F570" s="258"/>
      <c r="H570" s="487"/>
      <c r="I570" s="487"/>
      <c r="J570" s="487"/>
      <c r="K570" s="487"/>
      <c r="L570" s="483"/>
      <c r="M570" s="484"/>
      <c r="N570" s="484"/>
      <c r="O570" s="484"/>
      <c r="P570" s="484"/>
      <c r="Q570" s="484"/>
      <c r="R570" s="484"/>
      <c r="S570" s="484"/>
      <c r="T570" s="484"/>
      <c r="U570" s="484"/>
      <c r="V570" s="484"/>
      <c r="W570" s="484"/>
      <c r="X570" s="484"/>
      <c r="Y570" s="484"/>
      <c r="Z570" s="484"/>
      <c r="AA570" s="484"/>
      <c r="AB570" s="484"/>
      <c r="AC570" s="484"/>
      <c r="AD570" s="484"/>
      <c r="AE570" s="484"/>
      <c r="AF570" s="484"/>
      <c r="AG570" s="484"/>
      <c r="AH570" s="484"/>
      <c r="AI570" s="484"/>
      <c r="AJ570" s="484"/>
      <c r="AK570" s="484"/>
    </row>
    <row r="571" spans="2:37" s="64" customFormat="1" x14ac:dyDescent="0.35">
      <c r="B571" s="30"/>
      <c r="C571" s="30"/>
      <c r="D571" s="30"/>
      <c r="E571" s="30"/>
      <c r="F571" s="258"/>
      <c r="G571" s="30"/>
      <c r="H571" s="482"/>
      <c r="I571" s="482"/>
      <c r="J571" s="482"/>
      <c r="K571" s="482"/>
      <c r="L571" s="483"/>
      <c r="M571" s="484"/>
      <c r="N571" s="484"/>
      <c r="O571" s="484"/>
      <c r="P571" s="484"/>
      <c r="Q571" s="484"/>
      <c r="R571" s="484"/>
      <c r="S571" s="484"/>
      <c r="T571" s="484"/>
      <c r="U571" s="484"/>
      <c r="V571" s="484"/>
      <c r="W571" s="484"/>
      <c r="X571" s="484"/>
      <c r="Y571" s="484"/>
      <c r="Z571" s="484"/>
      <c r="AA571" s="484"/>
      <c r="AB571" s="484"/>
      <c r="AC571" s="484"/>
      <c r="AD571" s="484"/>
      <c r="AE571" s="484"/>
      <c r="AF571" s="484"/>
      <c r="AG571" s="484"/>
      <c r="AH571" s="484"/>
      <c r="AI571" s="484"/>
      <c r="AJ571" s="484"/>
      <c r="AK571" s="484"/>
    </row>
    <row r="572" spans="2:37" s="64" customFormat="1" x14ac:dyDescent="0.35">
      <c r="B572" s="30"/>
      <c r="C572" s="30"/>
      <c r="D572" s="30"/>
      <c r="E572" s="30"/>
      <c r="F572" s="258"/>
      <c r="H572" s="487"/>
      <c r="I572" s="487"/>
      <c r="J572" s="487"/>
      <c r="K572" s="487"/>
      <c r="L572" s="483"/>
      <c r="M572" s="484"/>
      <c r="N572" s="484"/>
      <c r="O572" s="484"/>
      <c r="P572" s="484"/>
      <c r="Q572" s="484"/>
      <c r="R572" s="484"/>
      <c r="S572" s="484"/>
      <c r="T572" s="484"/>
      <c r="U572" s="484"/>
      <c r="V572" s="484"/>
      <c r="W572" s="484"/>
      <c r="X572" s="484"/>
      <c r="Y572" s="484"/>
      <c r="Z572" s="484"/>
      <c r="AA572" s="484"/>
      <c r="AB572" s="484"/>
      <c r="AC572" s="484"/>
      <c r="AD572" s="484"/>
      <c r="AE572" s="484"/>
      <c r="AF572" s="484"/>
      <c r="AG572" s="484"/>
      <c r="AH572" s="484"/>
      <c r="AI572" s="484"/>
      <c r="AJ572" s="484"/>
      <c r="AK572" s="484"/>
    </row>
    <row r="573" spans="2:37" s="64" customFormat="1" x14ac:dyDescent="0.35">
      <c r="B573" s="30"/>
      <c r="C573" s="30"/>
      <c r="D573" s="30"/>
      <c r="E573" s="30"/>
      <c r="F573" s="258"/>
      <c r="G573" s="30"/>
      <c r="H573" s="482"/>
      <c r="I573" s="482"/>
      <c r="J573" s="482"/>
      <c r="K573" s="482"/>
      <c r="L573" s="483"/>
      <c r="M573" s="484"/>
      <c r="N573" s="484"/>
      <c r="O573" s="484"/>
      <c r="P573" s="484"/>
      <c r="Q573" s="484"/>
      <c r="R573" s="484"/>
      <c r="S573" s="484"/>
      <c r="T573" s="484"/>
      <c r="U573" s="484"/>
      <c r="V573" s="484"/>
      <c r="W573" s="484"/>
      <c r="X573" s="484"/>
      <c r="Y573" s="484"/>
      <c r="Z573" s="484"/>
      <c r="AA573" s="484"/>
      <c r="AB573" s="484"/>
      <c r="AC573" s="484"/>
      <c r="AD573" s="484"/>
      <c r="AE573" s="484"/>
      <c r="AF573" s="484"/>
      <c r="AG573" s="484"/>
      <c r="AH573" s="484"/>
      <c r="AI573" s="484"/>
      <c r="AJ573" s="484"/>
      <c r="AK573" s="484"/>
    </row>
  </sheetData>
  <sheetProtection algorithmName="SHA-256" hashValue="xYWTfCxOslM7cVCkjS4PsrWX5x7Vx8xiubhyxkfn65E=" saltValue="ceTqlW5fRpEtTCN4tfnV5g==" spinCount="100000" sheet="1" objects="1" scenarios="1" autoFilter="0"/>
  <mergeCells count="2">
    <mergeCell ref="A1:B1"/>
    <mergeCell ref="H3:L3"/>
  </mergeCells>
  <conditionalFormatting sqref="B7:D7 B11:D12 B16:D16 B18:D20">
    <cfRule type="expression" dxfId="1385" priority="22">
      <formula>AND(B7=#REF!,MOD(ROW(),2)=1)</formula>
    </cfRule>
    <cfRule type="expression" dxfId="1384" priority="23">
      <formula>AND(B7=#REF!,MOD(ROW(),2)=0)</formula>
    </cfRule>
  </conditionalFormatting>
  <conditionalFormatting sqref="B8:D10 B35:D573">
    <cfRule type="expression" dxfId="1383" priority="16">
      <formula>AND(B8=B7,MOD(ROW(),2)=1)</formula>
    </cfRule>
    <cfRule type="expression" dxfId="1382" priority="17">
      <formula>AND(B8=B7,MOD(ROW(),2)=0)</formula>
    </cfRule>
  </conditionalFormatting>
  <conditionalFormatting sqref="B11:D11">
    <cfRule type="expression" dxfId="1381" priority="25">
      <formula>AND(B11=B10,MOD(ROW(),2)=0)</formula>
    </cfRule>
    <cfRule type="expression" dxfId="1380" priority="26">
      <formula>AND(B11=B10,MOD(ROW(),2)=1)</formula>
    </cfRule>
  </conditionalFormatting>
  <conditionalFormatting sqref="B13:D18 B21:D25 B28:D32">
    <cfRule type="expression" dxfId="1379" priority="27">
      <formula>AND(B13=B12,MOD(ROW(),2)=1)</formula>
    </cfRule>
    <cfRule type="expression" dxfId="1378" priority="28">
      <formula>AND(B13=B12,MOD(ROW(),2)=0)</formula>
    </cfRule>
  </conditionalFormatting>
  <conditionalFormatting sqref="B16:D16">
    <cfRule type="expression" dxfId="1377" priority="24">
      <formula>AND(B16=#REF!,MOD(ROW(),2)=1)</formula>
    </cfRule>
  </conditionalFormatting>
  <conditionalFormatting sqref="B26:D27">
    <cfRule type="expression" dxfId="1376" priority="18">
      <formula>AND(B26=#REF!,MOD(ROW(),2)=1)</formula>
    </cfRule>
    <cfRule type="expression" dxfId="1375" priority="19">
      <formula>AND(B26=#REF!,MOD(ROW(),2)=0)</formula>
    </cfRule>
  </conditionalFormatting>
  <conditionalFormatting sqref="B33:D34">
    <cfRule type="expression" dxfId="1374" priority="20">
      <formula>AND(B33=#REF!,MOD(ROW(),2)=1)</formula>
    </cfRule>
    <cfRule type="expression" dxfId="1373" priority="21">
      <formula>AND(B33=#REF!,MOD(ROW(),2)=0)</formula>
    </cfRule>
  </conditionalFormatting>
  <conditionalFormatting sqref="B28:E28">
    <cfRule type="expression" dxfId="1372" priority="15">
      <formula>MOD(ROW(),2)=0</formula>
    </cfRule>
  </conditionalFormatting>
  <conditionalFormatting sqref="B8:F27">
    <cfRule type="expression" dxfId="1371" priority="13">
      <formula>MOD(ROW(),2)=0</formula>
    </cfRule>
  </conditionalFormatting>
  <conditionalFormatting sqref="B34:F39">
    <cfRule type="expression" dxfId="1370" priority="1">
      <formula>MOD(ROW(),2)=0</formula>
    </cfRule>
  </conditionalFormatting>
  <conditionalFormatting sqref="B7:M7 N7:AK41 H8:M8 G8:G39 M9:M38 B29:D33 E33:F33 L39:M39 M40:M41 B40:G573 H42:AK573">
    <cfRule type="expression" dxfId="1369" priority="29">
      <formula>MOD(ROW(),2)=0</formula>
    </cfRule>
  </conditionalFormatting>
  <conditionalFormatting sqref="E29:E32">
    <cfRule type="expression" dxfId="1368" priority="14">
      <formula>MOD(ROW(),2)=0</formula>
    </cfRule>
  </conditionalFormatting>
  <conditionalFormatting sqref="F28:F32">
    <cfRule type="expression" dxfId="1367" priority="2">
      <formula>MOD(ROW(),2)=0</formula>
    </cfRule>
  </conditionalFormatting>
  <conditionalFormatting sqref="H9:L41">
    <cfRule type="expression" dxfId="1366" priority="3">
      <formula>MOD(ROW(),2)=0</formula>
    </cfRule>
  </conditionalFormatting>
  <hyperlinks>
    <hyperlink ref="A1" location="Index!A1" display="&lt;&lt;Back to Index" xr:uid="{31806905-1C47-4AF3-8C93-A470A672A7D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6C7C"/>
  </sheetPr>
  <dimension ref="F9:F14"/>
  <sheetViews>
    <sheetView workbookViewId="0">
      <selection activeCell="H29" sqref="H29"/>
    </sheetView>
  </sheetViews>
  <sheetFormatPr defaultColWidth="8.81640625" defaultRowHeight="14.5" x14ac:dyDescent="0.35"/>
  <cols>
    <col min="1" max="16384" width="8.81640625" style="2"/>
  </cols>
  <sheetData>
    <row r="9" spans="6:6" ht="35" x14ac:dyDescent="0.35">
      <c r="F9" s="765" t="s">
        <v>153</v>
      </c>
    </row>
    <row r="10" spans="6:6" ht="35" x14ac:dyDescent="0.35">
      <c r="F10" s="765" t="str">
        <f>"DMO "&amp;FY</f>
        <v>DMO 2026-27</v>
      </c>
    </row>
    <row r="11" spans="6:6" ht="23" x14ac:dyDescent="0.35">
      <c r="F11" s="766" t="s">
        <v>146</v>
      </c>
    </row>
    <row r="12" spans="6:6" ht="23.5" x14ac:dyDescent="0.35">
      <c r="F12" s="3"/>
    </row>
    <row r="13" spans="6:6" x14ac:dyDescent="0.35">
      <c r="F13" s="4"/>
    </row>
    <row r="14" spans="6:6" x14ac:dyDescent="0.35">
      <c r="F14" s="4"/>
    </row>
  </sheetData>
  <sheetProtection algorithmName="SHA-256" hashValue="N934hMmiP4mzf0q9mZ6Tyj+B2ge6NmNjfqyWs/fZK8A=" saltValue="MD/msrj7G1etq4foN2wcpw==" spinCount="100000" sheet="1" formatCells="0" formatColumns="0" formatRows="0" sort="0" autoFilter="0" pivotTables="0"/>
  <pageMargins left="0.7" right="0.7" top="0.75" bottom="0.75" header="0.3" footer="0.3"/>
  <headerFooter>
    <oddHeader>&amp;C&amp;"Calibri"&amp;10&amp;KFF0000 OFFICIAL SENSITIVE&amp;1#_x000D_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6C7C"/>
  </sheetPr>
  <dimension ref="A1:V79"/>
  <sheetViews>
    <sheetView zoomScale="85" zoomScaleNormal="85" workbookViewId="0">
      <selection activeCell="B23" sqref="B23"/>
    </sheetView>
  </sheetViews>
  <sheetFormatPr defaultColWidth="8.81640625" defaultRowHeight="14" x14ac:dyDescent="0.35"/>
  <cols>
    <col min="1" max="1" width="3.1796875" style="30" customWidth="1"/>
    <col min="2" max="2" width="13.453125" style="30" customWidth="1"/>
    <col min="3" max="3" width="18.54296875" style="30" customWidth="1"/>
    <col min="4" max="4" width="10.26953125" style="30" customWidth="1"/>
    <col min="5" max="5" width="15.36328125" style="30" bestFit="1" customWidth="1"/>
    <col min="6" max="6" width="17.453125" style="30" bestFit="1" customWidth="1"/>
    <col min="7" max="7" width="21.81640625" style="30" bestFit="1" customWidth="1"/>
    <col min="8" max="8" width="12.6328125" style="30" bestFit="1" customWidth="1"/>
    <col min="9" max="9" width="15.36328125" style="30" bestFit="1" customWidth="1"/>
    <col min="10" max="10" width="10.26953125" style="30" customWidth="1"/>
    <col min="11" max="11" width="8.81640625" style="30" bestFit="1" customWidth="1"/>
    <col min="12" max="15" width="10.81640625" style="30" customWidth="1"/>
    <col min="16" max="16" width="11.7265625" style="30" bestFit="1" customWidth="1"/>
    <col min="17" max="17" width="13.453125" style="30" bestFit="1" customWidth="1"/>
    <col min="18" max="18" width="17" style="30" bestFit="1" customWidth="1"/>
    <col min="19" max="19" width="9.26953125" style="30" bestFit="1" customWidth="1"/>
    <col min="20" max="20" width="11.7265625" style="30" bestFit="1" customWidth="1"/>
    <col min="21" max="21" width="5.1796875" style="30" bestFit="1" customWidth="1"/>
    <col min="22" max="24" width="10.81640625" style="30" customWidth="1"/>
    <col min="25" max="25" width="12" style="30" customWidth="1"/>
    <col min="26" max="16384" width="8.81640625" style="30"/>
  </cols>
  <sheetData>
    <row r="1" spans="1:2" ht="10.4" customHeight="1" x14ac:dyDescent="0.35">
      <c r="A1" s="815" t="s">
        <v>18</v>
      </c>
      <c r="B1" s="816"/>
    </row>
    <row r="2" spans="1:2" s="62" customFormat="1" ht="22.5" customHeight="1" x14ac:dyDescent="0.35">
      <c r="A2" s="61" t="s">
        <v>297</v>
      </c>
      <c r="B2" s="61"/>
    </row>
    <row r="3" spans="1:2" x14ac:dyDescent="0.35">
      <c r="B3" s="29" t="s">
        <v>125</v>
      </c>
    </row>
    <row r="41" spans="1:22" x14ac:dyDescent="0.35">
      <c r="B41" s="246"/>
    </row>
    <row r="44" spans="1:22" s="64" customFormat="1" x14ac:dyDescent="0.35">
      <c r="B44" s="247" t="s">
        <v>6</v>
      </c>
      <c r="C44" s="248" t="s">
        <v>19</v>
      </c>
      <c r="D44" s="249" t="str">
        <f>PY</f>
        <v>2025-26</v>
      </c>
      <c r="E44" s="249" t="s">
        <v>62</v>
      </c>
      <c r="F44" s="249" t="s">
        <v>63</v>
      </c>
      <c r="G44" s="249" t="s">
        <v>64</v>
      </c>
      <c r="H44" s="249" t="s">
        <v>159</v>
      </c>
      <c r="I44" s="249" t="s">
        <v>192</v>
      </c>
      <c r="J44" s="249" t="str">
        <f>FY</f>
        <v>2026-27</v>
      </c>
      <c r="K44" s="895" t="s">
        <v>20</v>
      </c>
      <c r="L44" s="896"/>
      <c r="M44" s="250"/>
      <c r="N44" s="30"/>
      <c r="O44" s="30"/>
      <c r="P44" s="30"/>
      <c r="Q44" s="30"/>
      <c r="R44" s="30"/>
      <c r="S44" s="30"/>
      <c r="T44" s="30"/>
      <c r="U44" s="30"/>
      <c r="V44" s="30"/>
    </row>
    <row r="45" spans="1:22" x14ac:dyDescent="0.35">
      <c r="A45" s="160" t="str">
        <f>B45&amp;" "&amp;$B$44&amp;" "&amp;$C$44&amp;" $"</f>
        <v>Ausgrid Residential Flat rate $</v>
      </c>
      <c r="B45" s="251" t="s">
        <v>2</v>
      </c>
      <c r="C45" s="252" t="s">
        <v>147</v>
      </c>
      <c r="D45" s="253">
        <v>0</v>
      </c>
      <c r="E45" s="253">
        <f>IF($K46&lt;0,SUM(D45:D50)+$K46,SUM(D45:D50))</f>
        <v>1964.6187750787888</v>
      </c>
      <c r="F45" s="253">
        <f>IF($K47&lt;0,IF($K46&lt;0,E45+$K47,E45+$K46+$K47),IF($K46&lt;0,E45,E45+$K46))</f>
        <v>1930.7365965213751</v>
      </c>
      <c r="G45" s="253">
        <f>IF($K48&lt;0,IF($K47&lt;0,F45+$K48,F45+$K47+$K48),IF($K47&lt;0,F45,F45+$K47))</f>
        <v>1909.9789330332944</v>
      </c>
      <c r="H45" s="253">
        <f>IF($K49&lt;0,IF($K48&lt;0,G45+$K49,G45+$K48+$K49),IF($K48&lt;0,G45,G45+$K48))</f>
        <v>1903.0182719965851</v>
      </c>
      <c r="I45" s="253">
        <f>IF($K50&lt;0,IF($K49&lt;0,H45+$K50,H45+$K49+$K50),IF($K49&lt;0,H45,H45+$K49))</f>
        <v>1899.0863249913382</v>
      </c>
      <c r="J45" s="253">
        <v>0</v>
      </c>
      <c r="K45" s="254"/>
      <c r="L45" s="255"/>
      <c r="M45" s="256"/>
    </row>
    <row r="46" spans="1:22" x14ac:dyDescent="0.35">
      <c r="A46" s="160"/>
      <c r="B46" s="257" t="str">
        <f>B45</f>
        <v>Ausgrid</v>
      </c>
      <c r="C46" s="30" t="s">
        <v>62</v>
      </c>
      <c r="D46" s="258" cm="1">
        <f t="array" ref="D46">_xlfn.XLOOKUP(1,($B46=Ausgrid!$B$6)*($B$44=Ausgrid!$K$29)*('Res Flat rate'!$C$44=Ausgrid!$K$30)*('Res Flat rate'!$C46=Ausgrid_Description),Ausgrid_RESwoCL_PY_cost)</f>
        <v>711.92496176013196</v>
      </c>
      <c r="E46" s="259">
        <f>ABS($J46-$D46)</f>
        <v>66.305297622654166</v>
      </c>
      <c r="F46" s="259"/>
      <c r="G46" s="259"/>
      <c r="H46" s="259"/>
      <c r="I46" s="259"/>
      <c r="J46" s="258" cm="1">
        <f t="array" ref="J46">_xlfn.XLOOKUP(1,($B46=Ausgrid!$B$6)*($B$44=Ausgrid!$K$29)*('Res Flat rate'!$C$44=Ausgrid!$K$30)*('Res Flat rate'!$C46=Ausgrid_Description),Ausgrid_RESwoCL_FY_cost)</f>
        <v>778.23025938278613</v>
      </c>
      <c r="K46" s="260">
        <f>J46-D46</f>
        <v>66.305297622654166</v>
      </c>
      <c r="L46" s="261">
        <f>+K46/D46</f>
        <v>9.3135233604850529E-2</v>
      </c>
      <c r="M46" s="256"/>
    </row>
    <row r="47" spans="1:22" x14ac:dyDescent="0.35">
      <c r="A47" s="160"/>
      <c r="B47" s="257" t="str">
        <f>B46</f>
        <v>Ausgrid</v>
      </c>
      <c r="C47" s="30" t="s">
        <v>63</v>
      </c>
      <c r="D47" s="258" cm="1">
        <f t="array" ref="D47">_xlfn.XLOOKUP(1,($B47=Ausgrid!$B$6)*($B$44=Ausgrid!$K$29)*('Res Flat rate'!$C$44=Ausgrid!$K$30)*('Res Flat rate'!$C47=Ausgrid_Description),Ausgrid_RESwoCL_PY_cost)</f>
        <v>753.97249122143467</v>
      </c>
      <c r="E47" s="259"/>
      <c r="F47" s="259">
        <f>ABS($J47-$D47)</f>
        <v>100.18747618006796</v>
      </c>
      <c r="G47" s="259"/>
      <c r="H47" s="259"/>
      <c r="I47" s="259"/>
      <c r="J47" s="258" cm="1">
        <f t="array" ref="J47">_xlfn.XLOOKUP(1,($B47=Ausgrid!$B$6)*($B$44=Ausgrid!$K$29)*('Res Flat rate'!$C$44=Ausgrid!$K$30)*('Res Flat rate'!$C47=Ausgrid_Description),Ausgrid_RESwoCL_FY_cost)</f>
        <v>653.78501504136671</v>
      </c>
      <c r="K47" s="260">
        <f>J47-D47</f>
        <v>-100.18747618006796</v>
      </c>
      <c r="L47" s="261">
        <f t="shared" ref="L47:L79" si="0">+K47/D47</f>
        <v>-0.13287948479096942</v>
      </c>
      <c r="M47" s="256"/>
    </row>
    <row r="48" spans="1:22" x14ac:dyDescent="0.35">
      <c r="A48" s="160"/>
      <c r="B48" s="257" t="str">
        <f>B47</f>
        <v>Ausgrid</v>
      </c>
      <c r="C48" s="30" t="s">
        <v>64</v>
      </c>
      <c r="D48" s="258" cm="1">
        <f t="array" ref="D48">_xlfn.XLOOKUP(1,($B48=Ausgrid!$B$6)*($B$44=Ausgrid!$K$29)*('Res Flat rate'!$C$44=Ausgrid!$K$30)*('Res Flat rate'!$C48=Ausgrid_Description),Ausgrid_RESwoCL_PY_cost)</f>
        <v>68.331519303463324</v>
      </c>
      <c r="E48" s="259"/>
      <c r="F48" s="259"/>
      <c r="G48" s="259">
        <f>ABS($J48-$D48)</f>
        <v>20.757663488080645</v>
      </c>
      <c r="H48" s="259"/>
      <c r="I48" s="259"/>
      <c r="J48" s="258" cm="1">
        <f t="array" ref="J48">_xlfn.XLOOKUP(1,($B48=Ausgrid!$B$6)*($B$44=Ausgrid!$K$29)*('Res Flat rate'!$C$44=Ausgrid!$K$30)*('Res Flat rate'!$C48=Ausgrid_Description),Ausgrid_RESwoCL_FY_cost)</f>
        <v>47.573855815382679</v>
      </c>
      <c r="K48" s="260">
        <f>J48-D48</f>
        <v>-20.757663488080645</v>
      </c>
      <c r="L48" s="261">
        <f t="shared" si="0"/>
        <v>-0.30377874953862705</v>
      </c>
      <c r="M48" s="256"/>
    </row>
    <row r="49" spans="1:13" x14ac:dyDescent="0.35">
      <c r="A49" s="160"/>
      <c r="B49" s="257" t="str">
        <f>B48</f>
        <v>Ausgrid</v>
      </c>
      <c r="C49" s="30" t="s">
        <v>159</v>
      </c>
      <c r="D49" s="258" cm="1">
        <f t="array" ref="D49">_xlfn.XLOOKUP(1,($B49=Ausgrid!$B$6)*($B$44=Ausgrid!$K$29)*('Res Flat rate'!$C$44=Ausgrid!$K$30)*('Res Flat rate'!$C49=Ausgrid_Description),Ausgrid_RESwoCL_PY_cost)</f>
        <v>312.51267628903128</v>
      </c>
      <c r="E49" s="259"/>
      <c r="F49" s="259"/>
      <c r="G49" s="259"/>
      <c r="H49" s="259">
        <f>ABS($J49-$D49)</f>
        <v>6.9606610367093822</v>
      </c>
      <c r="I49" s="259"/>
      <c r="J49" s="258" cm="1">
        <f t="array" ref="J49">_xlfn.XLOOKUP(1,($B49=Ausgrid!$B$6)*($B$44=Ausgrid!$K$29)*('Res Flat rate'!$C$44=Ausgrid!$K$30)*('Res Flat rate'!$C49=Ausgrid_Description),Ausgrid_RESwoCL_FY_cost)</f>
        <v>305.55201525232189</v>
      </c>
      <c r="K49" s="260">
        <f>J49-D49</f>
        <v>-6.9606610367093822</v>
      </c>
      <c r="L49" s="261">
        <f t="shared" si="0"/>
        <v>-2.2273211824123663E-2</v>
      </c>
      <c r="M49" s="256"/>
    </row>
    <row r="50" spans="1:13" x14ac:dyDescent="0.35">
      <c r="A50" s="160"/>
      <c r="B50" s="257" t="str">
        <f>B49</f>
        <v>Ausgrid</v>
      </c>
      <c r="C50" s="30" t="s">
        <v>192</v>
      </c>
      <c r="D50" s="258" cm="1">
        <f t="array" ref="D50">_xlfn.XLOOKUP(1,($B50=Ausgrid!$B$6)*($B$44=Ausgrid!$K$29)*('Res Flat rate'!$C$44=Ausgrid!$K$30)*('Res Flat rate'!$C50=Ausgrid_Description),Ausgrid_RESwoCL_PY_cost)</f>
        <v>117.87712650472736</v>
      </c>
      <c r="E50" s="259"/>
      <c r="F50" s="259"/>
      <c r="G50" s="259"/>
      <c r="H50" s="259"/>
      <c r="I50" s="259">
        <f>ABS($J50-$D50)</f>
        <v>3.9319470052469114</v>
      </c>
      <c r="J50" s="258" cm="1">
        <f t="array" ref="J50">_xlfn.XLOOKUP(1,($B50=Ausgrid!$B$6)*($B$44=Ausgrid!$K$29)*('Res Flat rate'!$C$44=Ausgrid!$K$30)*('Res Flat rate'!$C50=Ausgrid_Description),Ausgrid_RESwoCL_FY_cost)</f>
        <v>113.94517949948045</v>
      </c>
      <c r="K50" s="260">
        <f>J50-D50</f>
        <v>-3.9319470052469114</v>
      </c>
      <c r="L50" s="261">
        <f t="shared" si="0"/>
        <v>-3.3356318751876127E-2</v>
      </c>
      <c r="M50" s="256"/>
    </row>
    <row r="51" spans="1:13" x14ac:dyDescent="0.35">
      <c r="A51" s="160"/>
      <c r="B51" s="262" t="str">
        <f>B49</f>
        <v>Ausgrid</v>
      </c>
      <c r="C51" s="263" t="s">
        <v>114</v>
      </c>
      <c r="D51" s="258">
        <f>ROUND(SUM(D45:D50),0)</f>
        <v>1965</v>
      </c>
      <c r="E51" s="264"/>
      <c r="F51" s="264"/>
      <c r="G51" s="264"/>
      <c r="H51" s="264"/>
      <c r="I51" s="264"/>
      <c r="J51" s="264">
        <f>ROUND(SUM(J45:J50),0)</f>
        <v>1899</v>
      </c>
      <c r="K51" s="265">
        <f>+J51-D51</f>
        <v>-66</v>
      </c>
      <c r="L51" s="261">
        <f>+K51/D51</f>
        <v>-3.3587786259541987E-2</v>
      </c>
      <c r="M51" s="256"/>
    </row>
    <row r="52" spans="1:13" x14ac:dyDescent="0.35">
      <c r="A52" s="160" t="str">
        <f>B52&amp;" "&amp;$B$44&amp;" "&amp;$C$44&amp;" $"</f>
        <v>Endeavour Residential Flat rate $</v>
      </c>
      <c r="B52" s="251" t="s">
        <v>4</v>
      </c>
      <c r="C52" s="252" t="s">
        <v>147</v>
      </c>
      <c r="D52" s="253">
        <v>0</v>
      </c>
      <c r="E52" s="253">
        <f>IF($K53&lt;0,SUM(D52:D57)+$K53,SUM(D52:D57))</f>
        <v>2411.3630582255041</v>
      </c>
      <c r="F52" s="253">
        <f>IF($K54&lt;0,IF($K53&lt;0,E52+$K54,E52+$K53+$K54),IF($K53&lt;0,E52,E52+$K53))</f>
        <v>2365.6087926156242</v>
      </c>
      <c r="G52" s="253">
        <f>IF($K55&lt;0,IF($K54&lt;0,F52+$K55,F52+$K54+$K55),IF($K54&lt;0,F52,F52+$K54))</f>
        <v>2338.7272948320738</v>
      </c>
      <c r="H52" s="253">
        <f>IF($K56&lt;0,IF($K55&lt;0,G52+$K56,G52+$K55+$K56),IF($K55&lt;0,G52,G52+$K55))</f>
        <v>2333.3606906090258</v>
      </c>
      <c r="I52" s="253">
        <f>IF($K57&lt;0,IF($K56&lt;0,H52+$K57,H52+$K56+$K57),IF($K56&lt;0,H52,H52+$K56))</f>
        <v>2328.3818160803144</v>
      </c>
      <c r="J52" s="253">
        <v>0</v>
      </c>
      <c r="K52" s="266"/>
      <c r="L52" s="267"/>
      <c r="M52" s="256"/>
    </row>
    <row r="53" spans="1:13" x14ac:dyDescent="0.35">
      <c r="A53" s="160"/>
      <c r="B53" s="257" t="str">
        <f>B52</f>
        <v>Endeavour</v>
      </c>
      <c r="C53" s="30" t="s">
        <v>62</v>
      </c>
      <c r="D53" s="258" cm="1">
        <f t="array" ref="D53">_xlfn.XLOOKUP(1,($B53=Endeavour!$B$6)*($B$44=Endeavour!$J$29)*('Res Flat rate'!$C$44=Endeavour!$J$30)*('Res Flat rate'!$C53=Endeavour_description),Endeavour_RESwoCL_PY_cost)</f>
        <v>836.50737499999991</v>
      </c>
      <c r="E53" s="259">
        <f>ABS($J53-$D53)</f>
        <v>80.078477802521093</v>
      </c>
      <c r="F53" s="259"/>
      <c r="G53" s="259"/>
      <c r="H53" s="259"/>
      <c r="I53" s="259"/>
      <c r="J53" s="258" cm="1">
        <f t="array" ref="J53">_xlfn.XLOOKUP(1,($B53=Endeavour!$B$6)*($B$44=Endeavour!$J$29)*('Res Flat rate'!$C$44=Endeavour!$J$30)*('Res Flat rate'!$C53=Endeavour_description),Endeavour_RESwoCL_FY_cost)</f>
        <v>916.585852802521</v>
      </c>
      <c r="K53" s="260">
        <f>J53-D53</f>
        <v>80.078477802521093</v>
      </c>
      <c r="L53" s="261">
        <f t="shared" si="0"/>
        <v>9.5729553851836749E-2</v>
      </c>
      <c r="M53" s="256"/>
    </row>
    <row r="54" spans="1:13" x14ac:dyDescent="0.35">
      <c r="A54" s="160"/>
      <c r="B54" s="257" t="str">
        <f>B53</f>
        <v>Endeavour</v>
      </c>
      <c r="C54" s="30" t="s">
        <v>63</v>
      </c>
      <c r="D54" s="258" cm="1">
        <f t="array" ref="D54">_xlfn.XLOOKUP(1,($B54=Endeavour!$B$6)*($B$44=Endeavour!$J$29)*('Res Flat rate'!$C$44=Endeavour!$J$30)*('Res Flat rate'!$C54=Endeavour_description),Endeavour_RESwoCL_PY_cost)</f>
        <v>998.46091350140671</v>
      </c>
      <c r="E54" s="259"/>
      <c r="F54" s="259">
        <f>ABS($J54-$D54)</f>
        <v>125.8327434124011</v>
      </c>
      <c r="G54" s="259"/>
      <c r="H54" s="259"/>
      <c r="I54" s="259"/>
      <c r="J54" s="258" cm="1">
        <f t="array" ref="J54">_xlfn.XLOOKUP(1,($B54=Endeavour!$B$6)*($B$44=Endeavour!$J$29)*('Res Flat rate'!$C$44=Endeavour!$J$30)*('Res Flat rate'!$C54=Endeavour_description),Endeavour_RESwoCL_FY_cost)</f>
        <v>872.62817008900561</v>
      </c>
      <c r="K54" s="260">
        <f>J54-D54</f>
        <v>-125.8327434124011</v>
      </c>
      <c r="L54" s="261">
        <f t="shared" si="0"/>
        <v>-0.12602670941933053</v>
      </c>
      <c r="M54" s="256"/>
    </row>
    <row r="55" spans="1:13" x14ac:dyDescent="0.35">
      <c r="A55" s="160"/>
      <c r="B55" s="257" t="str">
        <f>B54</f>
        <v>Endeavour</v>
      </c>
      <c r="C55" s="30" t="s">
        <v>64</v>
      </c>
      <c r="D55" s="258" cm="1">
        <f t="array" ref="D55">_xlfn.XLOOKUP(1,($B55=Endeavour!$B$6)*($B$44=Endeavour!$J$29)*('Res Flat rate'!$C$44=Endeavour!$J$30)*('Res Flat rate'!$C55=Endeavour_description),Endeavour_RESwoCL_PY_cost)</f>
        <v>87.407325012464099</v>
      </c>
      <c r="E55" s="259"/>
      <c r="F55" s="259"/>
      <c r="G55" s="259">
        <f>ABS($J55-$D55)</f>
        <v>26.881497783550387</v>
      </c>
      <c r="H55" s="259"/>
      <c r="I55" s="259"/>
      <c r="J55" s="258" cm="1">
        <f t="array" ref="J55">_xlfn.XLOOKUP(1,($B55=Endeavour!$B$6)*($B$44=Endeavour!$J$29)*('Res Flat rate'!$C$44=Endeavour!$J$30)*('Res Flat rate'!$C55=Endeavour_description),Endeavour_RESwoCL_FY_cost)</f>
        <v>60.525827228913712</v>
      </c>
      <c r="K55" s="260">
        <f>J55-D55</f>
        <v>-26.881497783550387</v>
      </c>
      <c r="L55" s="261">
        <f t="shared" si="0"/>
        <v>-0.30754284929457731</v>
      </c>
      <c r="M55" s="256"/>
    </row>
    <row r="56" spans="1:13" x14ac:dyDescent="0.35">
      <c r="A56" s="160"/>
      <c r="B56" s="257" t="str">
        <f>B55</f>
        <v>Endeavour</v>
      </c>
      <c r="C56" s="30" t="s">
        <v>159</v>
      </c>
      <c r="D56" s="258" cm="1">
        <f t="array" ref="D56">_xlfn.XLOOKUP(1,($B56=Endeavour!$B$6)*($B$44=Endeavour!$J$29)*('Res Flat rate'!$C$44=Endeavour!$J$30)*('Res Flat rate'!$C56=Endeavour_description),Endeavour_RESwoCL_PY_cost)</f>
        <v>344.30566121810301</v>
      </c>
      <c r="E56" s="259"/>
      <c r="F56" s="259"/>
      <c r="G56" s="259"/>
      <c r="H56" s="259">
        <f>ABS($J56-$D56)</f>
        <v>5.3666042230481139</v>
      </c>
      <c r="I56" s="259"/>
      <c r="J56" s="258" cm="1">
        <f t="array" ref="J56">_xlfn.XLOOKUP(1,($B56=Endeavour!$B$6)*($B$44=Endeavour!$J$29)*('Res Flat rate'!$C$44=Endeavour!$J$30)*('Res Flat rate'!$C56=Endeavour_description),Endeavour_RESwoCL_FY_cost)</f>
        <v>338.9390569950549</v>
      </c>
      <c r="K56" s="260">
        <f>J56-D56</f>
        <v>-5.3666042230481139</v>
      </c>
      <c r="L56" s="261">
        <f t="shared" si="0"/>
        <v>-1.5586744069388385E-2</v>
      </c>
      <c r="M56" s="256"/>
    </row>
    <row r="57" spans="1:13" x14ac:dyDescent="0.35">
      <c r="A57" s="160"/>
      <c r="B57" s="257" t="str">
        <f>B56</f>
        <v>Endeavour</v>
      </c>
      <c r="C57" s="30" t="s">
        <v>192</v>
      </c>
      <c r="D57" s="258" cm="1">
        <f t="array" ref="D57">_xlfn.XLOOKUP(1,($B57=Endeavour!$B$6)*($B$44=Endeavour!$J$29)*('Res Flat rate'!$C$44=Endeavour!$J$30)*('Res Flat rate'!$C57=Endeavour_description),Endeavour_RESwoCL_PY_cost)</f>
        <v>144.68178349353047</v>
      </c>
      <c r="E57" s="259"/>
      <c r="F57" s="259"/>
      <c r="G57" s="259"/>
      <c r="H57" s="259"/>
      <c r="I57" s="259">
        <f>ABS($J57-$D57)</f>
        <v>4.978874528711458</v>
      </c>
      <c r="J57" s="258" cm="1">
        <f t="array" ref="J57">_xlfn.XLOOKUP(1,($B57=Endeavour!$B$6)*($B$44=Endeavour!$J$29)*('Res Flat rate'!$C$44=Endeavour!$J$30)*('Res Flat rate'!$C57=Endeavour_description),Endeavour_RESwoCL_FY_cost)</f>
        <v>139.70290896481902</v>
      </c>
      <c r="K57" s="260">
        <f>J57-D57</f>
        <v>-4.978874528711458</v>
      </c>
      <c r="L57" s="261">
        <f t="shared" si="0"/>
        <v>-3.4412587462568089E-2</v>
      </c>
      <c r="M57" s="256"/>
    </row>
    <row r="58" spans="1:13" x14ac:dyDescent="0.35">
      <c r="A58" s="160"/>
      <c r="B58" s="262" t="str">
        <f>B56</f>
        <v>Endeavour</v>
      </c>
      <c r="C58" s="263" t="s">
        <v>114</v>
      </c>
      <c r="D58" s="264">
        <f>ROUND(SUM(D52:D57),0)</f>
        <v>2411</v>
      </c>
      <c r="E58" s="264"/>
      <c r="F58" s="264"/>
      <c r="G58" s="264"/>
      <c r="H58" s="264"/>
      <c r="I58" s="264"/>
      <c r="J58" s="264">
        <f>ROUND(SUM(J52:J57),0)</f>
        <v>2328</v>
      </c>
      <c r="K58" s="265">
        <f>+J58-D58</f>
        <v>-83</v>
      </c>
      <c r="L58" s="261">
        <f t="shared" si="0"/>
        <v>-3.4425549564496061E-2</v>
      </c>
      <c r="M58" s="256"/>
    </row>
    <row r="59" spans="1:13" x14ac:dyDescent="0.35">
      <c r="A59" s="160" t="str">
        <f>B59&amp;" "&amp;$B$44&amp;" "&amp;$C$44&amp;" $"</f>
        <v>Essential Residential Flat rate $</v>
      </c>
      <c r="B59" s="251" t="s">
        <v>3</v>
      </c>
      <c r="C59" s="252" t="s">
        <v>147</v>
      </c>
      <c r="D59" s="253">
        <v>0</v>
      </c>
      <c r="E59" s="253">
        <f>IF($K60&lt;0,SUM(D59:D64)+$K60,SUM(D59:D64))</f>
        <v>2740.8138870475786</v>
      </c>
      <c r="F59" s="253">
        <f>IF($K61&lt;0,IF($K60&lt;0,E59+$K61,E59+$K60+$K61),IF($K60&lt;0,E59,E59+$K60))</f>
        <v>2650.7322826698846</v>
      </c>
      <c r="G59" s="253">
        <f>IF($K62&lt;0,IF($K61&lt;0,F59+$K62,F59+$K61+$K62),IF($K61&lt;0,F59,F59+$K61))</f>
        <v>2626.6450679797126</v>
      </c>
      <c r="H59" s="253">
        <f>IF($K63&lt;0,IF($K62&lt;0,G59+$K63,G59+$K62+$K63),IF($K62&lt;0,G59,G59+$K62))</f>
        <v>2612.0578859789789</v>
      </c>
      <c r="I59" s="253">
        <f>IF($K64&lt;0,IF($K63&lt;0,H59+$K64,H59+$K63+$K64),IF($K63&lt;0,H59,H59+$K63))</f>
        <v>2603.839417825664</v>
      </c>
      <c r="J59" s="253">
        <v>0</v>
      </c>
      <c r="K59" s="266"/>
      <c r="L59" s="267"/>
      <c r="M59" s="256"/>
    </row>
    <row r="60" spans="1:13" x14ac:dyDescent="0.35">
      <c r="A60" s="160"/>
      <c r="B60" s="257" t="str">
        <f>B59</f>
        <v>Essential</v>
      </c>
      <c r="C60" s="30" t="s">
        <v>62</v>
      </c>
      <c r="D60" s="258" cm="1">
        <f t="array" ref="D60">_xlfn.XLOOKUP(1,($B60=Essential!$B$6)*($B$44=Essential!$J$29)*('Res Flat rate'!$C$44=Essential!$J$30)*('Res Flat rate'!$C60=Essential_description),Essential_RESwoCL_PY_cost)</f>
        <v>1248.9808649440904</v>
      </c>
      <c r="E60" s="259">
        <f>ABS($J60-$D60)</f>
        <v>34.047090271200432</v>
      </c>
      <c r="F60" s="259"/>
      <c r="G60" s="259"/>
      <c r="H60" s="259"/>
      <c r="I60" s="259"/>
      <c r="J60" s="258" cm="1">
        <f t="array" ref="J60">_xlfn.XLOOKUP(1,($B60=Essential!$B$6)*($B$44=Essential!$J$29)*('Res Flat rate'!$C$44=Essential!$J$30)*('Res Flat rate'!$C60=Essential_description),Essential_RESwoCL_FY_cost)</f>
        <v>1283.0279552152908</v>
      </c>
      <c r="K60" s="260">
        <f>J60-D60</f>
        <v>34.047090271200432</v>
      </c>
      <c r="L60" s="261">
        <f t="shared" si="0"/>
        <v>2.7259897430633992E-2</v>
      </c>
      <c r="M60" s="256"/>
    </row>
    <row r="61" spans="1:13" x14ac:dyDescent="0.35">
      <c r="A61" s="160"/>
      <c r="B61" s="257" t="str">
        <f>B60</f>
        <v>Essential</v>
      </c>
      <c r="C61" s="30" t="s">
        <v>63</v>
      </c>
      <c r="D61" s="258" cm="1">
        <f t="array" ref="D61">_xlfn.XLOOKUP(1,($B61=Essential!$B$6)*($B$44=Essential!$J$29)*('Res Flat rate'!$C$44=Essential!$J$30)*('Res Flat rate'!$C61=Essential_description),Essential_RESwoCL_PY_cost)</f>
        <v>903.45227990993703</v>
      </c>
      <c r="E61" s="259"/>
      <c r="F61" s="259">
        <f>ABS($J61-$D61)</f>
        <v>124.12869464889422</v>
      </c>
      <c r="G61" s="259"/>
      <c r="H61" s="259"/>
      <c r="I61" s="259"/>
      <c r="J61" s="258" cm="1">
        <f t="array" ref="J61">_xlfn.XLOOKUP(1,($B61=Essential!$B$6)*($B$44=Essential!$J$29)*('Res Flat rate'!$C$44=Essential!$J$30)*('Res Flat rate'!$C61=Essential_description),Essential_RESwoCL_FY_cost)</f>
        <v>779.32358526104281</v>
      </c>
      <c r="K61" s="260">
        <f>J61-D61</f>
        <v>-124.12869464889422</v>
      </c>
      <c r="L61" s="261">
        <f t="shared" si="0"/>
        <v>-0.1373937477486562</v>
      </c>
      <c r="M61" s="256"/>
    </row>
    <row r="62" spans="1:13" x14ac:dyDescent="0.35">
      <c r="A62" s="160"/>
      <c r="B62" s="257" t="str">
        <f>B61</f>
        <v>Essential</v>
      </c>
      <c r="C62" s="30" t="s">
        <v>64</v>
      </c>
      <c r="D62" s="258" cm="1">
        <f t="array" ref="D62">_xlfn.XLOOKUP(1,($B62=Essential!$B$6)*($B$44=Essential!$J$29)*('Res Flat rate'!$C$44=Essential!$J$30)*('Res Flat rate'!$C62=Essential_description),Essential_RESwoCL_PY_cost)</f>
        <v>80.170406567593488</v>
      </c>
      <c r="E62" s="259"/>
      <c r="F62" s="259"/>
      <c r="G62" s="259">
        <f>ABS($J62-$D62)</f>
        <v>24.087214690172061</v>
      </c>
      <c r="H62" s="259"/>
      <c r="I62" s="259"/>
      <c r="J62" s="258" cm="1">
        <f t="array" ref="J62">_xlfn.XLOOKUP(1,($B62=Essential!$B$6)*($B$44=Essential!$J$29)*('Res Flat rate'!$C$44=Essential!$J$30)*('Res Flat rate'!$C62=Essential_description),Essential_RESwoCL_FY_cost)</f>
        <v>56.083191877421427</v>
      </c>
      <c r="K62" s="260">
        <f>J62-D62</f>
        <v>-24.087214690172061</v>
      </c>
      <c r="L62" s="261">
        <f t="shared" si="0"/>
        <v>-0.30045020003564016</v>
      </c>
      <c r="M62" s="256"/>
    </row>
    <row r="63" spans="1:13" x14ac:dyDescent="0.35">
      <c r="A63" s="160"/>
      <c r="B63" s="257" t="str">
        <f>B62</f>
        <v>Essential</v>
      </c>
      <c r="C63" s="30" t="s">
        <v>159</v>
      </c>
      <c r="D63" s="258" cm="1">
        <f t="array" ref="D63">_xlfn.XLOOKUP(1,($B63=Essential!$B$6)*($B$44=Essential!$J$29)*('Res Flat rate'!$C$44=Essential!$J$30)*('Res Flat rate'!$C63=Essential_description),Essential_RESwoCL_PY_cost)</f>
        <v>343.7615024031029</v>
      </c>
      <c r="E63" s="259"/>
      <c r="F63" s="259"/>
      <c r="G63" s="259"/>
      <c r="H63" s="259">
        <f>ABS($J63-$D63)</f>
        <v>14.587182000733719</v>
      </c>
      <c r="I63" s="259"/>
      <c r="J63" s="258" cm="1">
        <f t="array" ref="J63">_xlfn.XLOOKUP(1,($B63=Essential!$B$6)*($B$44=Essential!$J$29)*('Res Flat rate'!$C$44=Essential!$J$30)*('Res Flat rate'!$C63=Essential_description),Essential_RESwoCL_FY_cost)</f>
        <v>329.17432040236918</v>
      </c>
      <c r="K63" s="260">
        <f>J63-D63</f>
        <v>-14.587182000733719</v>
      </c>
      <c r="L63" s="261">
        <f t="shared" si="0"/>
        <v>-4.243401864013395E-2</v>
      </c>
      <c r="M63" s="256"/>
    </row>
    <row r="64" spans="1:13" x14ac:dyDescent="0.35">
      <c r="A64" s="160"/>
      <c r="B64" s="257" t="str">
        <f>B63</f>
        <v>Essential</v>
      </c>
      <c r="C64" s="30" t="s">
        <v>192</v>
      </c>
      <c r="D64" s="258" cm="1">
        <f t="array" ref="D64">_xlfn.XLOOKUP(1,($B64=Essential!$B$6)*($B$44=Essential!$J$29)*('Res Flat rate'!$C$44=Essential!$J$30)*('Res Flat rate'!$C64=Essential_description),Essential_RESwoCL_PY_cost)</f>
        <v>164.44883322285477</v>
      </c>
      <c r="E64" s="259"/>
      <c r="F64" s="259"/>
      <c r="G64" s="259"/>
      <c r="H64" s="259"/>
      <c r="I64" s="259">
        <f>ABS($J64-$D64)</f>
        <v>8.218468153314916</v>
      </c>
      <c r="J64" s="258" cm="1">
        <f t="array" ref="J64">_xlfn.XLOOKUP(1,($B64=Essential!$B$6)*($B$44=Essential!$J$29)*('Res Flat rate'!$C$44=Essential!$J$30)*('Res Flat rate'!$C64=Essential_description),Essential_RESwoCL_FY_cost)</f>
        <v>156.23036506953986</v>
      </c>
      <c r="K64" s="260">
        <f>J64-D64</f>
        <v>-8.218468153314916</v>
      </c>
      <c r="L64" s="261">
        <f t="shared" si="0"/>
        <v>-4.9975837421586095E-2</v>
      </c>
      <c r="M64" s="256"/>
    </row>
    <row r="65" spans="1:13" x14ac:dyDescent="0.35">
      <c r="A65" s="160"/>
      <c r="B65" s="262" t="str">
        <f>B63</f>
        <v>Essential</v>
      </c>
      <c r="C65" s="263" t="s">
        <v>114</v>
      </c>
      <c r="D65" s="264">
        <f>ROUND(SUM(D59:D64),0)</f>
        <v>2741</v>
      </c>
      <c r="E65" s="264"/>
      <c r="F65" s="264"/>
      <c r="G65" s="264"/>
      <c r="H65" s="264"/>
      <c r="I65" s="264"/>
      <c r="J65" s="264">
        <f>ROUND(SUM(J59:J64),0)</f>
        <v>2604</v>
      </c>
      <c r="K65" s="265">
        <f>+J65-D65</f>
        <v>-137</v>
      </c>
      <c r="L65" s="261">
        <f t="shared" si="0"/>
        <v>-4.9981758482305731E-2</v>
      </c>
      <c r="M65" s="256"/>
    </row>
    <row r="66" spans="1:13" x14ac:dyDescent="0.35">
      <c r="A66" s="160" t="str">
        <f>B66&amp;" "&amp;$B$44&amp;" "&amp;$C$44&amp;" $"</f>
        <v>Energex Residential Flat rate $</v>
      </c>
      <c r="B66" s="251" t="s">
        <v>0</v>
      </c>
      <c r="C66" s="252" t="s">
        <v>147</v>
      </c>
      <c r="D66" s="253">
        <v>0</v>
      </c>
      <c r="E66" s="253">
        <f>IF($K67&lt;0,SUM(D66:D71)+$K67,SUM(D66:D71))</f>
        <v>2142.5159833641424</v>
      </c>
      <c r="F66" s="253">
        <f>IF($K68&lt;0,IF($K67&lt;0,E66+$K68,E66+$K67+$K68),IF($K67&lt;0,E66,E66+$K67))</f>
        <v>2059.5769541519653</v>
      </c>
      <c r="G66" s="253">
        <f>IF($K69&lt;0,IF($K68&lt;0,F66+$K69,F66+$K68+$K69),IF($K68&lt;0,F66,F66+$K68))</f>
        <v>2040.1600243547337</v>
      </c>
      <c r="H66" s="253">
        <f>IF($K70&lt;0,IF($K69&lt;0,G66+$K70,G66+$K69+$K70),IF($K69&lt;0,G66,G66+$K69))</f>
        <v>1996.9716049725025</v>
      </c>
      <c r="I66" s="253">
        <f>IF($K71&lt;0,IF($K70&lt;0,H66+$K71,H66+$K70+$K71),IF($K70&lt;0,H66,H66+$K70))</f>
        <v>1987.6815382666532</v>
      </c>
      <c r="J66" s="253">
        <v>0</v>
      </c>
      <c r="K66" s="266"/>
      <c r="L66" s="267"/>
      <c r="M66" s="256"/>
    </row>
    <row r="67" spans="1:13" x14ac:dyDescent="0.35">
      <c r="A67" s="160"/>
      <c r="B67" s="257" t="str">
        <f>B66</f>
        <v>Energex</v>
      </c>
      <c r="C67" s="30" t="s">
        <v>62</v>
      </c>
      <c r="D67" s="258" cm="1">
        <f t="array" ref="D67">_xlfn.XLOOKUP(1,($B67=Energex!$B$6)*($B$44=Energex!$J$29)*('Res Flat rate'!$C$44=Energex!$J$30)*('Res Flat rate'!$C67=Energex_description),Energex_RESwoCL_PY_cost)</f>
        <v>778.44943700626834</v>
      </c>
      <c r="E67" s="259">
        <f>ABS($J67-$D67)</f>
        <v>39.013934552962837</v>
      </c>
      <c r="F67" s="259"/>
      <c r="G67" s="259"/>
      <c r="H67" s="259"/>
      <c r="I67" s="259"/>
      <c r="J67" s="258" cm="1">
        <f t="array" ref="J67">_xlfn.XLOOKUP(1,($B67=Energex!$B$6)*($B$44=Energex!$J$29)*('Res Flat rate'!$C$44=Energex!$J$30)*('Res Flat rate'!$C67=Energex_description),Energex_RESwoCL_FY_cost)</f>
        <v>817.46337155923118</v>
      </c>
      <c r="K67" s="260">
        <f>J67-D67</f>
        <v>39.013934552962837</v>
      </c>
      <c r="L67" s="261">
        <f t="shared" si="0"/>
        <v>5.0117493440551726E-2</v>
      </c>
      <c r="M67" s="256"/>
    </row>
    <row r="68" spans="1:13" x14ac:dyDescent="0.35">
      <c r="A68" s="160"/>
      <c r="B68" s="257" t="str">
        <f>B67</f>
        <v>Energex</v>
      </c>
      <c r="C68" s="30" t="s">
        <v>63</v>
      </c>
      <c r="D68" s="258" cm="1">
        <f t="array" ref="D68">_xlfn.XLOOKUP(1,($B68=Energex!$B$6)*($B$44=Energex!$J$29)*('Res Flat rate'!$C$44=Energex!$J$30)*('Res Flat rate'!$C68=Energex_description),Energex_RESwoCL_PY_cost)</f>
        <v>847.00695816791358</v>
      </c>
      <c r="E68" s="259"/>
      <c r="F68" s="259">
        <f>ABS($J68-$D68)</f>
        <v>121.95296376514</v>
      </c>
      <c r="G68" s="259"/>
      <c r="H68" s="259"/>
      <c r="I68" s="259"/>
      <c r="J68" s="258" cm="1">
        <f t="array" ref="J68">_xlfn.XLOOKUP(1,($B68=Energex!$B$6)*($B$44=Energex!$J$29)*('Res Flat rate'!$C$44=Energex!$J$30)*('Res Flat rate'!$C68=Energex_description),Energex_RESwoCL_FY_cost)</f>
        <v>725.05399440277358</v>
      </c>
      <c r="K68" s="260">
        <f>J68-D68</f>
        <v>-121.95296376514</v>
      </c>
      <c r="L68" s="261">
        <f t="shared" si="0"/>
        <v>-0.14398106484145745</v>
      </c>
      <c r="M68" s="256"/>
    </row>
    <row r="69" spans="1:13" x14ac:dyDescent="0.35">
      <c r="A69" s="160"/>
      <c r="B69" s="257" t="str">
        <f>B68</f>
        <v>Energex</v>
      </c>
      <c r="C69" s="30" t="s">
        <v>64</v>
      </c>
      <c r="D69" s="258" cm="1">
        <f t="array" ref="D69">_xlfn.XLOOKUP(1,($B69=Energex!$B$6)*($B$44=Energex!$J$29)*('Res Flat rate'!$C$44=Energex!$J$30)*('Res Flat rate'!$C69=Energex_description),Energex_RESwoCL_PY_cost)</f>
        <v>60.305218339699209</v>
      </c>
      <c r="E69" s="259"/>
      <c r="F69" s="259"/>
      <c r="G69" s="259">
        <f>ABS($J69-$D69)</f>
        <v>19.416929797231695</v>
      </c>
      <c r="H69" s="259"/>
      <c r="I69" s="259"/>
      <c r="J69" s="258" cm="1">
        <f t="array" ref="J69">_xlfn.XLOOKUP(1,($B69=Energex!$B$6)*($B$44=Energex!$J$29)*('Res Flat rate'!$C$44=Energex!$J$30)*('Res Flat rate'!$C69=Energex_description),Energex_RESwoCL_FY_cost)</f>
        <v>40.888288542467514</v>
      </c>
      <c r="K69" s="260">
        <f>J69-D69</f>
        <v>-19.416929797231695</v>
      </c>
      <c r="L69" s="261">
        <f t="shared" si="0"/>
        <v>-0.32197760545125892</v>
      </c>
      <c r="M69" s="256"/>
    </row>
    <row r="70" spans="1:13" x14ac:dyDescent="0.35">
      <c r="A70" s="160"/>
      <c r="B70" s="257" t="str">
        <f>B69</f>
        <v>Energex</v>
      </c>
      <c r="C70" s="30" t="s">
        <v>159</v>
      </c>
      <c r="D70" s="258" cm="1">
        <f t="array" ref="D70">_xlfn.XLOOKUP(1,($B70=Energex!$B$6)*($B$44=Energex!$J$29)*('Res Flat rate'!$C$44=Energex!$J$30)*('Res Flat rate'!$C70=Energex_description),Energex_RESwoCL_PY_cost)</f>
        <v>328.20341084841237</v>
      </c>
      <c r="E70" s="259"/>
      <c r="F70" s="259"/>
      <c r="G70" s="259"/>
      <c r="H70" s="259">
        <f>ABS($J70-$D70)</f>
        <v>43.188419382231075</v>
      </c>
      <c r="I70" s="259"/>
      <c r="J70" s="258" cm="1">
        <f t="array" ref="J70">_xlfn.XLOOKUP(1,($B70=Energex!$B$6)*($B$44=Energex!$J$29)*('Res Flat rate'!$C$44=Energex!$J$30)*('Res Flat rate'!$C70=Energex_description),Energex_RESwoCL_FY_cost)</f>
        <v>285.0149914661813</v>
      </c>
      <c r="K70" s="260">
        <f>J70-D70</f>
        <v>-43.188419382231075</v>
      </c>
      <c r="L70" s="261">
        <f t="shared" si="0"/>
        <v>-0.13159040386139848</v>
      </c>
      <c r="M70" s="256"/>
    </row>
    <row r="71" spans="1:13" x14ac:dyDescent="0.35">
      <c r="A71" s="160"/>
      <c r="B71" s="257" t="str">
        <f>B70</f>
        <v>Energex</v>
      </c>
      <c r="C71" s="30" t="s">
        <v>192</v>
      </c>
      <c r="D71" s="258" cm="1">
        <f t="array" ref="D71">_xlfn.XLOOKUP(1,($B71=Energex!$B$6)*($B$44=Energex!$J$29)*('Res Flat rate'!$C$44=Energex!$J$30)*('Res Flat rate'!$C71=Energex_description),Energex_RESwoCL_PY_cost)</f>
        <v>128.5509590018487</v>
      </c>
      <c r="E71" s="259"/>
      <c r="F71" s="259"/>
      <c r="G71" s="259"/>
      <c r="H71" s="259"/>
      <c r="I71" s="259">
        <f>ABS($J71-$D71)</f>
        <v>9.2900667058493127</v>
      </c>
      <c r="J71" s="258" cm="1">
        <f t="array" ref="J71">_xlfn.XLOOKUP(1,($B71=Energex!$B$6)*($B$44=Energex!$J$29)*('Res Flat rate'!$C$44=Energex!$J$30)*('Res Flat rate'!$C71=Energex_description),Energex_RESwoCL_FY_cost)</f>
        <v>119.26089229599938</v>
      </c>
      <c r="K71" s="260">
        <f>J71-D71</f>
        <v>-9.2900667058493127</v>
      </c>
      <c r="L71" s="261">
        <f t="shared" si="0"/>
        <v>-7.2267579938596269E-2</v>
      </c>
      <c r="M71" s="256"/>
    </row>
    <row r="72" spans="1:13" x14ac:dyDescent="0.35">
      <c r="A72" s="160"/>
      <c r="B72" s="262" t="str">
        <f>B70</f>
        <v>Energex</v>
      </c>
      <c r="C72" s="263" t="s">
        <v>114</v>
      </c>
      <c r="D72" s="264">
        <f>ROUND(SUM(D66:D71),0)</f>
        <v>2143</v>
      </c>
      <c r="E72" s="264"/>
      <c r="F72" s="264"/>
      <c r="G72" s="264"/>
      <c r="H72" s="264"/>
      <c r="I72" s="264"/>
      <c r="J72" s="264">
        <f>ROUND(SUM(J66:J71),0)</f>
        <v>1988</v>
      </c>
      <c r="K72" s="265">
        <f>+J72-D72</f>
        <v>-155</v>
      </c>
      <c r="L72" s="261">
        <f t="shared" si="0"/>
        <v>-7.2328511432571158E-2</v>
      </c>
      <c r="M72" s="256"/>
    </row>
    <row r="73" spans="1:13" x14ac:dyDescent="0.35">
      <c r="A73" s="160" t="str">
        <f>B73&amp;" "&amp;$B$44&amp;" "&amp;$C$44&amp;" $"</f>
        <v>SAPN Residential Flat rate $</v>
      </c>
      <c r="B73" s="251" t="s">
        <v>5</v>
      </c>
      <c r="C73" s="252" t="s">
        <v>147</v>
      </c>
      <c r="D73" s="253">
        <v>0</v>
      </c>
      <c r="E73" s="253">
        <f>IF($K74&lt;0,SUM(D73:D78)+$K74,SUM(D73:D78))</f>
        <v>2300.5440908863925</v>
      </c>
      <c r="F73" s="253">
        <f>IF($K75&lt;0,IF($K74&lt;0,E73+$K75,E73+$K74+$K75),IF($K74&lt;0,E73,E73+$K74))</f>
        <v>2361.9002573571888</v>
      </c>
      <c r="G73" s="253">
        <f>IF($K76&lt;0,IF($K75&lt;0,F73+$K76,F73+$K75+$K76),IF($K75&lt;0,F73,F73+$K75))</f>
        <v>2336.3751432472122</v>
      </c>
      <c r="H73" s="253">
        <f>IF($K77&lt;0,IF($K76&lt;0,G73+$K77,G73+$K76+$K77),IF($K76&lt;0,G73,G73+$K76))</f>
        <v>2331.6163208149665</v>
      </c>
      <c r="I73" s="253">
        <f>IF($K78&lt;0,IF($K77&lt;0,H73+$K78,H73+$K77+$K78),IF($K77&lt;0,H73,H73+$K77))</f>
        <v>2331.6163208149665</v>
      </c>
      <c r="J73" s="253">
        <v>0</v>
      </c>
      <c r="K73" s="266"/>
      <c r="L73" s="267"/>
      <c r="M73" s="256"/>
    </row>
    <row r="74" spans="1:13" x14ac:dyDescent="0.35">
      <c r="A74" s="160"/>
      <c r="B74" s="257" t="str">
        <f>B73</f>
        <v>SAPN</v>
      </c>
      <c r="C74" s="30" t="s">
        <v>62</v>
      </c>
      <c r="D74" s="258" cm="1">
        <f t="array" ref="D74">_xlfn.XLOOKUP(1,($B74=SAPN!$B$6)*($B$44=SAPN!$J$29)*('Res Flat rate'!$C$44=SAPN!$J$30)*('Res Flat rate'!$C74=SAPN_description),SAPN_RESwoCL_PY_cost)</f>
        <v>896.99139399817057</v>
      </c>
      <c r="E74" s="259">
        <f>ABS($J74-$D74)</f>
        <v>77.350975026038213</v>
      </c>
      <c r="F74" s="259"/>
      <c r="G74" s="259"/>
      <c r="H74" s="259"/>
      <c r="I74" s="259"/>
      <c r="J74" s="258" cm="1">
        <f t="array" ref="J74">_xlfn.XLOOKUP(1,($B74=SAPN!$B$6)*($B$44=SAPN!$J$29)*('Res Flat rate'!$C$44=SAPN!$J$30)*('Res Flat rate'!$C74=SAPN_description),SAPN_RESwoCL_FY_cost)</f>
        <v>974.34236902420878</v>
      </c>
      <c r="K74" s="260">
        <f>J74-D74</f>
        <v>77.350975026038213</v>
      </c>
      <c r="L74" s="261">
        <f t="shared" si="0"/>
        <v>8.6233798388255192E-2</v>
      </c>
      <c r="M74" s="256"/>
    </row>
    <row r="75" spans="1:13" x14ac:dyDescent="0.35">
      <c r="A75" s="160"/>
      <c r="B75" s="257" t="str">
        <f>B74</f>
        <v>SAPN</v>
      </c>
      <c r="C75" s="30" t="s">
        <v>63</v>
      </c>
      <c r="D75" s="258" cm="1">
        <f t="array" ref="D75">_xlfn.XLOOKUP(1,($B75=SAPN!$B$6)*($B$44=SAPN!$J$29)*('Res Flat rate'!$C$44=SAPN!$J$30)*('Res Flat rate'!$C75=SAPN_description),SAPN_RESwoCL_PY_cost)</f>
        <v>858.79927885285167</v>
      </c>
      <c r="E75" s="259"/>
      <c r="F75" s="259">
        <f>ABS($J75-$D75)</f>
        <v>15.994808555242003</v>
      </c>
      <c r="G75" s="259"/>
      <c r="H75" s="259"/>
      <c r="I75" s="259"/>
      <c r="J75" s="258" cm="1">
        <f t="array" ref="J75">_xlfn.XLOOKUP(1,($B75=SAPN!$B$6)*($B$44=SAPN!$J$29)*('Res Flat rate'!$C$44=SAPN!$J$30)*('Res Flat rate'!$C75=SAPN_description),SAPN_RESwoCL_FY_cost)</f>
        <v>842.80447029760967</v>
      </c>
      <c r="K75" s="260">
        <f>J75-D75</f>
        <v>-15.994808555242003</v>
      </c>
      <c r="L75" s="261">
        <f t="shared" si="0"/>
        <v>-1.8624618055812999E-2</v>
      </c>
      <c r="M75" s="256"/>
    </row>
    <row r="76" spans="1:13" x14ac:dyDescent="0.35">
      <c r="A76" s="160"/>
      <c r="B76" s="257" t="str">
        <f>B75</f>
        <v>SAPN</v>
      </c>
      <c r="C76" s="30" t="s">
        <v>64</v>
      </c>
      <c r="D76" s="258" cm="1">
        <f t="array" ref="D76">_xlfn.XLOOKUP(1,($B76=SAPN!$B$6)*($B$44=SAPN!$J$29)*('Res Flat rate'!$C$44=SAPN!$J$30)*('Res Flat rate'!$C76=SAPN_description),SAPN_RESwoCL_PY_cost)</f>
        <v>72.246775704569899</v>
      </c>
      <c r="E76" s="259"/>
      <c r="F76" s="259"/>
      <c r="G76" s="259">
        <f>ABS($J76-$D76)</f>
        <v>25.525114109976613</v>
      </c>
      <c r="H76" s="259"/>
      <c r="I76" s="259"/>
      <c r="J76" s="258" cm="1">
        <f t="array" ref="J76">_xlfn.XLOOKUP(1,($B76=SAPN!$B$6)*($B$44=SAPN!$J$29)*('Res Flat rate'!$C$44=SAPN!$J$30)*('Res Flat rate'!$C76=SAPN_description),SAPN_RESwoCL_FY_cost)</f>
        <v>46.721661594593286</v>
      </c>
      <c r="K76" s="260">
        <f>J76-D76</f>
        <v>-25.525114109976613</v>
      </c>
      <c r="L76" s="261">
        <f t="shared" si="0"/>
        <v>-0.35330454350452134</v>
      </c>
      <c r="M76" s="256"/>
    </row>
    <row r="77" spans="1:13" x14ac:dyDescent="0.35">
      <c r="A77" s="160"/>
      <c r="B77" s="257" t="str">
        <f>B76</f>
        <v>SAPN</v>
      </c>
      <c r="C77" s="30" t="s">
        <v>159</v>
      </c>
      <c r="D77" s="258" cm="1">
        <f t="array" ref="D77">_xlfn.XLOOKUP(1,($B77=SAPN!$B$6)*($B$44=SAPN!$J$29)*('Res Flat rate'!$C$44=SAPN!$J$30)*('Res Flat rate'!$C77=SAPN_description),SAPN_RESwoCL_PY_cost)</f>
        <v>334.4739968776168</v>
      </c>
      <c r="E77" s="259"/>
      <c r="F77" s="259"/>
      <c r="G77" s="259"/>
      <c r="H77" s="259">
        <f>ABS($J77-$D77)</f>
        <v>4.7588224322458359</v>
      </c>
      <c r="I77" s="259"/>
      <c r="J77" s="258" cm="1">
        <f t="array" ref="J77">_xlfn.XLOOKUP(1,($B77=SAPN!$B$6)*($B$44=SAPN!$J$29)*('Res Flat rate'!$C$44=SAPN!$J$30)*('Res Flat rate'!$C77=SAPN_description),SAPN_RESwoCL_FY_cost)</f>
        <v>329.71517444537096</v>
      </c>
      <c r="K77" s="260">
        <f>J77-D77</f>
        <v>-4.7588224322458359</v>
      </c>
      <c r="L77" s="261">
        <f t="shared" si="0"/>
        <v>-1.42277799669643E-2</v>
      </c>
      <c r="M77" s="256"/>
    </row>
    <row r="78" spans="1:13" x14ac:dyDescent="0.35">
      <c r="A78" s="160"/>
      <c r="B78" s="257" t="str">
        <f>B77</f>
        <v>SAPN</v>
      </c>
      <c r="C78" s="30" t="s">
        <v>192</v>
      </c>
      <c r="D78" s="258" cm="1">
        <f t="array" ref="D78">_xlfn.XLOOKUP(1,($B78=SAPN!$B$6)*($B$44=SAPN!$J$29)*('Res Flat rate'!$C$44=SAPN!$J$30)*('Res Flat rate'!$C78=SAPN_description),SAPN_RESwoCL_PY_cost)</f>
        <v>138.0326454531837</v>
      </c>
      <c r="E78" s="259"/>
      <c r="F78" s="259"/>
      <c r="G78" s="259"/>
      <c r="H78" s="259"/>
      <c r="I78" s="259">
        <f>ABS($J78-$D78)</f>
        <v>1.9833338252278736</v>
      </c>
      <c r="J78" s="258" cm="1">
        <f t="array" ref="J78">_xlfn.XLOOKUP(1,($B78=SAPN!$B$6)*($B$44=SAPN!$J$29)*('Res Flat rate'!$C$44=SAPN!$J$30)*('Res Flat rate'!$C78=SAPN_description),SAPN_RESwoCL_FY_cost)</f>
        <v>140.01597927841158</v>
      </c>
      <c r="K78" s="260">
        <f>J78-D78</f>
        <v>1.9833338252278736</v>
      </c>
      <c r="L78" s="261">
        <f t="shared" si="0"/>
        <v>1.4368585190237171E-2</v>
      </c>
      <c r="M78" s="256"/>
    </row>
    <row r="79" spans="1:13" x14ac:dyDescent="0.35">
      <c r="A79" s="160"/>
      <c r="B79" s="262" t="str">
        <f>B77</f>
        <v>SAPN</v>
      </c>
      <c r="C79" s="263" t="s">
        <v>114</v>
      </c>
      <c r="D79" s="264">
        <f>ROUND(SUM(D73:D78),0)</f>
        <v>2301</v>
      </c>
      <c r="E79" s="264"/>
      <c r="F79" s="264"/>
      <c r="G79" s="264"/>
      <c r="H79" s="264"/>
      <c r="I79" s="264"/>
      <c r="J79" s="264">
        <f>ROUND(SUM(J73:J78),0)</f>
        <v>2334</v>
      </c>
      <c r="K79" s="265">
        <f>+J79-D79</f>
        <v>33</v>
      </c>
      <c r="L79" s="268">
        <f t="shared" si="0"/>
        <v>1.4341590612777053E-2</v>
      </c>
      <c r="M79" s="269"/>
    </row>
  </sheetData>
  <sheetProtection algorithmName="SHA-256" hashValue="/2/GiFsvRmo6MBjVxHSR40q1JGJd5PkWhnvUcoNP6hk=" saltValue="ZYBiwFoLWlnEZEQY46aufg==" spinCount="100000" sheet="1" autoFilter="0"/>
  <mergeCells count="2">
    <mergeCell ref="A1:B1"/>
    <mergeCell ref="K44:L44"/>
  </mergeCells>
  <conditionalFormatting sqref="B45:L79">
    <cfRule type="expression" dxfId="1365" priority="2">
      <formula>MOD(ROW(),2)=0</formula>
    </cfRule>
  </conditionalFormatting>
  <conditionalFormatting sqref="M79">
    <cfRule type="cellIs" dxfId="1364" priority="15" operator="equal">
      <formula>FALSE</formula>
    </cfRule>
    <cfRule type="cellIs" dxfId="1363" priority="16" operator="equal">
      <formula>TRUE</formula>
    </cfRule>
  </conditionalFormatting>
  <hyperlinks>
    <hyperlink ref="A1" location="Index!A1" display="&lt;&lt;Back to Index" xr:uid="{00000000-0004-0000-0700-000000000000}"/>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1AF22-FB34-41B8-B03F-08376903D704}">
  <sheetPr>
    <tabColor rgb="FFC06C7C"/>
  </sheetPr>
  <dimension ref="A1:S79"/>
  <sheetViews>
    <sheetView zoomScale="85" zoomScaleNormal="85" workbookViewId="0">
      <selection activeCell="N45" sqref="N45"/>
    </sheetView>
  </sheetViews>
  <sheetFormatPr defaultColWidth="8.81640625" defaultRowHeight="14" x14ac:dyDescent="0.35"/>
  <cols>
    <col min="1" max="1" width="3.1796875" style="30" customWidth="1"/>
    <col min="2" max="2" width="17.08984375" style="30" customWidth="1"/>
    <col min="3" max="3" width="18.26953125" style="30" bestFit="1" customWidth="1"/>
    <col min="4" max="4" width="10" style="30" bestFit="1" customWidth="1"/>
    <col min="5" max="5" width="15.36328125" style="30" bestFit="1" customWidth="1"/>
    <col min="6" max="6" width="17.453125" style="30" bestFit="1" customWidth="1"/>
    <col min="7" max="7" width="21.81640625" style="30" bestFit="1" customWidth="1"/>
    <col min="8" max="8" width="12.6328125" style="30" bestFit="1" customWidth="1"/>
    <col min="9" max="9" width="15.36328125" style="30" bestFit="1" customWidth="1"/>
    <col min="10" max="10" width="10" style="30" bestFit="1" customWidth="1"/>
    <col min="11" max="11" width="9.81640625" style="30" customWidth="1"/>
    <col min="12" max="24" width="10.81640625" style="30" customWidth="1"/>
    <col min="25" max="25" width="12" style="30" customWidth="1"/>
    <col min="26" max="16384" width="8.81640625" style="30"/>
  </cols>
  <sheetData>
    <row r="1" spans="1:2" ht="10.4" customHeight="1" x14ac:dyDescent="0.35">
      <c r="A1" s="815" t="s">
        <v>18</v>
      </c>
      <c r="B1" s="816"/>
    </row>
    <row r="2" spans="1:2" s="62" customFormat="1" ht="22.5" customHeight="1" x14ac:dyDescent="0.35">
      <c r="A2" s="61" t="s">
        <v>298</v>
      </c>
      <c r="B2" s="61"/>
    </row>
    <row r="3" spans="1:2" x14ac:dyDescent="0.35">
      <c r="B3" s="29" t="s">
        <v>125</v>
      </c>
    </row>
    <row r="41" spans="1:19" x14ac:dyDescent="0.35">
      <c r="B41" s="246"/>
    </row>
    <row r="44" spans="1:19" s="64" customFormat="1" x14ac:dyDescent="0.35">
      <c r="B44" s="247" t="s">
        <v>76</v>
      </c>
      <c r="C44" s="248" t="s">
        <v>19</v>
      </c>
      <c r="D44" s="249" t="str">
        <f>PY</f>
        <v>2025-26</v>
      </c>
      <c r="E44" s="249" t="s">
        <v>62</v>
      </c>
      <c r="F44" s="249" t="s">
        <v>63</v>
      </c>
      <c r="G44" s="249" t="s">
        <v>64</v>
      </c>
      <c r="H44" s="249" t="s">
        <v>159</v>
      </c>
      <c r="I44" s="249" t="s">
        <v>192</v>
      </c>
      <c r="J44" s="249" t="str">
        <f>FY</f>
        <v>2026-27</v>
      </c>
      <c r="K44" s="895" t="s">
        <v>20</v>
      </c>
      <c r="L44" s="896"/>
      <c r="M44" s="250"/>
    </row>
    <row r="45" spans="1:19" x14ac:dyDescent="0.35">
      <c r="A45" s="160" t="str">
        <f>B45&amp;" "&amp;$B$44&amp;" "&amp;$C$44&amp;" $"</f>
        <v>Ausgrid Small Business Flat rate $</v>
      </c>
      <c r="B45" s="251" t="s">
        <v>2</v>
      </c>
      <c r="C45" s="252" t="s">
        <v>147</v>
      </c>
      <c r="D45" s="253">
        <v>0</v>
      </c>
      <c r="E45" s="253">
        <f>IF($K46&lt;0,SUM(D45:D50)+$K46,SUM(D45:D50))</f>
        <v>4977.4807932446101</v>
      </c>
      <c r="F45" s="253">
        <f>IF($K47&lt;0,IF($K46&lt;0,E45+$K47,E45+$K46+$K47),IF($K46&lt;0,E45,E45+$K46))</f>
        <v>4880.7494468400164</v>
      </c>
      <c r="G45" s="253">
        <f>IF($K48&lt;0,IF($K47&lt;0,F45+$K48,F45+$K47+$K48),IF($K47&lt;0,F45,F45+$K47))</f>
        <v>4827.5246686654509</v>
      </c>
      <c r="H45" s="253">
        <f>IF($K49&lt;0,IF($K48&lt;0,G45+$K49,G45+$K48+$K49),IF($K48&lt;0,G45,G45+$K48))</f>
        <v>4799.5709487515433</v>
      </c>
      <c r="I45" s="253">
        <f>IF($K50&lt;0,IF($K49&lt;0,H45+$K50,H45+$K49+$K50),IF($K49&lt;0,H45,H45+$K49))</f>
        <v>4523.4553845687624</v>
      </c>
      <c r="J45" s="253"/>
      <c r="K45" s="254"/>
      <c r="L45" s="255"/>
      <c r="M45" s="256"/>
      <c r="N45" s="256"/>
      <c r="O45" s="256"/>
      <c r="P45" s="256"/>
      <c r="Q45" s="256"/>
      <c r="R45" s="256"/>
      <c r="S45" s="256"/>
    </row>
    <row r="46" spans="1:19" x14ac:dyDescent="0.35">
      <c r="A46" s="160"/>
      <c r="B46" s="257" t="str">
        <f>B45</f>
        <v>Ausgrid</v>
      </c>
      <c r="C46" s="30" t="s">
        <v>62</v>
      </c>
      <c r="D46" s="258" cm="1">
        <f t="array" ref="D46">_xlfn.XLOOKUP(1,('SB Flat rate'!$B46=Ausgrid!$B$6)*('SB Flat rate'!$B$44=Ausgrid!$F$6)*('SB Flat rate'!$C$44=Ausgrid!$F$7)*('SB Flat rate'!$C46=Ausgrid_Description),Ausgrid_SBwoCL_PY_cost)</f>
        <v>1923.3380879684253</v>
      </c>
      <c r="E46" s="259">
        <f>ABS($J46-$D46)</f>
        <v>158.93832222571359</v>
      </c>
      <c r="F46" s="259"/>
      <c r="G46" s="259"/>
      <c r="H46" s="259"/>
      <c r="I46" s="259"/>
      <c r="J46" s="258" cm="1">
        <f t="array" ref="J46">_xlfn.XLOOKUP(1,('SB Flat rate'!$B46=Ausgrid!$B$6)*('SB Flat rate'!$B$44=Ausgrid!$F$6)*('SB Flat rate'!$C$44=Ausgrid!$F$7)*('SB Flat rate'!$C46=Ausgrid_Description),Ausgrid_SBwoCL_FY_cost)</f>
        <v>2082.2764101941389</v>
      </c>
      <c r="K46" s="260">
        <f>J46-D46</f>
        <v>158.93832222571359</v>
      </c>
      <c r="L46" s="261">
        <f>+K46/D46</f>
        <v>8.2636705018198975E-2</v>
      </c>
      <c r="M46" s="256"/>
      <c r="N46" s="273"/>
      <c r="O46" s="256"/>
      <c r="P46" s="256"/>
      <c r="Q46" s="256"/>
      <c r="R46" s="256"/>
      <c r="S46" s="256"/>
    </row>
    <row r="47" spans="1:19" x14ac:dyDescent="0.35">
      <c r="A47" s="160"/>
      <c r="B47" s="257" t="str">
        <f>B46</f>
        <v>Ausgrid</v>
      </c>
      <c r="C47" s="30" t="s">
        <v>63</v>
      </c>
      <c r="D47" s="258" cm="1">
        <f t="array" ref="D47">_xlfn.XLOOKUP(1,('SB Flat rate'!$B47=Ausgrid!$B$6)*('SB Flat rate'!$B$44=Ausgrid!$F$6)*('SB Flat rate'!$C$44=Ausgrid!$F$7)*('SB Flat rate'!$C47=Ausgrid_Description),Ausgrid_SBwoCL_PY_cost)</f>
        <v>1909.4590830953503</v>
      </c>
      <c r="E47" s="259"/>
      <c r="F47" s="259">
        <f>ABS($J47-$D47)</f>
        <v>255.66966863030734</v>
      </c>
      <c r="G47" s="259"/>
      <c r="H47" s="259"/>
      <c r="I47" s="259"/>
      <c r="J47" s="258" cm="1">
        <f t="array" ref="J47">_xlfn.XLOOKUP(1,('SB Flat rate'!$B47=Ausgrid!$B$6)*('SB Flat rate'!$B$44=Ausgrid!$F$6)*('SB Flat rate'!$C$44=Ausgrid!$F$7)*('SB Flat rate'!$C47=Ausgrid_Description),Ausgrid_SBwoCL_FY_cost)</f>
        <v>1653.7894144650429</v>
      </c>
      <c r="K47" s="260">
        <f>J47-D47</f>
        <v>-255.66966863030734</v>
      </c>
      <c r="L47" s="261">
        <f t="shared" ref="L47:L79" si="0">+K47/D47</f>
        <v>-0.13389638505154619</v>
      </c>
      <c r="M47" s="256"/>
      <c r="N47" s="273"/>
      <c r="O47" s="273"/>
      <c r="P47" s="256"/>
      <c r="Q47" s="256"/>
      <c r="R47" s="256"/>
      <c r="S47" s="256"/>
    </row>
    <row r="48" spans="1:19" x14ac:dyDescent="0.35">
      <c r="A48" s="160"/>
      <c r="B48" s="257" t="str">
        <f>B47</f>
        <v>Ausgrid</v>
      </c>
      <c r="C48" s="30" t="s">
        <v>64</v>
      </c>
      <c r="D48" s="258" cm="1">
        <f t="array" ref="D48">_xlfn.XLOOKUP(1,('SB Flat rate'!$B48=Ausgrid!$B$6)*('SB Flat rate'!$B$44=Ausgrid!$F$6)*('SB Flat rate'!$C$44=Ausgrid!$F$7)*('SB Flat rate'!$C48=Ausgrid_Description),Ausgrid_SBwoCL_PY_cost)</f>
        <v>175.20902385503413</v>
      </c>
      <c r="E48" s="259"/>
      <c r="F48" s="259"/>
      <c r="G48" s="259">
        <f>ABS($J48-$D48)</f>
        <v>53.224778174565714</v>
      </c>
      <c r="H48" s="259"/>
      <c r="I48" s="259"/>
      <c r="J48" s="258" cm="1">
        <f t="array" ref="J48">_xlfn.XLOOKUP(1,('SB Flat rate'!$B48=Ausgrid!$B$6)*('SB Flat rate'!$B$44=Ausgrid!$F$6)*('SB Flat rate'!$C$44=Ausgrid!$F$7)*('SB Flat rate'!$C48=Ausgrid_Description),Ausgrid_SBwoCL_FY_cost)</f>
        <v>121.98424568046842</v>
      </c>
      <c r="K48" s="260">
        <f>J48-D48</f>
        <v>-53.224778174565714</v>
      </c>
      <c r="L48" s="261">
        <f t="shared" si="0"/>
        <v>-0.30377874953862688</v>
      </c>
      <c r="M48" s="256"/>
      <c r="N48" s="256"/>
      <c r="O48" s="256"/>
      <c r="P48" s="256"/>
      <c r="Q48" s="256"/>
      <c r="R48" s="256"/>
      <c r="S48" s="256"/>
    </row>
    <row r="49" spans="1:19" x14ac:dyDescent="0.35">
      <c r="A49" s="160"/>
      <c r="B49" s="257" t="str">
        <f>B48</f>
        <v>Ausgrid</v>
      </c>
      <c r="C49" s="30" t="s">
        <v>159</v>
      </c>
      <c r="D49" s="258" cm="1">
        <f t="array" ref="D49">_xlfn.XLOOKUP(1,('SB Flat rate'!$B49=Ausgrid!$B$6)*('SB Flat rate'!$B$44=Ausgrid!$F$6)*('SB Flat rate'!$C$44=Ausgrid!$F$7)*('SB Flat rate'!$C49=Ausgrid_Description),Ausgrid_SBwoCL_PY_cost)</f>
        <v>421.95171106889359</v>
      </c>
      <c r="E49" s="259"/>
      <c r="F49" s="259"/>
      <c r="G49" s="259"/>
      <c r="H49" s="259">
        <f>ABS($J49-$D49)</f>
        <v>27.953719913907605</v>
      </c>
      <c r="I49" s="259"/>
      <c r="J49" s="258" cm="1">
        <f t="array" ref="J49">_xlfn.XLOOKUP(1,('SB Flat rate'!$B49=Ausgrid!$B$6)*('SB Flat rate'!$B$44=Ausgrid!$F$6)*('SB Flat rate'!$C$44=Ausgrid!$F$7)*('SB Flat rate'!$C49=Ausgrid_Description),Ausgrid_SBwoCL_FY_cost)</f>
        <v>393.99799115498598</v>
      </c>
      <c r="K49" s="260">
        <f>J49-D49</f>
        <v>-27.953719913907605</v>
      </c>
      <c r="L49" s="261">
        <f t="shared" si="0"/>
        <v>-6.6248623196940887E-2</v>
      </c>
      <c r="M49" s="256"/>
      <c r="N49" s="256"/>
      <c r="O49" s="256"/>
      <c r="P49" s="256"/>
      <c r="Q49" s="256"/>
      <c r="R49" s="256"/>
      <c r="S49" s="256"/>
    </row>
    <row r="50" spans="1:19" x14ac:dyDescent="0.35">
      <c r="A50" s="160"/>
      <c r="B50" s="257" t="str">
        <f>B49</f>
        <v>Ausgrid</v>
      </c>
      <c r="C50" s="30" t="s">
        <v>192</v>
      </c>
      <c r="D50" s="258" cm="1">
        <f t="array" ref="D50">_xlfn.XLOOKUP(1,('SB Flat rate'!$B50=Ausgrid!$B$6)*('SB Flat rate'!$B$44=Ausgrid!$F$6)*('SB Flat rate'!$C$44=Ausgrid!$F$7)*('SB Flat rate'!$C50=Ausgrid_Description),Ausgrid_SBwoCL_PY_cost)</f>
        <v>547.52288725690687</v>
      </c>
      <c r="E50" s="259"/>
      <c r="F50" s="259"/>
      <c r="G50" s="259"/>
      <c r="H50" s="259"/>
      <c r="I50" s="259">
        <f>ABS($J50-$D50)</f>
        <v>276.11556418278087</v>
      </c>
      <c r="J50" s="258" cm="1">
        <f t="array" ref="J50">_xlfn.XLOOKUP(1,('SB Flat rate'!$B50=Ausgrid!$B$6)*('SB Flat rate'!$B$44=Ausgrid!$F$6)*('SB Flat rate'!$C$44=Ausgrid!$F$7)*('SB Flat rate'!$C50=Ausgrid_Description),Ausgrid_SBwoCL_FY_cost)</f>
        <v>271.407323074126</v>
      </c>
      <c r="K50" s="260">
        <f>J50-D50</f>
        <v>-276.11556418278087</v>
      </c>
      <c r="L50" s="261">
        <f t="shared" si="0"/>
        <v>-0.50429958383314644</v>
      </c>
      <c r="M50" s="256"/>
      <c r="N50" s="256"/>
      <c r="O50" s="273"/>
      <c r="P50" s="256"/>
      <c r="Q50" s="256"/>
      <c r="R50" s="256"/>
      <c r="S50" s="256"/>
    </row>
    <row r="51" spans="1:19" x14ac:dyDescent="0.35">
      <c r="A51" s="160"/>
      <c r="B51" s="262" t="str">
        <f>B49</f>
        <v>Ausgrid</v>
      </c>
      <c r="C51" s="263" t="s">
        <v>114</v>
      </c>
      <c r="D51" s="264">
        <f>ROUND(SUM(D45:D50),0)</f>
        <v>4977</v>
      </c>
      <c r="E51" s="264"/>
      <c r="F51" s="264"/>
      <c r="G51" s="264"/>
      <c r="H51" s="264"/>
      <c r="I51" s="264"/>
      <c r="J51" s="264">
        <f>ROUND(SUM(J45:J50),0)</f>
        <v>4523</v>
      </c>
      <c r="K51" s="265">
        <f>+J51-D51</f>
        <v>-454</v>
      </c>
      <c r="L51" s="261">
        <f t="shared" si="0"/>
        <v>-9.1219610206951976E-2</v>
      </c>
      <c r="M51" s="256"/>
      <c r="N51" s="256"/>
      <c r="O51" s="273"/>
      <c r="P51" s="274"/>
      <c r="Q51" s="256"/>
      <c r="R51" s="256"/>
      <c r="S51" s="256"/>
    </row>
    <row r="52" spans="1:19" x14ac:dyDescent="0.35">
      <c r="A52" s="160" t="str">
        <f>B52&amp;" "&amp;$B$44&amp;" "&amp;$C$44&amp;" $"</f>
        <v>Endeavour Small Business Flat rate $</v>
      </c>
      <c r="B52" s="251" t="s">
        <v>4</v>
      </c>
      <c r="C52" s="252" t="s">
        <v>147</v>
      </c>
      <c r="D52" s="253">
        <v>0</v>
      </c>
      <c r="E52" s="253">
        <f>IF($K53&lt;0,SUM(D52:D57)+$K53,SUM(D52:D57))</f>
        <v>4775.2370500773122</v>
      </c>
      <c r="F52" s="253">
        <f>IF($K54&lt;0,IF($K53&lt;0,E52+$K54,E52+$K53+$K54),IF($K53&lt;0,E52,E52+$K53))</f>
        <v>4688.6331031184745</v>
      </c>
      <c r="G52" s="253">
        <f>IF($K55&lt;0,IF($K54&lt;0,F52+$K55,F52+$K54+$K55),IF($K54&lt;0,F52,F52+$K54))</f>
        <v>4633.7729035602088</v>
      </c>
      <c r="H52" s="253">
        <f>IF($K56&lt;0,IF($K55&lt;0,G52+$K56,G52+$K55+$K56),IF($K55&lt;0,G52,G52+$K55))</f>
        <v>4607.7694551182158</v>
      </c>
      <c r="I52" s="253">
        <f>IF($K57&lt;0,IF($K56&lt;0,H52+$K57,H52+$K56+$K57),IF($K56&lt;0,H52,H52+$K56))</f>
        <v>4343.0780634145867</v>
      </c>
      <c r="J52" s="253">
        <v>0</v>
      </c>
      <c r="K52" s="266"/>
      <c r="L52" s="267"/>
      <c r="M52" s="256"/>
    </row>
    <row r="53" spans="1:19" x14ac:dyDescent="0.35">
      <c r="A53" s="160"/>
      <c r="B53" s="257" t="str">
        <f>B52</f>
        <v>Endeavour</v>
      </c>
      <c r="C53" s="30" t="s">
        <v>62</v>
      </c>
      <c r="D53" s="258" cm="1">
        <f t="array" ref="D53">_xlfn.XLOOKUP(1,('SB Flat rate'!$B53=Endeavour!$B$6)*('SB Flat rate'!$B$44=Endeavour!$F$6)*('SB Flat rate'!$C$44=Endeavour!$F$7)*('SB Flat rate'!$C53=Endeavour_description),Endeavour_SBwoCL_PY_cost)</f>
        <v>1597.5537049999998</v>
      </c>
      <c r="E53" s="259">
        <f>ABS($J53-$D53)</f>
        <v>169.38487110840265</v>
      </c>
      <c r="F53" s="259"/>
      <c r="G53" s="259"/>
      <c r="H53" s="259"/>
      <c r="I53" s="259"/>
      <c r="J53" s="258" cm="1">
        <f t="array" ref="J53">_xlfn.XLOOKUP(1,('SB Flat rate'!$B53=Endeavour!$B$6)*('SB Flat rate'!$B$44=Endeavour!$F$6)*('SB Flat rate'!$C$44=Endeavour!$F$7)*('SB Flat rate'!$C53=Endeavour_description),Endeavour_SBwoCL_FY_cost)</f>
        <v>1766.9385761084025</v>
      </c>
      <c r="K53" s="260">
        <f>J53-D53</f>
        <v>169.38487110840265</v>
      </c>
      <c r="L53" s="261">
        <f t="shared" si="0"/>
        <v>0.10602765376729709</v>
      </c>
      <c r="M53" s="256"/>
      <c r="N53" s="273"/>
      <c r="O53" s="256"/>
    </row>
    <row r="54" spans="1:19" x14ac:dyDescent="0.35">
      <c r="A54" s="160"/>
      <c r="B54" s="257" t="str">
        <f>B53</f>
        <v>Endeavour</v>
      </c>
      <c r="C54" s="30" t="s">
        <v>63</v>
      </c>
      <c r="D54" s="258" cm="1">
        <f t="array" ref="D54">_xlfn.XLOOKUP(1,('SB Flat rate'!$B54=Endeavour!$B$6)*('SB Flat rate'!$B$44=Endeavour!$F$6)*('SB Flat rate'!$C$44=Endeavour!$F$7)*('SB Flat rate'!$C54=Endeavour_description),Endeavour_SBwoCL_PY_cost)</f>
        <v>2021.8353909019456</v>
      </c>
      <c r="E54" s="259"/>
      <c r="F54" s="259">
        <f>ABS($J54-$D54)</f>
        <v>255.9888180672408</v>
      </c>
      <c r="G54" s="259"/>
      <c r="H54" s="259"/>
      <c r="I54" s="259"/>
      <c r="J54" s="258" cm="1">
        <f t="array" ref="J54">_xlfn.XLOOKUP(1,('SB Flat rate'!$B54=Endeavour!$B$6)*('SB Flat rate'!$B$44=Endeavour!$F$6)*('SB Flat rate'!$C$44=Endeavour!$F$7)*('SB Flat rate'!$C54=Endeavour_description),Endeavour_SBwoCL_FY_cost)</f>
        <v>1765.8465728347048</v>
      </c>
      <c r="K54" s="260">
        <f>J54-D54</f>
        <v>-255.9888180672408</v>
      </c>
      <c r="L54" s="261">
        <f t="shared" si="0"/>
        <v>-0.12661209672120913</v>
      </c>
      <c r="M54" s="256"/>
      <c r="N54" s="273"/>
      <c r="O54" s="273"/>
    </row>
    <row r="55" spans="1:19" x14ac:dyDescent="0.35">
      <c r="A55" s="160"/>
      <c r="B55" s="257" t="str">
        <f>B54</f>
        <v>Endeavour</v>
      </c>
      <c r="C55" s="30" t="s">
        <v>64</v>
      </c>
      <c r="D55" s="258" cm="1">
        <f t="array" ref="D55">_xlfn.XLOOKUP(1,('SB Flat rate'!$B55=Endeavour!$B$6)*('SB Flat rate'!$B$44=Endeavour!$F$6)*('SB Flat rate'!$C$44=Endeavour!$F$7)*('SB Flat rate'!$C55=Endeavour_description),Endeavour_SBwoCL_PY_cost)</f>
        <v>178.38229594380428</v>
      </c>
      <c r="E55" s="259"/>
      <c r="F55" s="259"/>
      <c r="G55" s="259">
        <f>ABS($J55-$D55)</f>
        <v>54.860199558266103</v>
      </c>
      <c r="H55" s="259"/>
      <c r="I55" s="259" t="s">
        <v>172</v>
      </c>
      <c r="J55" s="258" cm="1">
        <f t="array" ref="J55">_xlfn.XLOOKUP(1,('SB Flat rate'!$B55=Endeavour!$B$6)*('SB Flat rate'!$B$44=Endeavour!$F$6)*('SB Flat rate'!$C$44=Endeavour!$F$7)*('SB Flat rate'!$C55=Endeavour_description),Endeavour_SBwoCL_FY_cost)</f>
        <v>123.52209638553818</v>
      </c>
      <c r="K55" s="260">
        <f>J55-D55</f>
        <v>-54.860199558266103</v>
      </c>
      <c r="L55" s="261">
        <f t="shared" si="0"/>
        <v>-0.30754284929457737</v>
      </c>
      <c r="M55" s="256"/>
      <c r="N55" s="256"/>
      <c r="O55" s="256"/>
    </row>
    <row r="56" spans="1:19" x14ac:dyDescent="0.35">
      <c r="A56" s="160"/>
      <c r="B56" s="257" t="str">
        <f>B55</f>
        <v>Endeavour</v>
      </c>
      <c r="C56" s="30" t="s">
        <v>159</v>
      </c>
      <c r="D56" s="258" cm="1">
        <f t="array" ref="D56">_xlfn.XLOOKUP(1,('SB Flat rate'!$B56=Endeavour!$B$6)*('SB Flat rate'!$B$44=Endeavour!$F$6)*('SB Flat rate'!$C$44=Endeavour!$F$7)*('SB Flat rate'!$C56=Endeavour_description),Endeavour_SBwoCL_PY_cost)</f>
        <v>452.18958272305747</v>
      </c>
      <c r="E56" s="259"/>
      <c r="F56" s="259"/>
      <c r="G56" s="259"/>
      <c r="H56" s="259">
        <f>ABS($J56-$D56)</f>
        <v>26.003448441992987</v>
      </c>
      <c r="I56" s="259"/>
      <c r="J56" s="258" cm="1">
        <f t="array" ref="J56">_xlfn.XLOOKUP(1,('SB Flat rate'!$B56=Endeavour!$B$6)*('SB Flat rate'!$B$44=Endeavour!$F$6)*('SB Flat rate'!$C$44=Endeavour!$F$7)*('SB Flat rate'!$C56=Endeavour_description),Endeavour_SBwoCL_FY_cost)</f>
        <v>426.18613428106448</v>
      </c>
      <c r="K56" s="260">
        <f>J56-D56</f>
        <v>-26.003448441992987</v>
      </c>
      <c r="L56" s="261">
        <f t="shared" si="0"/>
        <v>-5.750563355617757E-2</v>
      </c>
      <c r="M56" s="256"/>
      <c r="N56" s="256"/>
      <c r="O56" s="256"/>
    </row>
    <row r="57" spans="1:19" x14ac:dyDescent="0.35">
      <c r="A57" s="160"/>
      <c r="B57" s="257" t="str">
        <f>B56</f>
        <v>Endeavour</v>
      </c>
      <c r="C57" s="30" t="s">
        <v>192</v>
      </c>
      <c r="D57" s="258" cm="1">
        <f t="array" ref="D57">_xlfn.XLOOKUP(1,('SB Flat rate'!$B57=Endeavour!$B$6)*('SB Flat rate'!$B$44=Endeavour!$F$6)*('SB Flat rate'!$C$44=Endeavour!$F$7)*('SB Flat rate'!$C57=Endeavour_description),Endeavour_SBwoCL_PY_cost)</f>
        <v>525.27607550850462</v>
      </c>
      <c r="E57" s="259"/>
      <c r="F57" s="259"/>
      <c r="G57" s="259"/>
      <c r="H57" s="259"/>
      <c r="I57" s="259">
        <f>ABS($J57-$D57)</f>
        <v>264.69139170362951</v>
      </c>
      <c r="J57" s="258" cm="1">
        <f t="array" ref="J57">_xlfn.XLOOKUP(1,('SB Flat rate'!$B57=Endeavour!$B$6)*('SB Flat rate'!$B$44=Endeavour!$F$6)*('SB Flat rate'!$C$44=Endeavour!$F$7)*('SB Flat rate'!$C57=Endeavour_description),Endeavour_SBwoCL_FY_cost)</f>
        <v>260.58468380487511</v>
      </c>
      <c r="K57" s="260">
        <f>J57-D57</f>
        <v>-264.69139170362951</v>
      </c>
      <c r="L57" s="261">
        <f t="shared" si="0"/>
        <v>-0.5039090947505831</v>
      </c>
      <c r="M57" s="256"/>
      <c r="N57" s="256"/>
      <c r="O57" s="273"/>
    </row>
    <row r="58" spans="1:19" x14ac:dyDescent="0.35">
      <c r="A58" s="160"/>
      <c r="B58" s="262" t="str">
        <f>B56</f>
        <v>Endeavour</v>
      </c>
      <c r="C58" s="263" t="s">
        <v>114</v>
      </c>
      <c r="D58" s="264">
        <f>ROUND(SUM(D52:D57),0)</f>
        <v>4775</v>
      </c>
      <c r="E58" s="264"/>
      <c r="F58" s="264"/>
      <c r="G58" s="264"/>
      <c r="H58" s="264"/>
      <c r="I58" s="264"/>
      <c r="J58" s="264">
        <f>ROUND(SUM(J52:J57),0)</f>
        <v>4343</v>
      </c>
      <c r="K58" s="265">
        <f>+J58-D58</f>
        <v>-432</v>
      </c>
      <c r="L58" s="261">
        <f t="shared" si="0"/>
        <v>-9.0471204188481674E-2</v>
      </c>
      <c r="M58" s="256"/>
      <c r="N58" s="256"/>
      <c r="O58" s="273"/>
      <c r="P58" s="274"/>
    </row>
    <row r="59" spans="1:19" x14ac:dyDescent="0.35">
      <c r="A59" s="160" t="str">
        <f>B59&amp;" "&amp;$B$44&amp;" "&amp;$C$44&amp;" $"</f>
        <v>Essential Small Business Flat rate $</v>
      </c>
      <c r="B59" s="251" t="s">
        <v>3</v>
      </c>
      <c r="C59" s="252" t="s">
        <v>147</v>
      </c>
      <c r="D59" s="253">
        <v>0</v>
      </c>
      <c r="E59" s="253">
        <f>IF($K60&lt;0,SUM(D59:D64)+$K60,SUM(D59:D64))</f>
        <v>6222.0618242391993</v>
      </c>
      <c r="F59" s="253">
        <f>IF($K61&lt;0,IF($K60&lt;0,E59+$K61,E59+$K60+$K61),IF($K60&lt;0,E59,E59+$K60))</f>
        <v>5958.6604663480121</v>
      </c>
      <c r="G59" s="253">
        <f>IF($K62&lt;0,IF($K61&lt;0,F59+$K62,F59+$K61+$K62),IF($K61&lt;0,F59,F59+$K61))</f>
        <v>5906.2969561519858</v>
      </c>
      <c r="H59" s="253">
        <f>IF($K63&lt;0,IF($K62&lt;0,G59+$K63,G59+$K62+$K63),IF($K62&lt;0,G59,G59+$K62))</f>
        <v>5870.6928980094881</v>
      </c>
      <c r="I59" s="253">
        <f>IF($K64&lt;0,IF($K63&lt;0,H59+$K64,H59+$K63+$K64),IF($K63&lt;0,H59,H59+$K63))</f>
        <v>5517.30435887572</v>
      </c>
      <c r="J59" s="253">
        <v>0</v>
      </c>
      <c r="K59" s="266"/>
      <c r="L59" s="267"/>
      <c r="M59" s="256"/>
    </row>
    <row r="60" spans="1:19" x14ac:dyDescent="0.35">
      <c r="A60" s="160"/>
      <c r="B60" s="257" t="str">
        <f>B59</f>
        <v>Essential</v>
      </c>
      <c r="C60" s="30" t="s">
        <v>62</v>
      </c>
      <c r="D60" s="258" cm="1">
        <f t="array" ref="D60">_xlfn.XLOOKUP(1,('SB Flat rate'!$B60=Essential!$B$6)*('SB Flat rate'!$B$44=Essential!$F$6)*('SB Flat rate'!$C$44=Essential!$F$7)*('SB Flat rate'!$C60=Essential_description),Essential_SBwoCL_PY_cost)</f>
        <v>2959.1444552068538</v>
      </c>
      <c r="E60" s="259">
        <f>ABS($J60-$D60)</f>
        <v>5.5270056588178704</v>
      </c>
      <c r="F60" s="259"/>
      <c r="G60" s="259"/>
      <c r="H60" s="259"/>
      <c r="I60" s="259"/>
      <c r="J60" s="258" cm="1">
        <f t="array" ref="J60">_xlfn.XLOOKUP(1,('SB Flat rate'!$B60=Essential!$B$6)*('SB Flat rate'!$B$44=Essential!$F$6)*('SB Flat rate'!$C$44=Essential!$F$7)*('SB Flat rate'!$C60=Essential_description),Essential_SBwoCL_FY_cost)</f>
        <v>2964.6714608656716</v>
      </c>
      <c r="K60" s="260">
        <f>J60-D60</f>
        <v>5.5270056588178704</v>
      </c>
      <c r="L60" s="261">
        <f t="shared" si="0"/>
        <v>1.8677714935790503E-3</v>
      </c>
      <c r="M60" s="256"/>
      <c r="N60" s="273"/>
      <c r="O60" s="256"/>
    </row>
    <row r="61" spans="1:19" x14ac:dyDescent="0.35">
      <c r="A61" s="160"/>
      <c r="B61" s="257" t="str">
        <f>B60</f>
        <v>Essential</v>
      </c>
      <c r="C61" s="30" t="s">
        <v>63</v>
      </c>
      <c r="D61" s="258" cm="1">
        <f t="array" ref="D61">_xlfn.XLOOKUP(1,('SB Flat rate'!$B61=Essential!$B$6)*('SB Flat rate'!$B$44=Essential!$F$6)*('SB Flat rate'!$C$44=Essential!$F$7)*('SB Flat rate'!$C61=Essential_description),Essential_SBwoCL_PY_cost)</f>
        <v>1946.1611845522723</v>
      </c>
      <c r="E61" s="259"/>
      <c r="F61" s="259">
        <f>ABS($J61-$D61)</f>
        <v>268.92836355000554</v>
      </c>
      <c r="G61" s="259"/>
      <c r="H61" s="259"/>
      <c r="I61" s="259"/>
      <c r="J61" s="258" cm="1">
        <f t="array" ref="J61">_xlfn.XLOOKUP(1,('SB Flat rate'!$B61=Essential!$B$6)*('SB Flat rate'!$B$44=Essential!$F$6)*('SB Flat rate'!$C$44=Essential!$F$7)*('SB Flat rate'!$C61=Essential_description),Essential_SBwoCL_FY_cost)</f>
        <v>1677.2328210022667</v>
      </c>
      <c r="K61" s="260">
        <f>J61-D61</f>
        <v>-268.92836355000554</v>
      </c>
      <c r="L61" s="261">
        <f t="shared" si="0"/>
        <v>-0.13818401357741308</v>
      </c>
      <c r="M61" s="256"/>
      <c r="N61" s="273"/>
      <c r="O61" s="273"/>
    </row>
    <row r="62" spans="1:19" x14ac:dyDescent="0.35">
      <c r="A62" s="160"/>
      <c r="B62" s="257" t="str">
        <f>B61</f>
        <v>Essential</v>
      </c>
      <c r="C62" s="30" t="s">
        <v>64</v>
      </c>
      <c r="D62" s="258" cm="1">
        <f t="array" ref="D62">_xlfn.XLOOKUP(1,('SB Flat rate'!$B62=Essential!$B$6)*('SB Flat rate'!$B$44=Essential!$F$6)*('SB Flat rate'!$C$44=Essential!$F$7)*('SB Flat rate'!$C62=Essential_description),Essential_SBwoCL_PY_cost)</f>
        <v>174.28349253824669</v>
      </c>
      <c r="E62" s="259"/>
      <c r="F62" s="259"/>
      <c r="G62" s="259">
        <f>ABS($J62-$D62)</f>
        <v>52.363510196026198</v>
      </c>
      <c r="H62" s="259"/>
      <c r="I62" s="259"/>
      <c r="J62" s="258" cm="1">
        <f t="array" ref="J62">_xlfn.XLOOKUP(1,('SB Flat rate'!$B62=Essential!$B$6)*('SB Flat rate'!$B$44=Essential!$F$6)*('SB Flat rate'!$C$44=Essential!$F$7)*('SB Flat rate'!$C62=Essential_description),Essential_SBwoCL_FY_cost)</f>
        <v>121.91998234222049</v>
      </c>
      <c r="K62" s="260">
        <f>J62-D62</f>
        <v>-52.363510196026198</v>
      </c>
      <c r="L62" s="261">
        <f t="shared" si="0"/>
        <v>-0.30045020003564005</v>
      </c>
      <c r="M62" s="256"/>
      <c r="N62" s="256"/>
      <c r="O62" s="256"/>
    </row>
    <row r="63" spans="1:19" x14ac:dyDescent="0.35">
      <c r="A63" s="160"/>
      <c r="B63" s="257" t="str">
        <f>B62</f>
        <v>Essential</v>
      </c>
      <c r="C63" s="30" t="s">
        <v>159</v>
      </c>
      <c r="D63" s="258" cm="1">
        <f t="array" ref="D63">_xlfn.XLOOKUP(1,('SB Flat rate'!$B63=Essential!$B$6)*('SB Flat rate'!$B$44=Essential!$F$6)*('SB Flat rate'!$C$44=Essential!$F$7)*('SB Flat rate'!$C63=Essential_description),Essential_SBwoCL_PY_cost)</f>
        <v>458.04589127551509</v>
      </c>
      <c r="E63" s="259"/>
      <c r="F63" s="259"/>
      <c r="G63" s="259"/>
      <c r="H63" s="259">
        <f>ABS($J63-$D63)</f>
        <v>35.604058142497536</v>
      </c>
      <c r="I63" s="259"/>
      <c r="J63" s="258" cm="1">
        <f t="array" ref="J63">_xlfn.XLOOKUP(1,('SB Flat rate'!$B63=Essential!$B$6)*('SB Flat rate'!$B$44=Essential!$F$6)*('SB Flat rate'!$C$44=Essential!$F$7)*('SB Flat rate'!$C63=Essential_description),Essential_SBwoCL_FY_cost)</f>
        <v>422.44183313301755</v>
      </c>
      <c r="K63" s="260">
        <f>J63-D63</f>
        <v>-35.604058142497536</v>
      </c>
      <c r="L63" s="261">
        <f t="shared" si="0"/>
        <v>-7.773032969109564E-2</v>
      </c>
      <c r="M63" s="256"/>
      <c r="N63" s="256"/>
      <c r="O63" s="256"/>
    </row>
    <row r="64" spans="1:19" x14ac:dyDescent="0.35">
      <c r="A64" s="160"/>
      <c r="B64" s="257" t="str">
        <f>B63</f>
        <v>Essential</v>
      </c>
      <c r="C64" s="30" t="s">
        <v>192</v>
      </c>
      <c r="D64" s="258" cm="1">
        <f t="array" ref="D64">_xlfn.XLOOKUP(1,('SB Flat rate'!$B64=Essential!$B$6)*('SB Flat rate'!$B$44=Essential!$F$6)*('SB Flat rate'!$C$44=Essential!$F$7)*('SB Flat rate'!$C64=Essential_description),Essential_SBwoCL_PY_cost)</f>
        <v>684.42680066631146</v>
      </c>
      <c r="E64" s="259"/>
      <c r="F64" s="259"/>
      <c r="G64" s="259"/>
      <c r="H64" s="259"/>
      <c r="I64" s="259">
        <f>ABS($J64-$D64)</f>
        <v>353.38853913376806</v>
      </c>
      <c r="J64" s="258" cm="1">
        <f t="array" ref="J64">_xlfn.XLOOKUP(1,('SB Flat rate'!$B64=Essential!$B$6)*('SB Flat rate'!$B$44=Essential!$F$6)*('SB Flat rate'!$C$44=Essential!$F$7)*('SB Flat rate'!$C64=Essential_description),Essential_SBwoCL_FY_cost)</f>
        <v>331.0382615325434</v>
      </c>
      <c r="K64" s="260">
        <f>J64-D64</f>
        <v>-353.38853913376806</v>
      </c>
      <c r="L64" s="261">
        <f t="shared" si="0"/>
        <v>-0.51632773408307941</v>
      </c>
      <c r="M64" s="256"/>
      <c r="N64" s="256"/>
      <c r="O64" s="273"/>
    </row>
    <row r="65" spans="1:16" x14ac:dyDescent="0.35">
      <c r="A65" s="160"/>
      <c r="B65" s="262" t="str">
        <f>B63</f>
        <v>Essential</v>
      </c>
      <c r="C65" s="263" t="s">
        <v>114</v>
      </c>
      <c r="D65" s="264">
        <f>ROUND(SUM(D59:D64),0)</f>
        <v>6222</v>
      </c>
      <c r="E65" s="264"/>
      <c r="F65" s="264"/>
      <c r="G65" s="264"/>
      <c r="H65" s="264"/>
      <c r="I65" s="264"/>
      <c r="J65" s="264">
        <f>ROUND(SUM(J59:J64),0)</f>
        <v>5517</v>
      </c>
      <c r="K65" s="265">
        <f>+J65-D65</f>
        <v>-705</v>
      </c>
      <c r="L65" s="261">
        <f t="shared" si="0"/>
        <v>-0.1133076181292189</v>
      </c>
      <c r="M65" s="256"/>
      <c r="N65" s="256"/>
      <c r="O65" s="273"/>
      <c r="P65" s="274"/>
    </row>
    <row r="66" spans="1:16" x14ac:dyDescent="0.35">
      <c r="A66" s="160" t="str">
        <f>B66&amp;" "&amp;$B$44&amp;" "&amp;$C$44&amp;" $"</f>
        <v>Energex Small Business Flat rate $</v>
      </c>
      <c r="B66" s="251" t="s">
        <v>0</v>
      </c>
      <c r="C66" s="252" t="s">
        <v>147</v>
      </c>
      <c r="D66" s="253">
        <v>0</v>
      </c>
      <c r="E66" s="253">
        <f>IF($K67&lt;0,SUM(D66:D71)+$K67,SUM(D66:D71))</f>
        <v>4293.9125229439123</v>
      </c>
      <c r="F66" s="253">
        <f>IF($K68&lt;0,IF($K67&lt;0,E66+$K68,E66+$K67+$K68),IF($K67&lt;0,E66,E66+$K67))</f>
        <v>4149.9532364220977</v>
      </c>
      <c r="G66" s="253">
        <f>IF($K69&lt;0,IF($K68&lt;0,F66+$K69,F66+$K68+$K69),IF($K68&lt;0,F66,F66+$K68))</f>
        <v>4107.7425194715943</v>
      </c>
      <c r="H66" s="253">
        <f>IF($K70&lt;0,IF($K69&lt;0,G66+$K70,G66+$K69+$K70),IF($K69&lt;0,G66,G66+$K69))</f>
        <v>4089.9454638677548</v>
      </c>
      <c r="I66" s="253">
        <f>IF($K71&lt;0,IF($K70&lt;0,H66+$K71,H66+$K70+$K71),IF($K70&lt;0,H66,H66+$K70))</f>
        <v>3848.52668759992</v>
      </c>
      <c r="J66" s="253">
        <v>0</v>
      </c>
      <c r="K66" s="266"/>
      <c r="L66" s="267"/>
      <c r="M66" s="256"/>
    </row>
    <row r="67" spans="1:16" x14ac:dyDescent="0.35">
      <c r="A67" s="160"/>
      <c r="B67" s="257" t="str">
        <f>B66</f>
        <v>Energex</v>
      </c>
      <c r="C67" s="30" t="s">
        <v>62</v>
      </c>
      <c r="D67" s="258" cm="1">
        <f t="array" ref="D67">_xlfn.XLOOKUP(1,('SB Flat rate'!$B67=Energex!$B$6)*('SB Flat rate'!$B$44=Energex!$F$6)*('SB Flat rate'!$C$44=Energex!$F$7)*('SB Flat rate'!$C67=Energex_description),Energex_SBwoCL_PY_cost)</f>
        <v>1506.3711370062686</v>
      </c>
      <c r="E67" s="259">
        <f>ABS($J67-$D67)</f>
        <v>120.23922728089906</v>
      </c>
      <c r="F67" s="259"/>
      <c r="G67" s="259"/>
      <c r="H67" s="259"/>
      <c r="I67" s="259"/>
      <c r="J67" s="258" cm="1">
        <f t="array" ref="J67">_xlfn.XLOOKUP(1,('SB Flat rate'!$B67=Energex!$B$6)*('SB Flat rate'!$B$44=Energex!$F$6)*('SB Flat rate'!$C$44=Energex!$F$7)*('SB Flat rate'!$C67=Energex_description),Energex_SBwoCL_FY_cost)</f>
        <v>1626.6103642871676</v>
      </c>
      <c r="K67" s="260">
        <f>J67-D67</f>
        <v>120.23922728089906</v>
      </c>
      <c r="L67" s="261">
        <f t="shared" si="0"/>
        <v>7.9820453490538901E-2</v>
      </c>
      <c r="M67" s="256"/>
      <c r="N67" s="273"/>
      <c r="O67" s="256"/>
    </row>
    <row r="68" spans="1:16" x14ac:dyDescent="0.35">
      <c r="A68" s="160"/>
      <c r="B68" s="257" t="str">
        <f>B67</f>
        <v>Energex</v>
      </c>
      <c r="C68" s="30" t="s">
        <v>63</v>
      </c>
      <c r="D68" s="258" cm="1">
        <f t="array" ref="D68">_xlfn.XLOOKUP(1,('SB Flat rate'!$B68=Energex!$B$6)*('SB Flat rate'!$B$44=Energex!$F$6)*('SB Flat rate'!$C$44=Energex!$F$7)*('SB Flat rate'!$C68=Energex_description),Energex_SBwoCL_PY_cost)</f>
        <v>1823.4539633739607</v>
      </c>
      <c r="E68" s="259"/>
      <c r="F68" s="259">
        <f>ABS($J68-$D68)</f>
        <v>264.19851380271348</v>
      </c>
      <c r="G68" s="259"/>
      <c r="H68" s="259"/>
      <c r="I68" s="259"/>
      <c r="J68" s="258" cm="1">
        <f t="array" ref="J68">_xlfn.XLOOKUP(1,('SB Flat rate'!$B68=Energex!$B$6)*('SB Flat rate'!$B$44=Energex!$F$6)*('SB Flat rate'!$C$44=Energex!$F$7)*('SB Flat rate'!$C68=Energex_description),Energex_SBwoCL_FY_cost)</f>
        <v>1559.2554495712473</v>
      </c>
      <c r="K68" s="260">
        <f>J68-D68</f>
        <v>-264.19851380271348</v>
      </c>
      <c r="L68" s="261">
        <f t="shared" si="0"/>
        <v>-0.14488905072978289</v>
      </c>
      <c r="M68" s="256"/>
      <c r="N68" s="273"/>
      <c r="O68" s="273"/>
    </row>
    <row r="69" spans="1:16" x14ac:dyDescent="0.35">
      <c r="A69" s="160"/>
      <c r="B69" s="257" t="str">
        <f>B68</f>
        <v>Energex</v>
      </c>
      <c r="C69" s="30" t="s">
        <v>64</v>
      </c>
      <c r="D69" s="258" cm="1">
        <f t="array" ref="D69">_xlfn.XLOOKUP(1,('SB Flat rate'!$B69=Energex!$B$6)*('SB Flat rate'!$B$44=Energex!$F$6)*('SB Flat rate'!$C$44=Energex!$F$7)*('SB Flat rate'!$C69=Energex_description),Energex_SBwoCL_PY_cost)</f>
        <v>131.09830073847655</v>
      </c>
      <c r="E69" s="259"/>
      <c r="F69" s="259"/>
      <c r="G69" s="259">
        <f>ABS($J69-$D69)</f>
        <v>42.210716950503695</v>
      </c>
      <c r="H69" s="259"/>
      <c r="I69" s="259"/>
      <c r="J69" s="258" cm="1">
        <f t="array" ref="J69">_xlfn.XLOOKUP(1,('SB Flat rate'!$B69=Energex!$B$6)*('SB Flat rate'!$B$44=Energex!$F$6)*('SB Flat rate'!$C$44=Energex!$F$7)*('SB Flat rate'!$C69=Energex_description),Energex_SBwoCL_FY_cost)</f>
        <v>88.887583787972858</v>
      </c>
      <c r="K69" s="260">
        <f>J69-D69</f>
        <v>-42.210716950503695</v>
      </c>
      <c r="L69" s="261">
        <f t="shared" si="0"/>
        <v>-0.32197760545125897</v>
      </c>
      <c r="M69" s="256"/>
      <c r="N69" s="256"/>
      <c r="O69" s="256"/>
    </row>
    <row r="70" spans="1:16" x14ac:dyDescent="0.35">
      <c r="A70" s="160"/>
      <c r="B70" s="257" t="str">
        <f>B69</f>
        <v>Energex</v>
      </c>
      <c r="C70" s="30" t="s">
        <v>159</v>
      </c>
      <c r="D70" s="258" cm="1">
        <f t="array" ref="D70">_xlfn.XLOOKUP(1,('SB Flat rate'!$B70=Energex!$B$6)*('SB Flat rate'!$B$44=Energex!$F$6)*('SB Flat rate'!$C$44=Energex!$F$7)*('SB Flat rate'!$C70=Energex_description),Energex_SBwoCL_PY_cost)</f>
        <v>360.65874430137626</v>
      </c>
      <c r="E70" s="259"/>
      <c r="F70" s="259"/>
      <c r="G70" s="259"/>
      <c r="H70" s="259">
        <f>ABS($J70-$D70)</f>
        <v>17.79705560383951</v>
      </c>
      <c r="I70" s="259"/>
      <c r="J70" s="258" cm="1">
        <f t="array" ref="J70">_xlfn.XLOOKUP(1,('SB Flat rate'!$B70=Energex!$B$6)*('SB Flat rate'!$B$44=Energex!$F$6)*('SB Flat rate'!$C$44=Energex!$F$7)*('SB Flat rate'!$C70=Energex_description),Energex_SBwoCL_FY_cost)</f>
        <v>342.86168869753675</v>
      </c>
      <c r="K70" s="260">
        <f>J70-D70</f>
        <v>-17.79705560383951</v>
      </c>
      <c r="L70" s="261">
        <f t="shared" si="0"/>
        <v>-4.9345970075711808E-2</v>
      </c>
      <c r="M70" s="256"/>
      <c r="N70" s="256"/>
      <c r="O70" s="256"/>
    </row>
    <row r="71" spans="1:16" x14ac:dyDescent="0.35">
      <c r="A71" s="160"/>
      <c r="B71" s="257" t="str">
        <f>B70</f>
        <v>Energex</v>
      </c>
      <c r="C71" s="30" t="s">
        <v>192</v>
      </c>
      <c r="D71" s="258" cm="1">
        <f t="array" ref="D71">_xlfn.XLOOKUP(1,('SB Flat rate'!$B71=Energex!$B$6)*('SB Flat rate'!$B$44=Energex!$F$6)*('SB Flat rate'!$C$44=Energex!$F$7)*('SB Flat rate'!$C71=Energex_description),Energex_SBwoCL_PY_cost)</f>
        <v>472.33037752383007</v>
      </c>
      <c r="E71" s="259"/>
      <c r="F71" s="259"/>
      <c r="G71" s="259"/>
      <c r="H71" s="259"/>
      <c r="I71" s="259">
        <f>ABS($J71-$D71)</f>
        <v>241.4187762678348</v>
      </c>
      <c r="J71" s="258" cm="1">
        <f t="array" ref="J71">_xlfn.XLOOKUP(1,('SB Flat rate'!$B71=Energex!$B$6)*('SB Flat rate'!$B$44=Energex!$F$6)*('SB Flat rate'!$C$44=Energex!$F$7)*('SB Flat rate'!$C71=Energex_description),Energex_SBwoCL_FY_cost)</f>
        <v>230.91160125599527</v>
      </c>
      <c r="K71" s="260">
        <f>J71-D71</f>
        <v>-241.4187762678348</v>
      </c>
      <c r="L71" s="261">
        <f t="shared" si="0"/>
        <v>-0.5111226966460668</v>
      </c>
      <c r="M71" s="256"/>
      <c r="N71" s="256"/>
      <c r="O71" s="273"/>
    </row>
    <row r="72" spans="1:16" x14ac:dyDescent="0.35">
      <c r="A72" s="160"/>
      <c r="B72" s="262" t="str">
        <f>B70</f>
        <v>Energex</v>
      </c>
      <c r="C72" s="263" t="s">
        <v>114</v>
      </c>
      <c r="D72" s="264">
        <f>ROUND(SUM(D66:D71),0)</f>
        <v>4294</v>
      </c>
      <c r="E72" s="264"/>
      <c r="F72" s="264"/>
      <c r="G72" s="264"/>
      <c r="H72" s="264"/>
      <c r="I72" s="264"/>
      <c r="J72" s="264">
        <f>ROUND(SUM(J66:J71),0)</f>
        <v>3849</v>
      </c>
      <c r="K72" s="265">
        <f>+J72-D72</f>
        <v>-445</v>
      </c>
      <c r="L72" s="261">
        <f t="shared" si="0"/>
        <v>-0.10363297624592455</v>
      </c>
      <c r="M72" s="256"/>
      <c r="N72" s="256"/>
      <c r="O72" s="273"/>
      <c r="P72" s="274"/>
    </row>
    <row r="73" spans="1:16" x14ac:dyDescent="0.35">
      <c r="A73" s="160" t="str">
        <f>B73&amp;" "&amp;$B$44&amp;" "&amp;$C$44&amp;" $"</f>
        <v>SAPN Small Business Flat rate $</v>
      </c>
      <c r="B73" s="251" t="s">
        <v>5</v>
      </c>
      <c r="C73" s="252" t="s">
        <v>147</v>
      </c>
      <c r="D73" s="253">
        <v>0</v>
      </c>
      <c r="E73" s="253">
        <f>IF($K74&lt;0,SUM(D73:D78)+$K74,SUM(D73:D78))</f>
        <v>5541.0016782234652</v>
      </c>
      <c r="F73" s="253">
        <f>IF($K75&lt;0,IF($K74&lt;0,E73+$K75,E73+$K74+$K75),IF($K74&lt;0,E73,E73+$K74))</f>
        <v>5525.234522851677</v>
      </c>
      <c r="G73" s="253">
        <f>IF($K76&lt;0,IF($K75&lt;0,F73+$K76,F73+$K75+$K76),IF($K75&lt;0,F73,F73+$K75))</f>
        <v>5461.4217375767357</v>
      </c>
      <c r="H73" s="253">
        <f>IF($K77&lt;0,IF($K76&lt;0,G73+$K77,G73+$K76+$K77),IF($K76&lt;0,G73,G73+$K76))</f>
        <v>5461.4217375767357</v>
      </c>
      <c r="I73" s="253">
        <f>IF($K78&lt;0,IF($K77&lt;0,H73+$K78,H73+$K77+$K78),IF($K77&lt;0,H73,H73+$K77))</f>
        <v>5161.8632840663859</v>
      </c>
      <c r="J73" s="253">
        <v>0</v>
      </c>
      <c r="K73" s="266"/>
      <c r="L73" s="267"/>
      <c r="M73" s="256"/>
    </row>
    <row r="74" spans="1:16" x14ac:dyDescent="0.35">
      <c r="A74" s="160"/>
      <c r="B74" s="257" t="str">
        <f>B73</f>
        <v>SAPN</v>
      </c>
      <c r="C74" s="30" t="s">
        <v>62</v>
      </c>
      <c r="D74" s="258" cm="1">
        <f t="array" ref="D74">_xlfn.XLOOKUP(1,('SB Flat rate'!$B74=SAPN!$B$6)*('SB Flat rate'!$B$44=SAPN!$F$6)*('SB Flat rate'!$C$44=SAPN!$F$7)*('SB Flat rate'!$C74=SAPN_description),SAPN_SBwoCL_PY_cost)</f>
        <v>2281.9764034447339</v>
      </c>
      <c r="E74" s="259">
        <f>ABS($J74-$D74)</f>
        <v>23.048623194395987</v>
      </c>
      <c r="F74" s="259"/>
      <c r="G74" s="259"/>
      <c r="H74" s="259"/>
      <c r="I74" s="259"/>
      <c r="J74" s="258" cm="1">
        <f t="array" ref="J74">_xlfn.XLOOKUP(1,('SB Flat rate'!$B74=SAPN!$B$6)*('SB Flat rate'!$B$44=SAPN!$F$6)*('SB Flat rate'!$C$44=SAPN!$F$7)*('SB Flat rate'!$C74=SAPN_description),SAPN_SBwoCL_FY_cost)</f>
        <v>2305.0250266391299</v>
      </c>
      <c r="K74" s="260">
        <f>J74-D74</f>
        <v>23.048623194395987</v>
      </c>
      <c r="L74" s="261">
        <f t="shared" si="0"/>
        <v>1.0100289888888937E-2</v>
      </c>
      <c r="M74" s="256"/>
      <c r="N74" s="273"/>
      <c r="O74" s="256"/>
    </row>
    <row r="75" spans="1:16" x14ac:dyDescent="0.35">
      <c r="A75" s="160"/>
      <c r="B75" s="257" t="str">
        <f>B74</f>
        <v>SAPN</v>
      </c>
      <c r="C75" s="30" t="s">
        <v>63</v>
      </c>
      <c r="D75" s="258" cm="1">
        <f t="array" ref="D75">_xlfn.XLOOKUP(1,('SB Flat rate'!$B75=SAPN!$B$6)*('SB Flat rate'!$B$44=SAPN!$F$6)*('SB Flat rate'!$C$44=SAPN!$F$7)*('SB Flat rate'!$C75=SAPN_description),SAPN_SBwoCL_PY_cost)</f>
        <v>2124.1700443102077</v>
      </c>
      <c r="E75" s="259"/>
      <c r="F75" s="259">
        <f>ABS($J75-$D75)</f>
        <v>38.815778566183781</v>
      </c>
      <c r="G75" s="259"/>
      <c r="H75" s="259"/>
      <c r="I75" s="259"/>
      <c r="J75" s="258" cm="1">
        <f t="array" ref="J75">_xlfn.XLOOKUP(1,('SB Flat rate'!$B75=SAPN!$B$6)*('SB Flat rate'!$B$44=SAPN!$F$6)*('SB Flat rate'!$C$44=SAPN!$F$7)*('SB Flat rate'!$C75=SAPN_description),SAPN_SBwoCL_FY_cost)</f>
        <v>2085.3542657440239</v>
      </c>
      <c r="K75" s="260">
        <f>J75-D75</f>
        <v>-38.815778566183781</v>
      </c>
      <c r="L75" s="261">
        <f t="shared" si="0"/>
        <v>-1.82733857254769E-2</v>
      </c>
      <c r="M75" s="256"/>
      <c r="N75" s="273"/>
      <c r="O75" s="273"/>
    </row>
    <row r="76" spans="1:16" x14ac:dyDescent="0.35">
      <c r="A76" s="160"/>
      <c r="B76" s="257" t="str">
        <f>B75</f>
        <v>SAPN</v>
      </c>
      <c r="C76" s="30" t="s">
        <v>64</v>
      </c>
      <c r="D76" s="258" cm="1">
        <f t="array" ref="D76">_xlfn.XLOOKUP(1,('SB Flat rate'!$B76=SAPN!$B$6)*('SB Flat rate'!$B$44=SAPN!$F$6)*('SB Flat rate'!$C$44=SAPN!$F$7)*('SB Flat rate'!$C76=SAPN_description),SAPN_SBwoCL_PY_cost)</f>
        <v>180.61693926142473</v>
      </c>
      <c r="E76" s="259"/>
      <c r="F76" s="259"/>
      <c r="G76" s="259">
        <f>ABS($J76-$D76)</f>
        <v>63.812785274941518</v>
      </c>
      <c r="H76" s="259"/>
      <c r="I76" s="259"/>
      <c r="J76" s="258" cm="1">
        <f t="array" ref="J76">_xlfn.XLOOKUP(1,('SB Flat rate'!$B76=SAPN!$B$6)*('SB Flat rate'!$B$44=SAPN!$F$6)*('SB Flat rate'!$C$44=SAPN!$F$7)*('SB Flat rate'!$C76=SAPN_description),SAPN_SBwoCL_FY_cost)</f>
        <v>116.80415398648321</v>
      </c>
      <c r="K76" s="260">
        <f>J76-D76</f>
        <v>-63.812785274941518</v>
      </c>
      <c r="L76" s="261">
        <f t="shared" si="0"/>
        <v>-0.35330454350452134</v>
      </c>
      <c r="M76" s="256"/>
      <c r="N76" s="256"/>
      <c r="O76" s="256"/>
    </row>
    <row r="77" spans="1:16" x14ac:dyDescent="0.35">
      <c r="A77" s="160"/>
      <c r="B77" s="257" t="str">
        <f>B76</f>
        <v>SAPN</v>
      </c>
      <c r="C77" s="30" t="s">
        <v>159</v>
      </c>
      <c r="D77" s="258" cm="1">
        <f t="array" ref="D77">_xlfn.XLOOKUP(1,('SB Flat rate'!$B77=SAPN!$B$6)*('SB Flat rate'!$B$44=SAPN!$F$6)*('SB Flat rate'!$C$44=SAPN!$F$7)*('SB Flat rate'!$C77=SAPN_description),SAPN_SBwoCL_PY_cost)</f>
        <v>344.72810660251821</v>
      </c>
      <c r="E77" s="259"/>
      <c r="F77" s="259"/>
      <c r="G77" s="259"/>
      <c r="H77" s="259">
        <f>ABS($J77-$D77)</f>
        <v>0.23993405024810954</v>
      </c>
      <c r="I77" s="259"/>
      <c r="J77" s="258" cm="1">
        <f t="array" ref="J77">_xlfn.XLOOKUP(1,('SB Flat rate'!$B77=SAPN!$B$6)*('SB Flat rate'!$B$44=SAPN!$F$6)*('SB Flat rate'!$C$44=SAPN!$F$7)*('SB Flat rate'!$C77=SAPN_description),SAPN_SBwoCL_FY_cost)</f>
        <v>344.96804065276632</v>
      </c>
      <c r="K77" s="260">
        <f>J77-D77</f>
        <v>0.23993405024810954</v>
      </c>
      <c r="L77" s="261">
        <f t="shared" si="0"/>
        <v>6.9600953810465083E-4</v>
      </c>
      <c r="M77" s="256"/>
      <c r="N77" s="256"/>
      <c r="O77" s="256"/>
    </row>
    <row r="78" spans="1:16" x14ac:dyDescent="0.35">
      <c r="A78" s="160"/>
      <c r="B78" s="257" t="str">
        <f>B77</f>
        <v>SAPN</v>
      </c>
      <c r="C78" s="30" t="s">
        <v>192</v>
      </c>
      <c r="D78" s="258" cm="1">
        <f t="array" ref="D78">_xlfn.XLOOKUP(1,('SB Flat rate'!$B78=SAPN!$B$6)*('SB Flat rate'!$B$44=SAPN!$F$6)*('SB Flat rate'!$C$44=SAPN!$F$7)*('SB Flat rate'!$C78=SAPN_description),SAPN_SBwoCL_PY_cost)</f>
        <v>609.5101846045809</v>
      </c>
      <c r="E78" s="259"/>
      <c r="F78" s="259"/>
      <c r="G78" s="259"/>
      <c r="H78" s="259"/>
      <c r="I78" s="259">
        <f>ABS($J78-$D78)</f>
        <v>299.7983875605978</v>
      </c>
      <c r="J78" s="258" cm="1">
        <f t="array" ref="J78">_xlfn.XLOOKUP(1,('SB Flat rate'!$B78=SAPN!$B$6)*('SB Flat rate'!$B$44=SAPN!$F$6)*('SB Flat rate'!$C$44=SAPN!$F$7)*('SB Flat rate'!$C78=SAPN_description),SAPN_SBwoCL_FY_cost)</f>
        <v>309.7117970439831</v>
      </c>
      <c r="K78" s="260">
        <f>J78-D78</f>
        <v>-299.7983875605978</v>
      </c>
      <c r="L78" s="261">
        <f t="shared" si="0"/>
        <v>-0.49186772449929067</v>
      </c>
      <c r="M78" s="256"/>
      <c r="N78" s="256"/>
      <c r="O78" s="273"/>
    </row>
    <row r="79" spans="1:16" x14ac:dyDescent="0.35">
      <c r="A79" s="160"/>
      <c r="B79" s="262" t="str">
        <f>B77</f>
        <v>SAPN</v>
      </c>
      <c r="C79" s="263" t="s">
        <v>114</v>
      </c>
      <c r="D79" s="264">
        <f>ROUND(SUM(D73:D78),0)</f>
        <v>5541</v>
      </c>
      <c r="E79" s="264"/>
      <c r="F79" s="264"/>
      <c r="G79" s="264"/>
      <c r="H79" s="264"/>
      <c r="I79" s="264"/>
      <c r="J79" s="264">
        <f>ROUND(SUM(J73:J78),0)</f>
        <v>5162</v>
      </c>
      <c r="K79" s="265">
        <f>+J79-D79</f>
        <v>-379</v>
      </c>
      <c r="L79" s="268">
        <f t="shared" si="0"/>
        <v>-6.8399205919509112E-2</v>
      </c>
      <c r="M79" s="269"/>
      <c r="N79" s="256"/>
      <c r="O79" s="273"/>
      <c r="P79" s="274"/>
    </row>
  </sheetData>
  <sheetProtection algorithmName="SHA-256" hashValue="dynyjsSA4oIZ1mt+r7yKdx4HK8Q1R4cyTrAXrcOkyTM=" saltValue="ci5PqROtF6sf0Bd7Rdldug==" spinCount="100000" sheet="1" autoFilter="0"/>
  <mergeCells count="2">
    <mergeCell ref="A1:B1"/>
    <mergeCell ref="K44:L44"/>
  </mergeCells>
  <conditionalFormatting sqref="B45:L79">
    <cfRule type="expression" dxfId="1362" priority="1">
      <formula>MOD(ROW(),2)=0</formula>
    </cfRule>
  </conditionalFormatting>
  <conditionalFormatting sqref="M79">
    <cfRule type="cellIs" dxfId="1361" priority="6" operator="equal">
      <formula>FALSE</formula>
    </cfRule>
    <cfRule type="cellIs" dxfId="1360" priority="7" operator="equal">
      <formula>TRUE</formula>
    </cfRule>
  </conditionalFormatting>
  <hyperlinks>
    <hyperlink ref="A1" location="Index!A1" display="&lt;&lt;Back to Index" xr:uid="{94DB4F01-6115-44D5-868E-C37ABDC98992}"/>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F9:H14"/>
  <sheetViews>
    <sheetView workbookViewId="0">
      <selection activeCell="C11" sqref="C11"/>
    </sheetView>
  </sheetViews>
  <sheetFormatPr defaultColWidth="8.81640625" defaultRowHeight="14.5" x14ac:dyDescent="0.35"/>
  <cols>
    <col min="1" max="16384" width="8.81640625" style="2"/>
  </cols>
  <sheetData>
    <row r="9" spans="6:8" ht="35" x14ac:dyDescent="0.35">
      <c r="F9" s="765" t="s">
        <v>162</v>
      </c>
      <c r="G9" s="30"/>
      <c r="H9" s="30"/>
    </row>
    <row r="10" spans="6:8" ht="35" x14ac:dyDescent="0.35">
      <c r="F10" s="765" t="str">
        <f>"DMO "&amp;FY</f>
        <v>DMO 2026-27</v>
      </c>
      <c r="G10" s="30"/>
      <c r="H10" s="30"/>
    </row>
    <row r="11" spans="6:8" ht="23" x14ac:dyDescent="0.35">
      <c r="F11" s="766" t="s">
        <v>142</v>
      </c>
      <c r="G11" s="30"/>
      <c r="H11" s="30"/>
    </row>
    <row r="12" spans="6:8" ht="23" x14ac:dyDescent="0.35">
      <c r="F12" s="766"/>
      <c r="G12" s="30"/>
      <c r="H12" s="30"/>
    </row>
    <row r="13" spans="6:8" x14ac:dyDescent="0.35">
      <c r="F13" s="4"/>
    </row>
    <row r="14" spans="6:8" x14ac:dyDescent="0.35">
      <c r="F14" s="4"/>
    </row>
  </sheetData>
  <sheetProtection algorithmName="SHA-256" hashValue="8T0xo2eAYFpDD9chiczk1Xd/eMcvutdjO1yNXddm+2Y=" saltValue="zmBn2UnhiEXPjfIlpwBB4Q==" spinCount="100000" sheet="1" formatCells="0" formatColumns="0" formatRows="0" insertColumns="0" insertRows="0" insertHyperlinks="0" deleteColumns="0" deleteRows="0" sort="0" autoFilter="0" pivotTables="0"/>
  <pageMargins left="0.7" right="0.7" top="0.75" bottom="0.75" header="0.3" footer="0.3"/>
  <headerFooter>
    <oddHeader>&amp;C&amp;"Calibri"&amp;10&amp;KFF0000 OFFICIAL SENSITIVE&amp;1#_x000D_</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9AD2C-5DDE-4407-900F-CAB9695DC440}">
  <sheetPr>
    <tabColor rgb="FF00B050"/>
  </sheetPr>
  <dimension ref="A1:BT78"/>
  <sheetViews>
    <sheetView showGridLines="0" topLeftCell="G1" zoomScale="85" zoomScaleNormal="85" workbookViewId="0">
      <selection activeCell="AL40" sqref="AL40"/>
    </sheetView>
  </sheetViews>
  <sheetFormatPr defaultColWidth="8.81640625" defaultRowHeight="14" x14ac:dyDescent="0.35"/>
  <cols>
    <col min="1" max="1" width="1.81640625" style="30" customWidth="1"/>
    <col min="2" max="2" width="41.453125" style="30" customWidth="1"/>
    <col min="3" max="4" width="17.453125" style="30" customWidth="1"/>
    <col min="5" max="5" width="0.81640625" style="30" customWidth="1"/>
    <col min="6" max="8" width="17.453125" style="30" customWidth="1"/>
    <col min="9" max="9" width="26.81640625" style="30" customWidth="1"/>
    <col min="10" max="10" width="5.81640625" style="30" customWidth="1"/>
    <col min="11" max="11" width="10.81640625" style="30" customWidth="1"/>
    <col min="12" max="12" width="12.26953125" style="30" bestFit="1" customWidth="1"/>
    <col min="13" max="13" width="14.81640625" style="30" bestFit="1" customWidth="1"/>
    <col min="14" max="14" width="8.453125" style="30" bestFit="1" customWidth="1"/>
    <col min="15" max="15" width="10.81640625" style="30" customWidth="1"/>
    <col min="16" max="16" width="12.81640625" style="30" customWidth="1"/>
    <col min="17" max="17" width="13.1796875" style="30" customWidth="1"/>
    <col min="18" max="18" width="10.81640625" style="30" customWidth="1"/>
    <col min="19" max="19" width="8.81640625" style="30" customWidth="1"/>
    <col min="20" max="20" width="10.81640625" style="30" customWidth="1"/>
    <col min="21" max="24" width="11.81640625" style="30" customWidth="1"/>
    <col min="25" max="25" width="13.26953125" style="30" customWidth="1"/>
    <col min="26" max="27" width="11.81640625" style="30" customWidth="1"/>
    <col min="28" max="28" width="10.26953125" style="30" bestFit="1" customWidth="1"/>
    <col min="29" max="29" width="12.81640625" style="30" bestFit="1" customWidth="1"/>
    <col min="30" max="36" width="11.26953125" style="30" customWidth="1"/>
    <col min="37" max="37" width="12.54296875" style="30" customWidth="1"/>
    <col min="38" max="38" width="10.81640625" style="30" bestFit="1" customWidth="1"/>
    <col min="39" max="45" width="10.81640625" style="30" customWidth="1"/>
    <col min="46" max="46" width="13" style="30" bestFit="1" customWidth="1"/>
    <col min="47" max="47" width="11.7265625" style="30" bestFit="1" customWidth="1"/>
    <col min="48" max="49" width="9.1796875" style="30" bestFit="1" customWidth="1"/>
    <col min="50" max="50" width="29.1796875" style="30" bestFit="1" customWidth="1"/>
    <col min="51" max="51" width="3.453125" style="30" customWidth="1"/>
    <col min="52" max="54" width="12.453125" style="30" customWidth="1"/>
    <col min="55" max="16384" width="8.81640625" style="30"/>
  </cols>
  <sheetData>
    <row r="1" spans="1:49" ht="10.4" customHeight="1" x14ac:dyDescent="0.35">
      <c r="A1" s="815" t="s">
        <v>18</v>
      </c>
      <c r="B1" s="816"/>
      <c r="C1" s="696" t="s">
        <v>380</v>
      </c>
      <c r="D1" s="696" t="s">
        <v>380</v>
      </c>
      <c r="E1" s="697" t="s">
        <v>380</v>
      </c>
      <c r="F1" s="696" t="s">
        <v>380</v>
      </c>
      <c r="G1" s="696" t="s">
        <v>380</v>
      </c>
    </row>
    <row r="2" spans="1:49" s="62" customFormat="1" ht="22.5" customHeight="1" x14ac:dyDescent="0.35">
      <c r="A2" s="61" t="s">
        <v>2</v>
      </c>
    </row>
    <row r="3" spans="1:49" s="160" customFormat="1" ht="14.5" thickBot="1" x14ac:dyDescent="0.4">
      <c r="C3" s="160" t="str">
        <f>$A$2&amp;" "&amp;C6&amp;" "&amp;C7</f>
        <v>Ausgrid Residential Flat rate</v>
      </c>
      <c r="D3" s="160" t="str">
        <f>$A$2&amp;" "&amp;D6&amp;" "&amp;D7</f>
        <v>Ausgrid Residential time of use</v>
      </c>
      <c r="F3" s="160" t="str">
        <f>$A$2&amp;" "&amp;F6&amp;" "&amp;F7</f>
        <v>Ausgrid Small Business Flat rate</v>
      </c>
      <c r="G3" s="160" t="str">
        <f>$A$2&amp;" "&amp;G6&amp;" "&amp;G7</f>
        <v>Ausgrid Small Business time of use</v>
      </c>
      <c r="I3" s="30"/>
      <c r="J3" s="30"/>
      <c r="K3" s="30"/>
      <c r="L3" s="30"/>
      <c r="M3" s="30"/>
      <c r="N3" s="30"/>
      <c r="O3" s="30"/>
      <c r="P3" s="30"/>
      <c r="Q3" s="30"/>
      <c r="R3" s="30"/>
      <c r="S3" s="30"/>
      <c r="T3" s="30"/>
      <c r="U3" s="30"/>
      <c r="V3" s="30"/>
      <c r="W3" s="30"/>
      <c r="X3" s="30"/>
      <c r="Y3" s="30"/>
      <c r="Z3" s="30"/>
      <c r="AA3" s="30"/>
    </row>
    <row r="4" spans="1:49" ht="15.5" x14ac:dyDescent="0.35">
      <c r="B4" s="33" t="s">
        <v>17</v>
      </c>
      <c r="C4" s="355" t="s">
        <v>19</v>
      </c>
      <c r="D4" s="355" t="s">
        <v>272</v>
      </c>
      <c r="E4" s="355"/>
      <c r="F4" s="355" t="s">
        <v>19</v>
      </c>
      <c r="G4" s="355" t="s">
        <v>272</v>
      </c>
      <c r="H4" s="160"/>
      <c r="I4" s="33"/>
      <c r="J4" s="161" t="s">
        <v>89</v>
      </c>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3"/>
      <c r="AK4" s="160"/>
      <c r="AL4" s="160"/>
      <c r="AM4" s="160"/>
      <c r="AN4" s="160"/>
      <c r="AO4" s="160"/>
      <c r="AP4" s="160"/>
      <c r="AQ4" s="160"/>
      <c r="AR4" s="160"/>
      <c r="AS4" s="160"/>
      <c r="AT4" s="160"/>
      <c r="AU4" s="160"/>
      <c r="AV4" s="160"/>
      <c r="AW4" s="160"/>
    </row>
    <row r="5" spans="1:49" ht="5.15" customHeight="1" x14ac:dyDescent="0.35">
      <c r="B5" s="64"/>
      <c r="H5" s="160"/>
      <c r="J5" s="164"/>
      <c r="K5" s="165"/>
      <c r="AJ5" s="166"/>
      <c r="AK5" s="160"/>
      <c r="AL5" s="160"/>
      <c r="AM5" s="160"/>
      <c r="AN5" s="160"/>
      <c r="AO5" s="160"/>
      <c r="AP5" s="160"/>
      <c r="AQ5" s="160"/>
      <c r="AR5" s="160"/>
      <c r="AS5" s="160"/>
      <c r="AT5" s="160"/>
      <c r="AU5" s="160"/>
      <c r="AV5" s="160"/>
      <c r="AW5" s="160"/>
    </row>
    <row r="6" spans="1:49" ht="20.149999999999999" customHeight="1" x14ac:dyDescent="0.3">
      <c r="B6" s="908" t="str">
        <f>A2</f>
        <v>Ausgrid</v>
      </c>
      <c r="C6" s="167" t="s">
        <v>6</v>
      </c>
      <c r="D6" s="167" t="s">
        <v>6</v>
      </c>
      <c r="E6" s="167"/>
      <c r="F6" s="167" t="s">
        <v>76</v>
      </c>
      <c r="G6" s="167" t="s">
        <v>76</v>
      </c>
      <c r="H6" s="160"/>
      <c r="J6" s="164"/>
      <c r="K6" s="165"/>
      <c r="AJ6" s="166"/>
      <c r="AK6" s="160"/>
      <c r="AL6" s="160"/>
      <c r="AM6" s="160"/>
      <c r="AN6" s="160"/>
      <c r="AO6" s="160"/>
      <c r="AP6" s="160"/>
      <c r="AQ6" s="160"/>
      <c r="AR6" s="160"/>
      <c r="AS6" s="160"/>
      <c r="AT6" s="160"/>
      <c r="AU6" s="160"/>
      <c r="AV6" s="160"/>
      <c r="AW6" s="160"/>
    </row>
    <row r="7" spans="1:49" ht="20.149999999999999" customHeight="1" x14ac:dyDescent="0.35">
      <c r="B7" s="908"/>
      <c r="C7" s="168" t="s">
        <v>19</v>
      </c>
      <c r="D7" s="168" t="s">
        <v>272</v>
      </c>
      <c r="E7" s="168"/>
      <c r="F7" s="168" t="s">
        <v>19</v>
      </c>
      <c r="G7" s="168" t="s">
        <v>272</v>
      </c>
      <c r="H7" s="160"/>
      <c r="J7" s="164"/>
      <c r="AJ7" s="166"/>
      <c r="AK7" s="160"/>
      <c r="AL7" s="160"/>
      <c r="AM7" s="160"/>
      <c r="AN7" s="160"/>
      <c r="AO7" s="160"/>
      <c r="AP7" s="160"/>
      <c r="AQ7" s="160"/>
      <c r="AR7" s="160"/>
      <c r="AS7" s="160"/>
      <c r="AT7" s="160"/>
      <c r="AU7" s="160"/>
      <c r="AV7" s="160"/>
      <c r="AW7" s="160"/>
    </row>
    <row r="8" spans="1:49" ht="2.15" customHeight="1" x14ac:dyDescent="0.35">
      <c r="C8" s="65"/>
      <c r="D8" s="65"/>
      <c r="E8" s="65"/>
      <c r="F8" s="65"/>
      <c r="G8" s="65"/>
      <c r="H8" s="160"/>
      <c r="J8" s="164"/>
      <c r="AJ8" s="166"/>
      <c r="AK8" s="160"/>
      <c r="AL8" s="160"/>
      <c r="AM8" s="160"/>
      <c r="AN8" s="160"/>
      <c r="AO8" s="160"/>
      <c r="AP8" s="160"/>
      <c r="AQ8" s="160"/>
      <c r="AR8" s="160"/>
      <c r="AS8" s="160"/>
      <c r="AT8" s="160"/>
      <c r="AU8" s="160"/>
      <c r="AV8" s="160"/>
      <c r="AW8" s="160"/>
    </row>
    <row r="9" spans="1:49" s="69" customFormat="1" ht="30" customHeight="1" x14ac:dyDescent="0.35">
      <c r="B9" s="51" t="str">
        <f>"DMO "&amp;FY&amp;" price ($ pa, inc GST)"</f>
        <v>DMO 2026-27 price ($ pa, inc GST)</v>
      </c>
      <c r="C9" s="169">
        <f>SUM(Ausgrid_RESwoCL_FY_cost)</f>
        <v>1899.086324991338</v>
      </c>
      <c r="D9" s="169">
        <f>SUM(Ausgrid_REStou_FY_cost)</f>
        <v>1893.2928693222188</v>
      </c>
      <c r="E9" s="169"/>
      <c r="F9" s="169">
        <f>SUM(Ausgrid_SBwoCL_FY_cost)</f>
        <v>4523.4553845687624</v>
      </c>
      <c r="G9" s="169">
        <f>SUM(Ausgrid_SBtou_FY_cost)</f>
        <v>4450.4348809971289</v>
      </c>
      <c r="H9" s="160"/>
      <c r="I9" s="30"/>
      <c r="J9" s="164"/>
      <c r="K9" s="30"/>
      <c r="L9" s="30"/>
      <c r="M9" s="30"/>
      <c r="N9" s="30"/>
      <c r="O9" s="30"/>
      <c r="P9" s="30"/>
      <c r="Q9" s="30"/>
      <c r="R9" s="30"/>
      <c r="S9" s="30"/>
      <c r="T9" s="30"/>
      <c r="U9" s="30"/>
      <c r="V9" s="30"/>
      <c r="W9" s="30"/>
      <c r="X9" s="30"/>
      <c r="Y9" s="30"/>
      <c r="Z9" s="30"/>
      <c r="AA9" s="30"/>
      <c r="AB9" s="30"/>
      <c r="AC9" s="30"/>
      <c r="AD9" s="30"/>
      <c r="AE9" s="30"/>
      <c r="AF9" s="30"/>
      <c r="AG9" s="30"/>
      <c r="AH9" s="30"/>
      <c r="AI9" s="30"/>
      <c r="AJ9" s="170"/>
      <c r="AK9" s="160"/>
      <c r="AL9" s="160"/>
      <c r="AM9" s="160"/>
      <c r="AN9" s="160"/>
      <c r="AO9" s="160"/>
      <c r="AP9" s="160"/>
      <c r="AQ9" s="160"/>
      <c r="AR9" s="160"/>
      <c r="AS9" s="160"/>
      <c r="AT9" s="160"/>
      <c r="AU9" s="160"/>
      <c r="AV9" s="160"/>
      <c r="AW9" s="160"/>
    </row>
    <row r="10" spans="1:49" ht="2.15" customHeight="1" x14ac:dyDescent="0.35">
      <c r="B10" s="56"/>
      <c r="C10" s="171"/>
      <c r="D10" s="171"/>
      <c r="E10" s="171"/>
      <c r="F10" s="171"/>
      <c r="G10" s="171"/>
      <c r="H10" s="160"/>
      <c r="I10" s="69"/>
      <c r="J10" s="172"/>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166"/>
      <c r="AK10" s="160"/>
      <c r="AL10" s="160"/>
      <c r="AM10" s="160"/>
      <c r="AN10" s="160"/>
      <c r="AO10" s="160"/>
      <c r="AP10" s="160"/>
      <c r="AQ10" s="160"/>
      <c r="AR10" s="160"/>
      <c r="AS10" s="160"/>
      <c r="AT10" s="160"/>
      <c r="AU10" s="160"/>
      <c r="AV10" s="160"/>
      <c r="AW10" s="160"/>
    </row>
    <row r="11" spans="1:49" s="69" customFormat="1" ht="30" customHeight="1" x14ac:dyDescent="0.35">
      <c r="A11" s="356"/>
      <c r="B11" s="173" t="str">
        <f>"DMO "&amp;PY&amp;" price ($ pa, inc GST)"</f>
        <v>DMO 2025-26 price ($ pa, inc GST)</v>
      </c>
      <c r="C11" s="174">
        <f>SUM(Ausgrid_RESwoCL_PY_cost)</f>
        <v>1964.6187750787888</v>
      </c>
      <c r="D11" s="174">
        <f>SUM(Ausgrid_RESwoCL_PY_cost)</f>
        <v>1964.6187750787888</v>
      </c>
      <c r="E11" s="174"/>
      <c r="F11" s="174">
        <f>SUM(Ausgrid_SBwoCL_PY_cost)</f>
        <v>4977.4807932446101</v>
      </c>
      <c r="G11" s="174">
        <f>SUM(Ausgrid_SBwoCL_PY_cost)</f>
        <v>4977.4807932446101</v>
      </c>
      <c r="H11" s="160"/>
      <c r="I11" s="30"/>
      <c r="J11" s="164"/>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170"/>
      <c r="AK11" s="160"/>
      <c r="AL11" s="160"/>
      <c r="AM11" s="160"/>
      <c r="AN11" s="160"/>
      <c r="AO11" s="160"/>
      <c r="AP11" s="160"/>
      <c r="AQ11" s="160"/>
      <c r="AR11" s="160"/>
      <c r="AS11" s="160"/>
      <c r="AT11" s="160"/>
      <c r="AU11" s="160"/>
      <c r="AV11" s="160"/>
      <c r="AW11" s="160"/>
    </row>
    <row r="12" spans="1:49" ht="2.15" customHeight="1" x14ac:dyDescent="0.35">
      <c r="A12" s="160"/>
      <c r="B12" s="56"/>
      <c r="C12" s="171"/>
      <c r="D12" s="171"/>
      <c r="E12" s="171"/>
      <c r="F12" s="171"/>
      <c r="G12" s="171"/>
      <c r="H12" s="160"/>
      <c r="I12" s="69"/>
      <c r="J12" s="172"/>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166"/>
      <c r="AK12" s="160"/>
      <c r="AL12" s="160"/>
      <c r="AM12" s="160"/>
      <c r="AN12" s="160"/>
      <c r="AO12" s="160"/>
      <c r="AP12" s="160"/>
      <c r="AQ12" s="160"/>
      <c r="AR12" s="160"/>
      <c r="AS12" s="160"/>
      <c r="AT12" s="160"/>
      <c r="AU12" s="160"/>
      <c r="AV12" s="160"/>
      <c r="AW12" s="160"/>
    </row>
    <row r="13" spans="1:49" ht="20.149999999999999" customHeight="1" x14ac:dyDescent="0.35">
      <c r="A13" s="160"/>
      <c r="B13" s="175" t="s">
        <v>48</v>
      </c>
      <c r="C13" s="244">
        <f>SUM(C14:C15)</f>
        <v>3900</v>
      </c>
      <c r="D13" s="244">
        <f>SUM(D14:D15)</f>
        <v>3900</v>
      </c>
      <c r="E13" s="244"/>
      <c r="F13" s="244">
        <f>SUM(F14:F15)</f>
        <v>10000</v>
      </c>
      <c r="G13" s="244">
        <f>SUM(G14:G15)</f>
        <v>10000</v>
      </c>
      <c r="H13" s="160"/>
      <c r="J13" s="164"/>
      <c r="AJ13" s="166"/>
      <c r="AK13" s="160"/>
      <c r="AL13" s="160"/>
      <c r="AM13" s="160"/>
      <c r="AN13" s="160"/>
      <c r="AO13" s="160"/>
      <c r="AP13" s="160"/>
      <c r="AQ13" s="160"/>
      <c r="AR13" s="160"/>
      <c r="AS13" s="160"/>
      <c r="AT13" s="160"/>
      <c r="AU13" s="160"/>
      <c r="AV13" s="160"/>
      <c r="AW13" s="160"/>
    </row>
    <row r="14" spans="1:49" ht="20.149999999999999" customHeight="1" x14ac:dyDescent="0.35">
      <c r="A14" s="160" t="s">
        <v>19</v>
      </c>
      <c r="B14" s="176" t="s">
        <v>52</v>
      </c>
      <c r="C14" s="177" cm="1">
        <f t="array" ref="C14">_xlfn.XLOOKUP(1,($B$6=DistributionZone)*(C$6=CustomerType)*(C$4=tariffType)*("Usage" = Description),valuesFY)</f>
        <v>3900</v>
      </c>
      <c r="D14" s="177" cm="1">
        <f t="array" ref="D14">_xlfn.XLOOKUP(1,($B$6=DistributionZone)*(D$6=CustomerType)*(D$4=tariffType)*("Usage" = Description),valuesFY)</f>
        <v>3900</v>
      </c>
      <c r="E14" s="177"/>
      <c r="F14" s="177" cm="1">
        <f t="array" ref="F14">_xlfn.XLOOKUP(1,($B$6=DistributionZone)*(F$6=CustomerType)*(F$4=tariffType)*("Usage" = Description),valuesFY)</f>
        <v>10000</v>
      </c>
      <c r="G14" s="177" cm="1">
        <f t="array" ref="G14">_xlfn.XLOOKUP(1,($B$6=DistributionZone)*(G$6=CustomerType)*(G$4=tariffType)*("Usage" = Description),valuesFY)</f>
        <v>10000</v>
      </c>
      <c r="H14" s="160"/>
      <c r="J14" s="164"/>
      <c r="AJ14" s="166"/>
      <c r="AK14" s="160"/>
      <c r="AL14" s="160"/>
      <c r="AM14" s="160"/>
      <c r="AN14" s="160"/>
      <c r="AO14" s="160"/>
      <c r="AP14" s="160"/>
      <c r="AQ14" s="160"/>
      <c r="AR14" s="160"/>
      <c r="AS14" s="160"/>
      <c r="AT14" s="160"/>
      <c r="AU14" s="160"/>
      <c r="AV14" s="160"/>
      <c r="AW14" s="160"/>
    </row>
    <row r="15" spans="1:49" ht="20.149999999999999" customHeight="1" x14ac:dyDescent="0.35">
      <c r="A15" s="160" t="s">
        <v>16</v>
      </c>
      <c r="B15" s="176" t="s">
        <v>51</v>
      </c>
      <c r="C15" s="177"/>
      <c r="D15" s="177"/>
      <c r="E15" s="177"/>
      <c r="F15" s="177"/>
      <c r="G15" s="177"/>
      <c r="H15" s="160"/>
      <c r="J15" s="164"/>
      <c r="AJ15" s="166"/>
      <c r="AK15" s="160"/>
      <c r="AL15" s="160"/>
      <c r="AM15" s="160"/>
      <c r="AN15" s="160"/>
      <c r="AO15" s="160"/>
      <c r="AP15" s="160"/>
      <c r="AQ15" s="160"/>
      <c r="AR15" s="160"/>
      <c r="AS15" s="160"/>
      <c r="AT15" s="160"/>
      <c r="AU15" s="160"/>
      <c r="AV15" s="160"/>
      <c r="AW15" s="160"/>
    </row>
    <row r="16" spans="1:49" ht="2.15" customHeight="1" x14ac:dyDescent="0.35">
      <c r="A16" s="160"/>
      <c r="B16" s="101"/>
      <c r="C16" s="101"/>
      <c r="D16" s="101"/>
      <c r="E16" s="101"/>
      <c r="F16" s="101"/>
      <c r="G16" s="101"/>
      <c r="H16" s="160"/>
      <c r="J16" s="164"/>
      <c r="AJ16" s="166"/>
      <c r="AK16" s="160"/>
      <c r="AL16" s="160"/>
      <c r="AM16" s="160"/>
      <c r="AN16" s="160"/>
      <c r="AO16" s="160"/>
      <c r="AP16" s="160"/>
      <c r="AQ16" s="160"/>
      <c r="AR16" s="160"/>
      <c r="AS16" s="160"/>
      <c r="AT16" s="160"/>
      <c r="AU16" s="160"/>
      <c r="AV16" s="160"/>
      <c r="AW16" s="160"/>
    </row>
    <row r="17" spans="1:49" ht="20.149999999999999" customHeight="1" x14ac:dyDescent="0.35">
      <c r="A17" s="160"/>
      <c r="B17" s="176" t="str">
        <f>"Change from DMO "&amp;PY&amp; " price ($)"</f>
        <v>Change from DMO 2025-26 price ($)</v>
      </c>
      <c r="C17" s="178">
        <f>C9-C11</f>
        <v>-65.532450087450798</v>
      </c>
      <c r="D17" s="178">
        <f t="shared" ref="D17:G17" si="0">D9-D11</f>
        <v>-71.325905756569909</v>
      </c>
      <c r="E17" s="178"/>
      <c r="F17" s="178">
        <f t="shared" si="0"/>
        <v>-454.02540867584776</v>
      </c>
      <c r="G17" s="178">
        <f t="shared" si="0"/>
        <v>-527.04591224748128</v>
      </c>
      <c r="H17" s="160"/>
      <c r="J17" s="164"/>
      <c r="AJ17" s="166"/>
      <c r="AK17" s="160"/>
      <c r="AL17" s="160"/>
      <c r="AM17" s="160"/>
      <c r="AN17" s="160"/>
      <c r="AO17" s="160"/>
      <c r="AP17" s="160"/>
      <c r="AQ17" s="160"/>
      <c r="AR17" s="160"/>
      <c r="AS17" s="160"/>
      <c r="AT17" s="160"/>
      <c r="AU17" s="160"/>
      <c r="AV17" s="160"/>
      <c r="AW17" s="160"/>
    </row>
    <row r="18" spans="1:49" ht="20.149999999999999" customHeight="1" thickBot="1" x14ac:dyDescent="0.4">
      <c r="B18" s="179" t="str">
        <f>"Change from DMO "&amp;PY&amp; " price (%)"</f>
        <v>Change from DMO 2025-26 price (%)</v>
      </c>
      <c r="C18" s="180">
        <f>IFERROR(C9/C11-1,0)</f>
        <v>-3.3356318751877279E-2</v>
      </c>
      <c r="D18" s="180">
        <f>IFERROR(D9/D11-1,0)</f>
        <v>-3.6305214355751736E-2</v>
      </c>
      <c r="E18" s="180"/>
      <c r="F18" s="180">
        <f>IFERROR(F9/F11-1,0)</f>
        <v>-9.121590369410304E-2</v>
      </c>
      <c r="G18" s="180">
        <f>IFERROR(G9/G11-1,0)</f>
        <v>-0.10588607653951831</v>
      </c>
      <c r="H18" s="160"/>
      <c r="J18" s="164"/>
      <c r="AJ18" s="166"/>
      <c r="AK18" s="160"/>
      <c r="AL18" s="160"/>
      <c r="AM18" s="160"/>
      <c r="AN18" s="160"/>
      <c r="AO18" s="160"/>
      <c r="AP18" s="160"/>
      <c r="AQ18" s="160"/>
      <c r="AR18" s="160"/>
      <c r="AS18" s="160"/>
      <c r="AT18" s="160"/>
      <c r="AU18" s="160"/>
      <c r="AV18" s="160"/>
      <c r="AW18" s="160"/>
    </row>
    <row r="19" spans="1:49" ht="14.5" thickTop="1" x14ac:dyDescent="0.35">
      <c r="B19" s="181" t="s">
        <v>88</v>
      </c>
      <c r="H19" s="160"/>
      <c r="J19" s="164"/>
      <c r="AJ19" s="166"/>
      <c r="AK19" s="160"/>
      <c r="AL19" s="160"/>
      <c r="AM19" s="160"/>
      <c r="AN19" s="160"/>
      <c r="AO19" s="160"/>
      <c r="AP19" s="160"/>
      <c r="AQ19" s="160"/>
      <c r="AR19" s="160"/>
      <c r="AS19" s="160"/>
      <c r="AT19" s="160"/>
      <c r="AU19" s="160"/>
      <c r="AV19" s="160"/>
      <c r="AW19" s="160"/>
    </row>
    <row r="20" spans="1:49" x14ac:dyDescent="0.35">
      <c r="A20" s="160"/>
      <c r="B20" s="160"/>
      <c r="C20" s="160"/>
      <c r="D20" s="160"/>
      <c r="E20" s="160"/>
      <c r="F20" s="160"/>
      <c r="G20" s="160"/>
      <c r="H20" s="160"/>
      <c r="J20" s="164"/>
      <c r="AJ20" s="166"/>
      <c r="AK20" s="160"/>
      <c r="AL20" s="160"/>
      <c r="AM20" s="160"/>
      <c r="AN20" s="160"/>
      <c r="AO20" s="160"/>
      <c r="AP20" s="160"/>
      <c r="AQ20" s="160"/>
      <c r="AR20" s="160"/>
      <c r="AS20" s="160"/>
      <c r="AT20" s="160"/>
      <c r="AU20" s="160"/>
      <c r="AV20" s="160"/>
      <c r="AW20" s="160"/>
    </row>
    <row r="21" spans="1:49" x14ac:dyDescent="0.35">
      <c r="A21" s="160"/>
      <c r="B21" s="160"/>
      <c r="C21" s="160"/>
      <c r="D21" s="160"/>
      <c r="E21" s="160"/>
      <c r="F21" s="160"/>
      <c r="G21" s="160"/>
      <c r="H21" s="160"/>
      <c r="J21" s="164"/>
      <c r="AJ21" s="166"/>
      <c r="AK21" s="160"/>
      <c r="AL21" s="160"/>
      <c r="AM21" s="160"/>
      <c r="AN21" s="160"/>
      <c r="AO21" s="160"/>
      <c r="AP21" s="160"/>
      <c r="AQ21" s="160"/>
      <c r="AR21" s="160"/>
      <c r="AS21" s="160"/>
      <c r="AT21" s="160"/>
      <c r="AU21" s="160"/>
      <c r="AV21" s="160"/>
      <c r="AW21" s="160"/>
    </row>
    <row r="22" spans="1:49" ht="15.5" x14ac:dyDescent="0.35">
      <c r="B22" s="33"/>
      <c r="D22" s="182"/>
      <c r="E22" s="182"/>
      <c r="H22" s="160"/>
      <c r="J22" s="164"/>
      <c r="AJ22" s="166"/>
      <c r="AK22" s="160"/>
      <c r="AL22" s="160"/>
      <c r="AM22" s="160"/>
      <c r="AN22" s="160"/>
      <c r="AO22" s="160"/>
      <c r="AP22" s="160"/>
      <c r="AQ22" s="160"/>
      <c r="AR22" s="160"/>
      <c r="AS22" s="160"/>
      <c r="AT22" s="160"/>
      <c r="AU22" s="160"/>
      <c r="AV22" s="160"/>
      <c r="AW22" s="160"/>
    </row>
    <row r="23" spans="1:49" ht="15" customHeight="1" thickBot="1" x14ac:dyDescent="0.4">
      <c r="H23" s="160"/>
      <c r="I23" s="33"/>
      <c r="J23" s="183"/>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5"/>
      <c r="AK23" s="160"/>
      <c r="AL23" s="160"/>
      <c r="AM23" s="160"/>
      <c r="AN23" s="160"/>
      <c r="AO23" s="160"/>
      <c r="AP23" s="160"/>
      <c r="AQ23" s="160"/>
      <c r="AR23" s="160"/>
      <c r="AS23" s="160"/>
      <c r="AT23" s="160"/>
      <c r="AU23" s="160"/>
      <c r="AV23" s="160"/>
      <c r="AW23" s="160"/>
    </row>
    <row r="24" spans="1:49" s="186" customFormat="1" ht="15.5" x14ac:dyDescent="0.35">
      <c r="H24" s="160"/>
      <c r="I24" s="33"/>
      <c r="J24" s="30"/>
      <c r="K24" s="30"/>
      <c r="L24" s="30"/>
      <c r="M24" s="30"/>
      <c r="N24" s="30"/>
      <c r="O24" s="30"/>
      <c r="P24" s="30"/>
      <c r="Q24" s="30"/>
      <c r="R24" s="30"/>
      <c r="S24" s="30"/>
      <c r="T24" s="30"/>
      <c r="U24" s="30"/>
      <c r="V24" s="30"/>
      <c r="W24" s="30"/>
      <c r="X24" s="30"/>
      <c r="Y24" s="30"/>
      <c r="Z24" s="30"/>
      <c r="AA24" s="30"/>
      <c r="AK24" s="160"/>
      <c r="AL24" s="160"/>
      <c r="AM24" s="160"/>
      <c r="AN24" s="160"/>
      <c r="AO24" s="160"/>
      <c r="AP24" s="160"/>
      <c r="AQ24" s="160"/>
      <c r="AR24" s="160"/>
      <c r="AS24" s="160"/>
      <c r="AT24" s="160"/>
      <c r="AU24" s="160"/>
      <c r="AV24" s="160"/>
      <c r="AW24" s="160"/>
    </row>
    <row r="25" spans="1:49" s="186" customFormat="1" ht="15.5" x14ac:dyDescent="0.35">
      <c r="I25" s="33"/>
      <c r="J25" s="30"/>
      <c r="K25" s="30"/>
      <c r="L25" s="30"/>
      <c r="M25" s="30"/>
      <c r="N25" s="30"/>
      <c r="O25" s="30"/>
      <c r="P25" s="30"/>
      <c r="Q25" s="30"/>
      <c r="R25" s="30"/>
      <c r="S25" s="30"/>
      <c r="T25" s="30"/>
      <c r="U25" s="30"/>
      <c r="V25" s="30"/>
      <c r="W25" s="30"/>
      <c r="X25" s="30"/>
      <c r="Y25" s="30"/>
      <c r="Z25" s="30"/>
      <c r="AA25" s="30"/>
    </row>
    <row r="26" spans="1:49" s="186" customFormat="1" ht="15.5" x14ac:dyDescent="0.35">
      <c r="I26" s="33"/>
      <c r="J26" s="30"/>
      <c r="K26" s="30"/>
      <c r="L26" s="30"/>
      <c r="M26" s="30"/>
      <c r="N26" s="30"/>
      <c r="O26" s="30"/>
      <c r="P26" s="30"/>
      <c r="Q26" s="30"/>
      <c r="R26" s="30"/>
      <c r="S26" s="30"/>
      <c r="T26" s="30"/>
      <c r="U26" s="30"/>
      <c r="V26" s="30"/>
      <c r="W26" s="30"/>
      <c r="X26" s="30"/>
      <c r="Y26" s="30"/>
      <c r="Z26" s="30"/>
      <c r="AA26" s="30"/>
    </row>
    <row r="27" spans="1:49" s="186" customFormat="1" ht="15.5" x14ac:dyDescent="0.35">
      <c r="I27" s="33"/>
      <c r="J27" s="30"/>
      <c r="K27" s="30"/>
      <c r="L27" s="30"/>
      <c r="M27" s="30"/>
      <c r="N27" s="30"/>
      <c r="O27" s="30"/>
      <c r="P27" s="30"/>
      <c r="Q27" s="30"/>
      <c r="R27" s="30"/>
      <c r="S27" s="30"/>
      <c r="T27" s="30"/>
      <c r="U27" s="30"/>
      <c r="V27" s="30"/>
      <c r="W27" s="30"/>
      <c r="X27" s="30"/>
      <c r="Y27" s="30"/>
      <c r="Z27" s="30"/>
      <c r="AA27" s="30"/>
    </row>
    <row r="28" spans="1:49" s="186" customFormat="1" ht="15.5" x14ac:dyDescent="0.35">
      <c r="I28" s="33" t="s">
        <v>43</v>
      </c>
      <c r="J28" s="29" t="s">
        <v>125</v>
      </c>
      <c r="K28" s="30"/>
      <c r="L28" s="30"/>
      <c r="M28" s="30"/>
      <c r="N28" s="30"/>
      <c r="O28" s="30"/>
      <c r="P28" s="30"/>
      <c r="Q28" s="30"/>
      <c r="R28" s="30"/>
      <c r="S28" s="30"/>
      <c r="T28" s="30"/>
      <c r="U28" s="30"/>
      <c r="V28" s="30"/>
      <c r="W28" s="30"/>
      <c r="X28" s="30"/>
      <c r="Y28" s="30"/>
      <c r="Z28" s="30"/>
      <c r="AA28" s="30"/>
    </row>
    <row r="29" spans="1:49" s="187" customFormat="1" ht="18" x14ac:dyDescent="0.35">
      <c r="I29" s="909" t="s">
        <v>32</v>
      </c>
      <c r="J29" s="188"/>
      <c r="K29" s="906" t="s">
        <v>6</v>
      </c>
      <c r="L29" s="906"/>
      <c r="M29" s="906"/>
      <c r="N29" s="906"/>
      <c r="O29" s="906"/>
      <c r="P29" s="906"/>
      <c r="Q29" s="906"/>
      <c r="R29" s="906"/>
      <c r="S29" s="189"/>
      <c r="T29" s="906" t="s">
        <v>6</v>
      </c>
      <c r="U29" s="906"/>
      <c r="V29" s="906"/>
      <c r="W29" s="906"/>
      <c r="X29" s="906"/>
      <c r="Y29" s="906"/>
      <c r="Z29" s="906"/>
      <c r="AA29" s="906"/>
      <c r="AB29" s="189"/>
      <c r="AC29" s="906" t="s">
        <v>76</v>
      </c>
      <c r="AD29" s="906"/>
      <c r="AE29" s="906"/>
      <c r="AF29" s="906"/>
      <c r="AG29" s="906"/>
      <c r="AH29" s="906"/>
      <c r="AI29" s="906"/>
      <c r="AJ29" s="906"/>
      <c r="AK29" s="189"/>
      <c r="AL29" s="906" t="s">
        <v>76</v>
      </c>
      <c r="AM29" s="906"/>
      <c r="AN29" s="906"/>
      <c r="AO29" s="906"/>
      <c r="AP29" s="906"/>
      <c r="AQ29" s="906"/>
      <c r="AR29" s="906"/>
      <c r="AS29" s="906"/>
      <c r="AT29" s="189"/>
    </row>
    <row r="30" spans="1:49" s="190" customFormat="1" ht="18.5" thickBot="1" x14ac:dyDescent="0.4">
      <c r="I30" s="909"/>
      <c r="J30" s="188"/>
      <c r="K30" s="903" t="s">
        <v>276</v>
      </c>
      <c r="L30" s="903"/>
      <c r="M30" s="903"/>
      <c r="N30" s="903"/>
      <c r="O30" s="903"/>
      <c r="P30" s="903"/>
      <c r="Q30" s="903"/>
      <c r="R30" s="903"/>
      <c r="S30" s="189"/>
      <c r="T30" s="903" t="s">
        <v>272</v>
      </c>
      <c r="U30" s="903"/>
      <c r="V30" s="903"/>
      <c r="W30" s="903"/>
      <c r="X30" s="903"/>
      <c r="Y30" s="903"/>
      <c r="Z30" s="903"/>
      <c r="AA30" s="903"/>
      <c r="AB30" s="189"/>
      <c r="AC30" s="903" t="s">
        <v>276</v>
      </c>
      <c r="AD30" s="903"/>
      <c r="AE30" s="903"/>
      <c r="AF30" s="903"/>
      <c r="AG30" s="903"/>
      <c r="AH30" s="903"/>
      <c r="AI30" s="903"/>
      <c r="AJ30" s="903"/>
      <c r="AK30" s="189"/>
      <c r="AL30" s="903" t="s">
        <v>272</v>
      </c>
      <c r="AM30" s="903"/>
      <c r="AN30" s="903"/>
      <c r="AO30" s="903"/>
      <c r="AP30" s="903"/>
      <c r="AQ30" s="903"/>
      <c r="AR30" s="903"/>
      <c r="AS30" s="903"/>
      <c r="AT30" s="189"/>
    </row>
    <row r="31" spans="1:49" ht="15" customHeight="1" thickTop="1" x14ac:dyDescent="0.35">
      <c r="I31" s="909"/>
      <c r="J31" s="191"/>
      <c r="K31" s="192" t="s">
        <v>67</v>
      </c>
      <c r="L31" s="904" t="str">
        <f>PY</f>
        <v>2025-26</v>
      </c>
      <c r="M31" s="904"/>
      <c r="N31" s="192"/>
      <c r="O31" s="904" t="str">
        <f>FY</f>
        <v>2026-27</v>
      </c>
      <c r="P31" s="904"/>
      <c r="Q31" s="904"/>
      <c r="R31" s="904"/>
      <c r="S31" s="192"/>
      <c r="T31" s="192" t="s">
        <v>67</v>
      </c>
      <c r="U31" s="904" t="str">
        <f>PY</f>
        <v>2025-26</v>
      </c>
      <c r="V31" s="904"/>
      <c r="W31" s="192"/>
      <c r="X31" s="904" t="str">
        <f>FY</f>
        <v>2026-27</v>
      </c>
      <c r="Y31" s="904"/>
      <c r="Z31" s="904"/>
      <c r="AA31" s="904"/>
      <c r="AB31" s="192"/>
      <c r="AC31" s="192" t="s">
        <v>67</v>
      </c>
      <c r="AD31" s="904" t="str">
        <f>PY</f>
        <v>2025-26</v>
      </c>
      <c r="AE31" s="904"/>
      <c r="AF31" s="192"/>
      <c r="AG31" s="904" t="str">
        <f>FY</f>
        <v>2026-27</v>
      </c>
      <c r="AH31" s="904"/>
      <c r="AI31" s="904"/>
      <c r="AJ31" s="904"/>
      <c r="AK31" s="192"/>
      <c r="AL31" s="192" t="s">
        <v>67</v>
      </c>
      <c r="AM31" s="904" t="str">
        <f>PY</f>
        <v>2025-26</v>
      </c>
      <c r="AN31" s="904"/>
      <c r="AO31" s="192"/>
      <c r="AP31" s="904" t="str">
        <f>FY</f>
        <v>2026-27</v>
      </c>
      <c r="AQ31" s="904"/>
      <c r="AR31" s="904"/>
      <c r="AS31" s="904"/>
      <c r="AT31" s="192"/>
    </row>
    <row r="32" spans="1:49" ht="39" x14ac:dyDescent="0.35">
      <c r="I32" s="909"/>
      <c r="J32" s="191"/>
      <c r="K32" s="193"/>
      <c r="L32" s="194" t="s">
        <v>21</v>
      </c>
      <c r="M32" s="194" t="s">
        <v>23</v>
      </c>
      <c r="N32" s="194"/>
      <c r="O32" s="194" t="s">
        <v>20</v>
      </c>
      <c r="P32" s="195" t="s">
        <v>151</v>
      </c>
      <c r="Q32" s="194" t="s">
        <v>21</v>
      </c>
      <c r="R32" s="194" t="s">
        <v>23</v>
      </c>
      <c r="S32" s="194"/>
      <c r="T32" s="194"/>
      <c r="U32" s="194" t="s">
        <v>21</v>
      </c>
      <c r="V32" s="194" t="s">
        <v>23</v>
      </c>
      <c r="W32" s="194"/>
      <c r="X32" s="194" t="s">
        <v>20</v>
      </c>
      <c r="Y32" s="195" t="s">
        <v>50</v>
      </c>
      <c r="Z32" s="194" t="s">
        <v>21</v>
      </c>
      <c r="AA32" s="194" t="s">
        <v>23</v>
      </c>
      <c r="AB32" s="194"/>
      <c r="AC32" s="194"/>
      <c r="AD32" s="194" t="s">
        <v>21</v>
      </c>
      <c r="AE32" s="194" t="s">
        <v>23</v>
      </c>
      <c r="AF32" s="194"/>
      <c r="AG32" s="194" t="s">
        <v>20</v>
      </c>
      <c r="AH32" s="195" t="s">
        <v>50</v>
      </c>
      <c r="AI32" s="194" t="s">
        <v>21</v>
      </c>
      <c r="AJ32" s="194" t="s">
        <v>23</v>
      </c>
      <c r="AK32" s="194"/>
      <c r="AL32" s="194"/>
      <c r="AM32" s="194" t="s">
        <v>21</v>
      </c>
      <c r="AN32" s="194" t="s">
        <v>23</v>
      </c>
      <c r="AO32" s="194"/>
      <c r="AP32" s="194" t="s">
        <v>20</v>
      </c>
      <c r="AQ32" s="195" t="s">
        <v>50</v>
      </c>
      <c r="AR32" s="194" t="s">
        <v>21</v>
      </c>
      <c r="AS32" s="194" t="s">
        <v>23</v>
      </c>
      <c r="AT32" s="194"/>
    </row>
    <row r="33" spans="2:59" ht="15" customHeight="1" x14ac:dyDescent="0.35">
      <c r="I33" s="909"/>
      <c r="J33" s="191"/>
      <c r="K33" s="194" t="s">
        <v>68</v>
      </c>
      <c r="L33" s="194" t="s">
        <v>45</v>
      </c>
      <c r="M33" s="194" t="s">
        <v>27</v>
      </c>
      <c r="N33" s="194"/>
      <c r="O33" s="194" t="s">
        <v>27</v>
      </c>
      <c r="P33" s="194" t="s">
        <v>27</v>
      </c>
      <c r="Q33" s="194" t="s">
        <v>45</v>
      </c>
      <c r="R33" s="194" t="s">
        <v>27</v>
      </c>
      <c r="S33" s="194"/>
      <c r="T33" s="194"/>
      <c r="U33" s="194" t="s">
        <v>45</v>
      </c>
      <c r="V33" s="194" t="s">
        <v>27</v>
      </c>
      <c r="W33" s="194"/>
      <c r="X33" s="194" t="s">
        <v>27</v>
      </c>
      <c r="Y33" s="194" t="s">
        <v>27</v>
      </c>
      <c r="Z33" s="194" t="s">
        <v>45</v>
      </c>
      <c r="AA33" s="194" t="s">
        <v>27</v>
      </c>
      <c r="AB33" s="194"/>
      <c r="AC33" s="194"/>
      <c r="AD33" s="194" t="s">
        <v>45</v>
      </c>
      <c r="AE33" s="194" t="s">
        <v>27</v>
      </c>
      <c r="AF33" s="194"/>
      <c r="AG33" s="194" t="s">
        <v>27</v>
      </c>
      <c r="AH33" s="194" t="s">
        <v>27</v>
      </c>
      <c r="AI33" s="194" t="s">
        <v>45</v>
      </c>
      <c r="AJ33" s="194" t="s">
        <v>27</v>
      </c>
      <c r="AK33" s="194"/>
      <c r="AL33" s="194"/>
      <c r="AM33" s="194" t="s">
        <v>45</v>
      </c>
      <c r="AN33" s="194" t="s">
        <v>27</v>
      </c>
      <c r="AO33" s="194"/>
      <c r="AP33" s="194" t="s">
        <v>27</v>
      </c>
      <c r="AQ33" s="194" t="s">
        <v>27</v>
      </c>
      <c r="AR33" s="194" t="s">
        <v>45</v>
      </c>
      <c r="AS33" s="194" t="s">
        <v>27</v>
      </c>
      <c r="AT33" s="194"/>
    </row>
    <row r="34" spans="2:59" ht="15" customHeight="1" x14ac:dyDescent="0.35">
      <c r="I34" s="196" t="str">
        <f>"DMO "&amp;PY&amp;" price"</f>
        <v>DMO 2025-26 price</v>
      </c>
      <c r="J34" s="196"/>
      <c r="K34" s="204">
        <f>ROUND(SUM(Ausgrid_RESwoCL_PY_cost),0)</f>
        <v>1965</v>
      </c>
      <c r="L34" s="198"/>
      <c r="M34" s="198"/>
      <c r="N34" s="198"/>
      <c r="O34" s="198"/>
      <c r="P34" s="198"/>
      <c r="Q34" s="198"/>
      <c r="R34" s="198"/>
      <c r="S34" s="198"/>
      <c r="T34" s="204">
        <f>ROUND(SUM(Ausgrid_REStou_PY_cost),0)</f>
        <v>0</v>
      </c>
      <c r="U34" s="197"/>
      <c r="V34" s="198"/>
      <c r="W34" s="199"/>
      <c r="X34" s="199"/>
      <c r="Y34" s="198"/>
      <c r="Z34" s="198"/>
      <c r="AA34" s="198"/>
      <c r="AB34" s="200"/>
      <c r="AC34" s="204">
        <f>ROUND(SUM(Ausgrid_SBwoCL_PY_cost),0)</f>
        <v>4977</v>
      </c>
      <c r="AD34" s="197"/>
      <c r="AE34" s="198"/>
      <c r="AF34" s="198"/>
      <c r="AG34" s="198"/>
      <c r="AH34" s="198"/>
      <c r="AI34" s="198"/>
      <c r="AJ34" s="198"/>
      <c r="AK34" s="200"/>
      <c r="AL34" s="668">
        <f>ROUND(SUM(Ausgrid_SBtou_PY_cost),0)</f>
        <v>0</v>
      </c>
      <c r="AM34" s="663"/>
      <c r="AN34" s="664"/>
      <c r="AO34" s="199"/>
      <c r="AP34" s="199"/>
      <c r="AQ34" s="198"/>
      <c r="AR34" s="198"/>
      <c r="AS34" s="198"/>
      <c r="AT34" s="200"/>
    </row>
    <row r="35" spans="2:59" ht="15" customHeight="1" x14ac:dyDescent="0.35">
      <c r="I35" s="201" t="s">
        <v>63</v>
      </c>
      <c r="J35" s="201"/>
      <c r="K35" s="197"/>
      <c r="L35" s="197" cm="1">
        <f t="array" ref="L35">_xlfn.XLOOKUP(1,($B$6=Wholesale_DistributionZone)*(K$29=Wholesale_CustomerType)*(K$30=Wholesale_TariffL2)*("Total inc GST"=Wholesale_Description),Wholesale_PY_CostTotal)</f>
        <v>753.97249122143467</v>
      </c>
      <c r="M35" s="198">
        <f>L35/K$34</f>
        <v>0.38370101334424156</v>
      </c>
      <c r="N35" s="198"/>
      <c r="O35" s="202">
        <f>IF(OR(L35=0,Q35=""),"",Q35/L35-1)</f>
        <v>-0.13287948479096945</v>
      </c>
      <c r="P35" s="202">
        <f>(Q35-L35)/K34</f>
        <v>-5.0985992966955704E-2</v>
      </c>
      <c r="Q35" s="197" cm="1">
        <f t="array" ref="Q35">_xlfn.XLOOKUP(1,($B$6=Wholesale_DistributionZone)*(K$29=Wholesale_CustomerType)*(K$30=Wholesale_TariffL2)*("Total inc GST"=Wholesale_Description),Wholesale_FY_CostTotal)</f>
        <v>653.78501504136671</v>
      </c>
      <c r="R35" s="198">
        <f>Q35/K$40</f>
        <v>0.34427857558787084</v>
      </c>
      <c r="S35" s="198"/>
      <c r="T35" s="200"/>
      <c r="U35" s="197" cm="1">
        <f t="array" ref="U35">_xlfn.XLOOKUP(1,($B$6=Wholesale_DistributionZone)*(T$29=Wholesale_CustomerType)*(T$30=Wholesale_TariffType)*("Total inc GST"=Wholesale_Description),Wholesale_PY_CostTotal)</f>
        <v>0</v>
      </c>
      <c r="V35" s="198" t="str">
        <f t="shared" ref="V35" si="1">IFERROR(U35/T$34,"")</f>
        <v/>
      </c>
      <c r="W35" s="199"/>
      <c r="X35" s="203" t="str">
        <f t="shared" ref="X35" si="2">IF(OR(U35=0,Z35=""),"",Z35/U35-1)</f>
        <v/>
      </c>
      <c r="Y35" s="202" t="str">
        <f t="shared" ref="Y35" si="3">IFERROR((Z35-U35)/T34,"")</f>
        <v/>
      </c>
      <c r="Z35" s="197" cm="1">
        <f t="array" ref="Z35">_xlfn.XLOOKUP(1,($B$6=Wholesale_DistributionZone)*(T$29=Wholesale_CustomerType)*(T$30=Wholesale_TariffType)*("Total inc GST"=Wholesale_Description),Wholesale_FY_CostTotal)</f>
        <v>653.78501504136659</v>
      </c>
      <c r="AA35" s="198">
        <f>Z35/T$40</f>
        <v>0.34536979135835533</v>
      </c>
      <c r="AB35" s="204"/>
      <c r="AC35" s="200"/>
      <c r="AD35" s="197" cm="1">
        <f t="array" ref="AD35">_xlfn.XLOOKUP(1,($B$6=Wholesale_DistributionZone)*(AC$29=Wholesale_CustomerType)*(AC$30=Wholesale_TariffL2)*("Total inc GST"=Wholesale_Description),Wholesale_PY_CostTotal)</f>
        <v>1909.4590830953503</v>
      </c>
      <c r="AE35" s="198">
        <f>AD35/AC$34</f>
        <v>0.38365663714995984</v>
      </c>
      <c r="AF35" s="198"/>
      <c r="AG35" s="202">
        <f t="shared" ref="AG35" si="4">IF(OR(AD35=0,AI35=""),"",AI35/AD35-1)</f>
        <v>-0.13389638505154622</v>
      </c>
      <c r="AH35" s="202">
        <f>(AI35-AD35)/AC34</f>
        <v>-5.1370236815412362E-2</v>
      </c>
      <c r="AI35" s="197" cm="1">
        <f t="array" ref="AI35">_xlfn.XLOOKUP(1,($B$6=Wholesale_DistributionZone)*(AC$29=Wholesale_CustomerType)*(AC$30=Wholesale_TariffL2)*("Total inc GST"=Wholesale_Description),Wholesale_FY_CostTotal)</f>
        <v>1653.7894144650429</v>
      </c>
      <c r="AJ35" s="198">
        <f>AI35/AC$40</f>
        <v>0.36563993244860554</v>
      </c>
      <c r="AK35" s="204"/>
      <c r="AL35" s="665"/>
      <c r="AM35" s="663" cm="1">
        <f t="array" ref="AM35">_xlfn.XLOOKUP(1,($B$6=Wholesale_DistributionZone)*(AL$29=Wholesale_CustomerType)*(AL$30=Wholesale_TariffType)*("Total inc GST"=Wholesale_Description),Wholesale_PY_CostTotal)</f>
        <v>0</v>
      </c>
      <c r="AN35" s="664" t="str">
        <f t="shared" ref="AN35" si="5">IFERROR(AM35/AL$34,"")</f>
        <v/>
      </c>
      <c r="AO35" s="199"/>
      <c r="AP35" s="203" t="str">
        <f t="shared" ref="AP35" si="6">IF(OR(AM35=0,AR35=""),"",AR35/AM35-1)</f>
        <v/>
      </c>
      <c r="AQ35" s="202" t="str">
        <f t="shared" ref="AQ35" si="7">IFERROR((AR35-AM35)/AL34,"")</f>
        <v/>
      </c>
      <c r="AR35" s="197" cm="1">
        <f t="array" ref="AR35">_xlfn.XLOOKUP(1,($B$6=Wholesale_DistributionZone)*(AL$29=Wholesale_CustomerType)*(AL$30=Wholesale_TariffType)*("Total inc GST"=Wholesale_Description),Wholesale_FY_CostTotal)</f>
        <v>1653.7894144650434</v>
      </c>
      <c r="AS35" s="198">
        <f>AR35/AL$40</f>
        <v>0.37163807066630189</v>
      </c>
      <c r="AT35" s="204"/>
    </row>
    <row r="36" spans="2:59" ht="15" customHeight="1" x14ac:dyDescent="0.35">
      <c r="I36" s="201" t="s">
        <v>62</v>
      </c>
      <c r="J36" s="201"/>
      <c r="K36" s="197"/>
      <c r="L36" s="197" cm="1">
        <f t="array" ref="L36">_xlfn.XLOOKUP(1,($B$6=Network_DistributionZone)*(K$29=Network_CustomerType)*(K$30=Network_TariffL2)*("Total inc GST"=Network_Description),Network_PY_CostTotal)</f>
        <v>711.92496176013196</v>
      </c>
      <c r="M36" s="198">
        <f>L36/K$34</f>
        <v>0.36230277952169565</v>
      </c>
      <c r="N36" s="198"/>
      <c r="O36" s="202">
        <f>IF(OR(L36=0,Q36=""),"",Q36/L36-1)</f>
        <v>9.3135233604850542E-2</v>
      </c>
      <c r="P36" s="202">
        <f>(Q36-L36)/K34</f>
        <v>3.3743154006439777E-2</v>
      </c>
      <c r="Q36" s="197" cm="1">
        <f t="array" ref="Q36">_xlfn.XLOOKUP(1,($B$6=Network_DistributionZone)*(K$29=Network_CustomerType)*(K$30=Network_TariffL2)*("Blended"=Network_TariffType)*("Total inc GST"=Network_Description),Network_FY_CostTotal)</f>
        <v>778.23025938278613</v>
      </c>
      <c r="R36" s="198">
        <f>Q36/K$40</f>
        <v>0.40981056312942926</v>
      </c>
      <c r="S36" s="198"/>
      <c r="T36" s="200"/>
      <c r="U36" s="197" cm="1">
        <f t="array" ref="U36">_xlfn.XLOOKUP(1,($B$6=Network_DistributionZone)*(T$29=Network_CustomerType)*(T$30=Network_TariffType)*("Total inc GST"=Network_Description),Network_PY_CostTotal)</f>
        <v>0</v>
      </c>
      <c r="V36" s="198" t="str">
        <f>IFERROR(U36/T$34,"")</f>
        <v/>
      </c>
      <c r="W36" s="199"/>
      <c r="X36" s="203" t="str">
        <f>IF(OR(U36=0,Z36=""),"",Z36/U36-1)</f>
        <v/>
      </c>
      <c r="Y36" s="202" t="str">
        <f>IFERROR((Z36-U36)/T35,"")</f>
        <v/>
      </c>
      <c r="Z36" s="197" cm="1">
        <f t="array" ref="Z36">_xlfn.XLOOKUP(1,($B$6=Network_DistributionZone)*(T$29=Network_CustomerType)*(T$30=Network_TariffType)*("Total inc GST"=Network_Description),Network_FY_CostTotal)</f>
        <v>772.78441105381444</v>
      </c>
      <c r="AA36" s="198">
        <f>Z36/T$40</f>
        <v>0.40823265243202028</v>
      </c>
      <c r="AB36" s="204"/>
      <c r="AC36" s="200"/>
      <c r="AD36" s="197" cm="1">
        <f t="array" ref="AD36">_xlfn.XLOOKUP(1,($B$6=Network_DistributionZone)*(AC$29=Network_CustomerType)*(AC$30=Network_TariffL2)*("Total inc GST"=Network_Description),Network_PY_CostTotal)</f>
        <v>1923.3380879684253</v>
      </c>
      <c r="AE36" s="198">
        <f>AD36/AC$34</f>
        <v>0.38644526581644068</v>
      </c>
      <c r="AF36" s="198"/>
      <c r="AG36" s="202">
        <f>IF(OR(AD36=0,AI36=""),"",AI36/AD36-1)</f>
        <v>8.2636705018199086E-2</v>
      </c>
      <c r="AH36" s="202">
        <f>(AI36-AD36)/AC34</f>
        <v>3.1934563436952702E-2</v>
      </c>
      <c r="AI36" s="197" cm="1">
        <f t="array" ref="AI36">_xlfn.XLOOKUP(1,($B$6=Network_DistributionZone)*(AC$29=Network_CustomerType)*(AC$30=Network_TariffL2)*("Blended"=Network_TariffType)*("Total inc GST"=Network_Description),Network_FY_CostTotal)</f>
        <v>2082.2764101941389</v>
      </c>
      <c r="AJ36" s="198">
        <f>AI36/AC$40</f>
        <v>0.46037506305419829</v>
      </c>
      <c r="AK36" s="204"/>
      <c r="AL36" s="665"/>
      <c r="AM36" s="663" cm="1">
        <f t="array" ref="AM36">_xlfn.XLOOKUP(1,($B$6=Network_DistributionZone)*(AL$29=Network_CustomerType)*(AL$30=Network_TariffType)*("Total inc GST"=Network_Description),Network_PY_CostTotal)</f>
        <v>0</v>
      </c>
      <c r="AN36" s="664" t="str">
        <f>IFERROR(AM36/AL$34,"")</f>
        <v/>
      </c>
      <c r="AO36" s="199"/>
      <c r="AP36" s="203" t="str">
        <f>IF(OR(AM36=0,AR36=""),"",AR36/AM36-1)</f>
        <v/>
      </c>
      <c r="AQ36" s="202" t="str">
        <f>IFERROR((AR36-AM36)/AL35,"")</f>
        <v/>
      </c>
      <c r="AR36" s="197" cm="1">
        <f t="array" ref="AR36">_xlfn.XLOOKUP(1,($B$6=Network_DistributionZone)*(AL$29=Network_CustomerType)*(AL$30=Network_TariffType)*("Total inc GST"=Network_Description),Network_FY_CostTotal)</f>
        <v>2013.6371368368029</v>
      </c>
      <c r="AS36" s="198">
        <f>AR36/AL$40</f>
        <v>0.45250272737905683</v>
      </c>
      <c r="AT36" s="204"/>
    </row>
    <row r="37" spans="2:59" ht="15" customHeight="1" x14ac:dyDescent="0.35">
      <c r="I37" s="201" t="s">
        <v>64</v>
      </c>
      <c r="J37" s="201"/>
      <c r="K37" s="197"/>
      <c r="L37" s="197" cm="1">
        <f t="array" ref="L37">_xlfn.XLOOKUP(1,($B$6=Enviro_DistributionZone)*(K$29=Enviro_CustomerType)*(K$30=Enviro_TariffL2)*("Total inc GST"=Enviro_Description),Enviro_PY_CostTotal)</f>
        <v>68.331519303463324</v>
      </c>
      <c r="M37" s="198">
        <f>L37/K$34</f>
        <v>3.4774310078098385E-2</v>
      </c>
      <c r="N37" s="198"/>
      <c r="O37" s="202">
        <f>IF(OR(L37=0,Q37=""),"",Q37/L37-1)</f>
        <v>-0.30377874953862705</v>
      </c>
      <c r="P37" s="202">
        <f>(Q37-L37)/K34</f>
        <v>-1.0563696431593203E-2</v>
      </c>
      <c r="Q37" s="197" cm="1">
        <f t="array" ref="Q37">_xlfn.XLOOKUP(1,($B$6=Enviro_DistributionZone)*(K$29=Enviro_CustomerType)*(K$30=Enviro_TariffL2)*("Total inc GST"=Enviro_Description),Enviro_FY_CostTotal)</f>
        <v>47.573855815382679</v>
      </c>
      <c r="R37" s="198">
        <f>Q37/K$40</f>
        <v>2.5052056774819736E-2</v>
      </c>
      <c r="S37" s="198"/>
      <c r="T37" s="200"/>
      <c r="U37" s="197" cm="1">
        <f t="array" ref="U37">_xlfn.XLOOKUP(1,($B$6=Enviro_DistributionZone)*(T$29=Enviro_CustomerType)*(T$30=Enviro_TariffType)*("Total inc GST"=Enviro_Description),Enviro_PY_CostTotal)</f>
        <v>0</v>
      </c>
      <c r="V37" s="198" t="str">
        <f t="shared" ref="V37:V39" si="8">IFERROR(U37/T$34,"")</f>
        <v/>
      </c>
      <c r="W37" s="199"/>
      <c r="X37" s="203" t="str">
        <f t="shared" ref="X37:X39" si="9">IF(OR(U37=0,Z37=""),"",Z37/U37-1)</f>
        <v/>
      </c>
      <c r="Y37" s="202" t="str">
        <f t="shared" ref="Y37:Y39" si="10">IFERROR((Z37-U37)/T36,"")</f>
        <v/>
      </c>
      <c r="Z37" s="197" cm="1">
        <f t="array" ref="Z37">_xlfn.XLOOKUP(1,($B$6=Enviro_DistributionZone)*(T$29=Enviro_CustomerType)*(T$30=Enviro_TariffType)*("Total inc GST"=Enviro_Description),Enviro_FY_CostTotal)</f>
        <v>47.573855815382686</v>
      </c>
      <c r="AA37" s="198">
        <f>Z37/T$40</f>
        <v>2.5131461075215366E-2</v>
      </c>
      <c r="AB37" s="204"/>
      <c r="AC37" s="200"/>
      <c r="AD37" s="197" cm="1">
        <f t="array" ref="AD37">_xlfn.XLOOKUP(1,($B$6=Enviro_DistributionZone)*(AC$29=Enviro_CustomerType)*(AC$30=Enviro_TariffL2)*("Total inc GST"=Enviro_Description),Enviro_PY_CostTotal)</f>
        <v>175.20902385503413</v>
      </c>
      <c r="AE37" s="198">
        <f>AD37/AC$34</f>
        <v>3.5203741984133841E-2</v>
      </c>
      <c r="AF37" s="198"/>
      <c r="AG37" s="202">
        <f t="shared" ref="AG37:AG39" si="11">IF(OR(AD37=0,AI37=""),"",AI37/AD37-1)</f>
        <v>-0.30377874953862682</v>
      </c>
      <c r="AH37" s="202">
        <f>(AI37-AD37)/AC34</f>
        <v>-1.0694148719020637E-2</v>
      </c>
      <c r="AI37" s="197" cm="1">
        <f t="array" ref="AI37">_xlfn.XLOOKUP(1,($B$6=Enviro_DistributionZone)*(AC$29=Enviro_CustomerType)*(AC$30=Enviro_TariffL2)*("Total inc GST"=Enviro_Description),Enviro_FY_CostTotal)</f>
        <v>121.98424568046842</v>
      </c>
      <c r="AJ37" s="198">
        <f>AI37/AC$40</f>
        <v>2.6969764687258108E-2</v>
      </c>
      <c r="AK37" s="204"/>
      <c r="AL37" s="665"/>
      <c r="AM37" s="663" cm="1">
        <f t="array" ref="AM37">_xlfn.XLOOKUP(1,($B$6=Enviro_DistributionZone)*(AL$29=Enviro_CustomerType)*(AL$30=Enviro_TariffType)*("Total inc GST"=Enviro_Description),Enviro_PY_CostTotal)</f>
        <v>0</v>
      </c>
      <c r="AN37" s="664" t="str">
        <f t="shared" ref="AN37:AN39" si="12">IFERROR(AM37/AL$34,"")</f>
        <v/>
      </c>
      <c r="AO37" s="199"/>
      <c r="AP37" s="203" t="str">
        <f t="shared" ref="AP37:AP39" si="13">IF(OR(AM37=0,AR37=""),"",AR37/AM37-1)</f>
        <v/>
      </c>
      <c r="AQ37" s="202" t="str">
        <f t="shared" ref="AQ37:AQ39" si="14">IFERROR((AR37-AM37)/AL36,"")</f>
        <v/>
      </c>
      <c r="AR37" s="197" cm="1">
        <f t="array" ref="AR37">_xlfn.XLOOKUP(1,($B$6=Enviro_DistributionZone)*(AL$29=Enviro_CustomerType)*(AL$30=Enviro_TariffType)*("Total inc GST"=Enviro_Description),Enviro_FY_CostTotal)</f>
        <v>121.98424568046842</v>
      </c>
      <c r="AS37" s="198">
        <f>AR37/AL$40</f>
        <v>2.7412190040554701E-2</v>
      </c>
      <c r="AT37" s="204"/>
    </row>
    <row r="38" spans="2:59" ht="15" customHeight="1" x14ac:dyDescent="0.35">
      <c r="I38" s="201" t="s">
        <v>159</v>
      </c>
      <c r="J38" s="201"/>
      <c r="K38" s="197"/>
      <c r="L38" s="197" cm="1">
        <f t="array" ref="L38">_xlfn.XLOOKUP(1,($B$6=Retail_DistributionZone)*(K$29=Retail_CustomerType)*(K$30=Retail_TariffL2)*("Total inc GST"=Retail_Description),Retail_PY_CostTotal)</f>
        <v>312.51267628903128</v>
      </c>
      <c r="M38" s="198">
        <f>L38/K$34</f>
        <v>0.15903952991808207</v>
      </c>
      <c r="N38" s="198"/>
      <c r="O38" s="202">
        <f>IF(OR(L38=0,Q38=""),"",Q38/L38-1)</f>
        <v>-2.2273211824123673E-2</v>
      </c>
      <c r="P38" s="202">
        <f>(Q38-L38)/K34</f>
        <v>-3.5423211382744949E-3</v>
      </c>
      <c r="Q38" s="197" cm="1">
        <f t="array" ref="Q38">_xlfn.XLOOKUP(1,($B$6=Retail_DistributionZone)*(K$29=Retail_CustomerType)*(K$30=Retail_TariffL2)*("Total inc GST"=Retail_Description),Retail_FY_CostTotal)</f>
        <v>305.55201525232189</v>
      </c>
      <c r="R38" s="198">
        <f>Q38/K$40</f>
        <v>0.16090153515130168</v>
      </c>
      <c r="S38" s="198"/>
      <c r="T38" s="200"/>
      <c r="U38" s="197" cm="1">
        <f t="array" ref="U38">_xlfn.XLOOKUP(1,($B$6=Retail_DistributionZone)*(T$29=Retail_CustomerType)*(T$30=Retail_TariffType)*("Total inc GST"=Retail_Description),Retail_PY_CostTotal)</f>
        <v>0</v>
      </c>
      <c r="V38" s="198" t="str">
        <f t="shared" si="8"/>
        <v/>
      </c>
      <c r="W38" s="199"/>
      <c r="X38" s="203" t="str">
        <f t="shared" si="9"/>
        <v/>
      </c>
      <c r="Y38" s="202" t="str">
        <f t="shared" si="10"/>
        <v/>
      </c>
      <c r="Z38" s="197" cm="1">
        <f t="array" ref="Z38">_xlfn.XLOOKUP(1,($B$6=Retail_DistributionZone)*(T$29=Retail_CustomerType)*(T$30=Retail_TariffType)*("Total inc GST"=Retail_Description),Retail_FY_CostTotal)</f>
        <v>305.55201525232189</v>
      </c>
      <c r="AA38" s="198">
        <f>Z38/T$40</f>
        <v>0.16141152416921389</v>
      </c>
      <c r="AB38" s="204"/>
      <c r="AC38" s="200"/>
      <c r="AD38" s="197" cm="1">
        <f t="array" ref="AD38">_xlfn.XLOOKUP(1,($B$6=Retail_DistributionZone)*(AC$29=Retail_CustomerType)*(AC$30=Retail_TariffL2)*("Total inc GST"=Retail_Description),Retail_PY_CostTotal)</f>
        <v>421.95171106889359</v>
      </c>
      <c r="AE38" s="198">
        <f>AD38/AC$34</f>
        <v>8.4780331739781709E-2</v>
      </c>
      <c r="AF38" s="198"/>
      <c r="AG38" s="202">
        <f t="shared" si="11"/>
        <v>-6.6248623196940915E-2</v>
      </c>
      <c r="AH38" s="202">
        <f>(AI38-AD38)/AC34</f>
        <v>-5.6165802519404472E-3</v>
      </c>
      <c r="AI38" s="197" cm="1">
        <f t="array" ref="AI38">_xlfn.XLOOKUP(1,($B$6=Retail_DistributionZone)*(AC$29=Retail_CustomerType)*(AC$30=Retail_TariffL2)*("Total inc GST"=Retail_Description),Retail_FY_CostTotal)</f>
        <v>393.99799115498598</v>
      </c>
      <c r="AJ38" s="198">
        <f>AI38/AC$40</f>
        <v>8.710988086557285E-2</v>
      </c>
      <c r="AK38" s="204"/>
      <c r="AL38" s="665"/>
      <c r="AM38" s="663" cm="1">
        <f t="array" ref="AM38">_xlfn.XLOOKUP(1,($B$6=Retail_DistributionZone)*(AL$29=Retail_CustomerType)*(AL$30=Retail_TariffType)*("Total inc GST"=Retail_Description),Retail_PY_CostTotal)</f>
        <v>0</v>
      </c>
      <c r="AN38" s="664" t="str">
        <f t="shared" si="12"/>
        <v/>
      </c>
      <c r="AO38" s="199"/>
      <c r="AP38" s="203" t="str">
        <f t="shared" si="13"/>
        <v/>
      </c>
      <c r="AQ38" s="202" t="str">
        <f t="shared" si="14"/>
        <v/>
      </c>
      <c r="AR38" s="197" cm="1">
        <f t="array" ref="AR38">_xlfn.XLOOKUP(1,($B$6=Retail_DistributionZone)*(AL$29=Retail_CustomerType)*(AL$30=Retail_TariffType)*("Total inc GST"=Retail_Description),Retail_FY_CostTotal)</f>
        <v>393.99799115498598</v>
      </c>
      <c r="AS38" s="198">
        <f>AR38/AL$40</f>
        <v>8.853887441685078E-2</v>
      </c>
      <c r="AT38" s="204"/>
    </row>
    <row r="39" spans="2:59" ht="15" customHeight="1" x14ac:dyDescent="0.35">
      <c r="I39" s="201" t="s">
        <v>192</v>
      </c>
      <c r="J39" s="201"/>
      <c r="K39" s="197"/>
      <c r="L39" s="197">
        <f>SUM(L35:L38)/(1-RetailMargin_RES)-SUM(L35:L38)</f>
        <v>117.87712650472736</v>
      </c>
      <c r="M39" s="198">
        <f>L39/K$34</f>
        <v>5.998835954439051E-2</v>
      </c>
      <c r="N39" s="198"/>
      <c r="O39" s="202">
        <f>IF(OR(L39=0,Q39=""),"",Q39/L39-1)</f>
        <v>-3.3356318751876168E-2</v>
      </c>
      <c r="P39" s="202">
        <f>(Q39-L39)/K34</f>
        <v>-2.0009908423648404E-3</v>
      </c>
      <c r="Q39" s="197">
        <f>SUM(Q35:Q38)/(1-RetailMargin_RES)-SUM(Q35:Q38)</f>
        <v>113.94517949948045</v>
      </c>
      <c r="R39" s="198">
        <f>Q39/K$40</f>
        <v>6.0002727487878063E-2</v>
      </c>
      <c r="S39" s="198"/>
      <c r="T39" s="200"/>
      <c r="U39" s="197">
        <f>SUM(U35:U38)/(1-RetailMargin_FY_SB)-SUM(U35:U38)</f>
        <v>0</v>
      </c>
      <c r="V39" s="198" t="str">
        <f t="shared" si="8"/>
        <v/>
      </c>
      <c r="W39" s="199"/>
      <c r="X39" s="203" t="str">
        <f t="shared" si="9"/>
        <v/>
      </c>
      <c r="Y39" s="202" t="str">
        <f t="shared" si="10"/>
        <v/>
      </c>
      <c r="Z39" s="197">
        <f>SUM(Z35:Z38)/(1-RetailMargin_RES)-SUM(Z35:Z38)</f>
        <v>113.59757215933314</v>
      </c>
      <c r="AA39" s="198">
        <f>Z39/T$40</f>
        <v>6.0009282704349257E-2</v>
      </c>
      <c r="AB39" s="204"/>
      <c r="AC39" s="200"/>
      <c r="AD39" s="197">
        <f>SUM(AD35:AD38)/(1-RetailMargin_PY_SB)-SUM(AD35:AD38)</f>
        <v>547.52288725690687</v>
      </c>
      <c r="AE39" s="198">
        <f>AD39/AC$34</f>
        <v>0.11001062633251092</v>
      </c>
      <c r="AF39" s="198"/>
      <c r="AG39" s="202">
        <f t="shared" si="11"/>
        <v>-0.50429958383314633</v>
      </c>
      <c r="AH39" s="202">
        <f>(AI39-AD39)/AC34</f>
        <v>-5.5478313076709036E-2</v>
      </c>
      <c r="AI39" s="197">
        <f>SUM(AI35:AI38)/(1-RetailMargin_FY_SB)-SUM(AI35:AI38)</f>
        <v>271.407323074126</v>
      </c>
      <c r="AJ39" s="198">
        <f>AI39/AC$40</f>
        <v>6.0006040918444838E-2</v>
      </c>
      <c r="AK39" s="204"/>
      <c r="AL39" s="665"/>
      <c r="AM39" s="663">
        <f>SUM(AM35:AM38)/(1-RetailMargin_FY_SB)-SUM(AM35:AM38)</f>
        <v>0</v>
      </c>
      <c r="AN39" s="664" t="str">
        <f t="shared" si="12"/>
        <v/>
      </c>
      <c r="AO39" s="199"/>
      <c r="AP39" s="203" t="str">
        <f t="shared" si="13"/>
        <v/>
      </c>
      <c r="AQ39" s="202" t="str">
        <f t="shared" si="14"/>
        <v/>
      </c>
      <c r="AR39" s="197">
        <f>SUM(AR35:AR38)/(1-RetailMargin_FY_SB)-SUM(AR35:AR38)</f>
        <v>267.02609285982817</v>
      </c>
      <c r="AS39" s="198">
        <f>AR39/AL$40</f>
        <v>6.0005863564006327E-2</v>
      </c>
      <c r="AT39" s="204"/>
    </row>
    <row r="40" spans="2:59" ht="14.5" thickBot="1" x14ac:dyDescent="0.4">
      <c r="B40" s="181"/>
      <c r="I40" s="205" t="str">
        <f>"DMO "&amp;FY&amp;" price"</f>
        <v>DMO 2026-27 price</v>
      </c>
      <c r="J40" s="205"/>
      <c r="K40" s="545">
        <f>ROUND(SUM(Q35:Q39),0)</f>
        <v>1899</v>
      </c>
      <c r="L40" s="207"/>
      <c r="M40" s="207"/>
      <c r="N40" s="207"/>
      <c r="O40" s="207">
        <f>K40/K34-1</f>
        <v>-3.3587786259541952E-2</v>
      </c>
      <c r="P40" s="207"/>
      <c r="Q40" s="207"/>
      <c r="R40" s="207"/>
      <c r="S40" s="207"/>
      <c r="T40" s="545">
        <f>ROUND(SUM(Z35:Z39),0)</f>
        <v>1893</v>
      </c>
      <c r="U40" s="206"/>
      <c r="V40" s="207"/>
      <c r="W40" s="207"/>
      <c r="X40" s="207" t="str">
        <f>IFERROR(T40/T34-1,"")</f>
        <v/>
      </c>
      <c r="Y40" s="207"/>
      <c r="Z40" s="207"/>
      <c r="AA40" s="207"/>
      <c r="AB40" s="208"/>
      <c r="AC40" s="545">
        <f>ROUND(SUM(AI35:AI39),0)</f>
        <v>4523</v>
      </c>
      <c r="AD40" s="206"/>
      <c r="AE40" s="207"/>
      <c r="AF40" s="207"/>
      <c r="AG40" s="207">
        <f>AC40/AC34-1</f>
        <v>-9.1219610206952018E-2</v>
      </c>
      <c r="AH40" s="207"/>
      <c r="AI40" s="207"/>
      <c r="AJ40" s="207"/>
      <c r="AK40" s="208"/>
      <c r="AL40" s="545">
        <f>ROUND(SUM(AR35:AR39),0)</f>
        <v>4450</v>
      </c>
      <c r="AM40" s="206"/>
      <c r="AN40" s="207"/>
      <c r="AO40" s="207"/>
      <c r="AP40" s="207" t="str">
        <f>IFERROR(AL40/AL34-1,"")</f>
        <v/>
      </c>
      <c r="AQ40" s="207"/>
      <c r="AR40" s="207"/>
      <c r="AS40" s="207"/>
      <c r="AT40" s="208"/>
    </row>
    <row r="41" spans="2:59" ht="14.5" thickTop="1" x14ac:dyDescent="0.35">
      <c r="I41" s="209"/>
      <c r="K41" s="210"/>
      <c r="L41" s="210"/>
      <c r="P41" s="211"/>
      <c r="Q41" s="212"/>
      <c r="T41" s="210"/>
      <c r="Z41" s="212"/>
    </row>
    <row r="42" spans="2:59" s="213" customFormat="1" x14ac:dyDescent="0.35">
      <c r="K42" s="214"/>
      <c r="O42" s="215"/>
      <c r="P42" s="211"/>
      <c r="Q42" s="216"/>
      <c r="R42" s="216"/>
      <c r="S42" s="216"/>
      <c r="U42" s="214"/>
      <c r="Z42" s="216"/>
    </row>
    <row r="43" spans="2:59" s="66" customFormat="1" x14ac:dyDescent="0.35">
      <c r="O43" s="518"/>
      <c r="P43" s="519"/>
      <c r="Q43" s="508"/>
      <c r="R43" s="508"/>
      <c r="S43" s="508"/>
      <c r="Z43" s="508"/>
    </row>
    <row r="44" spans="2:59" s="66" customFormat="1" x14ac:dyDescent="0.35">
      <c r="BC44" s="160"/>
      <c r="BD44" s="160"/>
      <c r="BE44" s="160"/>
      <c r="BF44" s="160"/>
      <c r="BG44" s="160"/>
    </row>
    <row r="45" spans="2:59" s="160" customFormat="1" ht="14.5" x14ac:dyDescent="0.35">
      <c r="H45" s="217"/>
      <c r="I45" s="585" t="s">
        <v>125</v>
      </c>
      <c r="V45" s="160" t="s">
        <v>278</v>
      </c>
      <c r="W45" s="160" t="s">
        <v>279</v>
      </c>
      <c r="Y45" s="160" t="s">
        <v>272</v>
      </c>
      <c r="Z45" s="160" t="s">
        <v>278</v>
      </c>
      <c r="AA45" s="160" t="s">
        <v>279</v>
      </c>
      <c r="AM45" s="160" t="s">
        <v>278</v>
      </c>
      <c r="AN45" s="160" t="s">
        <v>279</v>
      </c>
      <c r="AO45" s="160" t="s">
        <v>272</v>
      </c>
      <c r="AR45" s="160" t="s">
        <v>278</v>
      </c>
      <c r="AS45" s="160" t="s">
        <v>279</v>
      </c>
      <c r="AT45" s="160" t="s">
        <v>272</v>
      </c>
      <c r="AW45" s="671"/>
      <c r="AX45" s="160" t="s">
        <v>125</v>
      </c>
      <c r="AZ45" s="160" t="s">
        <v>272</v>
      </c>
      <c r="BA45" s="160" t="s">
        <v>278</v>
      </c>
      <c r="BB45" s="160" t="s">
        <v>279</v>
      </c>
    </row>
    <row r="46" spans="2:59" s="219" customFormat="1" ht="15" customHeight="1" x14ac:dyDescent="0.35">
      <c r="I46" s="220" t="s">
        <v>32</v>
      </c>
      <c r="J46" s="221"/>
      <c r="K46" s="220"/>
      <c r="L46" s="907" t="s">
        <v>6</v>
      </c>
      <c r="M46" s="907"/>
      <c r="N46" s="907"/>
      <c r="O46" s="907"/>
      <c r="P46" s="907"/>
      <c r="Q46" s="907"/>
      <c r="R46" s="223"/>
      <c r="S46" s="30"/>
      <c r="T46" s="220"/>
      <c r="U46" s="907" t="s">
        <v>6</v>
      </c>
      <c r="V46" s="907"/>
      <c r="W46" s="907"/>
      <c r="X46" s="907"/>
      <c r="Y46" s="907"/>
      <c r="Z46" s="907"/>
      <c r="AA46" s="220"/>
      <c r="AB46" s="220"/>
      <c r="AC46" s="220"/>
      <c r="AD46" s="907" t="s">
        <v>76</v>
      </c>
      <c r="AE46" s="907"/>
      <c r="AF46" s="907"/>
      <c r="AG46" s="907"/>
      <c r="AH46" s="907"/>
      <c r="AI46" s="907"/>
      <c r="AJ46" s="220"/>
      <c r="AK46" s="220"/>
      <c r="AL46" s="907" t="s">
        <v>76</v>
      </c>
      <c r="AM46" s="907"/>
      <c r="AN46" s="907"/>
      <c r="AO46" s="907"/>
      <c r="AP46" s="907"/>
      <c r="AQ46" s="907"/>
      <c r="AR46" s="907"/>
      <c r="AS46" s="907"/>
      <c r="AT46" s="907"/>
      <c r="AU46" s="220"/>
      <c r="AV46" s="223"/>
      <c r="AW46" s="30"/>
      <c r="AX46" s="546" t="s">
        <v>32</v>
      </c>
      <c r="AY46" s="546"/>
      <c r="AZ46" s="900" t="s">
        <v>6</v>
      </c>
      <c r="BA46" s="900"/>
      <c r="BB46" s="900"/>
      <c r="BC46" s="546"/>
      <c r="BD46" s="160"/>
      <c r="BE46" s="160"/>
      <c r="BF46" s="160"/>
      <c r="BG46" s="160"/>
    </row>
    <row r="47" spans="2:59" s="219" customFormat="1" ht="15.75" customHeight="1" thickBot="1" x14ac:dyDescent="0.4">
      <c r="I47" s="220"/>
      <c r="J47" s="220"/>
      <c r="K47" s="220"/>
      <c r="L47" s="905" t="s">
        <v>19</v>
      </c>
      <c r="M47" s="905"/>
      <c r="N47" s="905"/>
      <c r="O47" s="905"/>
      <c r="P47" s="905"/>
      <c r="Q47" s="905"/>
      <c r="R47" s="223"/>
      <c r="S47" s="30"/>
      <c r="T47" s="515"/>
      <c r="U47" s="905" t="s">
        <v>257</v>
      </c>
      <c r="V47" s="905"/>
      <c r="W47" s="905"/>
      <c r="X47" s="905"/>
      <c r="Y47" s="905"/>
      <c r="Z47" s="905"/>
      <c r="AA47" s="515"/>
      <c r="AB47" s="220"/>
      <c r="AC47" s="515"/>
      <c r="AD47" s="905" t="s">
        <v>19</v>
      </c>
      <c r="AE47" s="905"/>
      <c r="AF47" s="905"/>
      <c r="AG47" s="905"/>
      <c r="AH47" s="905"/>
      <c r="AI47" s="905"/>
      <c r="AJ47" s="515"/>
      <c r="AK47" s="220"/>
      <c r="AL47" s="905" t="s">
        <v>272</v>
      </c>
      <c r="AM47" s="905"/>
      <c r="AN47" s="905"/>
      <c r="AO47" s="905"/>
      <c r="AP47" s="905"/>
      <c r="AQ47" s="905"/>
      <c r="AR47" s="905"/>
      <c r="AS47" s="905"/>
      <c r="AT47" s="905"/>
      <c r="AU47" s="515"/>
      <c r="AV47" s="223"/>
      <c r="AW47" s="30"/>
      <c r="AX47" s="546"/>
      <c r="AY47" s="546"/>
      <c r="AZ47" s="899" t="s">
        <v>300</v>
      </c>
      <c r="BA47" s="899"/>
      <c r="BB47" s="899"/>
      <c r="BC47" s="546"/>
      <c r="BD47" s="160"/>
      <c r="BE47" s="160"/>
      <c r="BF47" s="160"/>
      <c r="BG47" s="160"/>
    </row>
    <row r="48" spans="2:59" s="219" customFormat="1" ht="15.75" customHeight="1" thickBot="1" x14ac:dyDescent="0.4">
      <c r="I48" s="220"/>
      <c r="J48" s="221"/>
      <c r="K48" s="222"/>
      <c r="L48" s="910" t="str">
        <f>PY</f>
        <v>2025-26</v>
      </c>
      <c r="M48" s="910"/>
      <c r="N48" s="222"/>
      <c r="O48" s="225"/>
      <c r="P48" s="910" t="str">
        <f>FY</f>
        <v>2026-27</v>
      </c>
      <c r="Q48" s="910"/>
      <c r="R48" s="223"/>
      <c r="S48" s="30"/>
      <c r="T48" s="517"/>
      <c r="U48" s="910" t="str">
        <f>PY</f>
        <v>2025-26</v>
      </c>
      <c r="V48" s="910"/>
      <c r="W48" s="222"/>
      <c r="X48" s="225"/>
      <c r="Y48" s="910" t="str">
        <f>FY</f>
        <v>2026-27</v>
      </c>
      <c r="Z48" s="910"/>
      <c r="AA48" s="517"/>
      <c r="AB48" s="220"/>
      <c r="AC48" s="517"/>
      <c r="AD48" s="910" t="str">
        <f>PY</f>
        <v>2025-26</v>
      </c>
      <c r="AE48" s="910"/>
      <c r="AF48" s="222"/>
      <c r="AG48" s="225"/>
      <c r="AH48" s="910" t="str">
        <f>FY</f>
        <v>2026-27</v>
      </c>
      <c r="AI48" s="910"/>
      <c r="AJ48" s="517"/>
      <c r="AK48" s="220"/>
      <c r="AL48" s="905" t="str">
        <f>PY</f>
        <v>2025-26</v>
      </c>
      <c r="AM48" s="905"/>
      <c r="AN48" s="905"/>
      <c r="AO48" s="905"/>
      <c r="AP48" s="220"/>
      <c r="AQ48" s="905" t="str">
        <f>FY</f>
        <v>2026-27</v>
      </c>
      <c r="AR48" s="905"/>
      <c r="AS48" s="905"/>
      <c r="AT48" s="905"/>
      <c r="AU48" s="517"/>
      <c r="AV48" s="223"/>
      <c r="AW48" s="30"/>
      <c r="AX48" s="546"/>
      <c r="AY48" s="547"/>
      <c r="AZ48" s="898" t="str">
        <f>FY</f>
        <v>2026-27</v>
      </c>
      <c r="BA48" s="898"/>
      <c r="BB48" s="898"/>
      <c r="BC48" s="547"/>
      <c r="BD48" s="160"/>
      <c r="BE48" s="160"/>
      <c r="BF48" s="160"/>
      <c r="BG48" s="160"/>
    </row>
    <row r="49" spans="1:72" s="228" customFormat="1" ht="27" customHeight="1" x14ac:dyDescent="0.35">
      <c r="I49" s="220"/>
      <c r="J49" s="226"/>
      <c r="K49" s="224"/>
      <c r="L49" s="225" t="s">
        <v>46</v>
      </c>
      <c r="M49" s="225" t="s">
        <v>47</v>
      </c>
      <c r="N49" s="225"/>
      <c r="O49" s="225"/>
      <c r="P49" s="225" t="s">
        <v>46</v>
      </c>
      <c r="Q49" s="225" t="s">
        <v>47</v>
      </c>
      <c r="R49" s="223"/>
      <c r="S49" s="30"/>
      <c r="T49" s="516"/>
      <c r="U49" s="225" t="s">
        <v>46</v>
      </c>
      <c r="V49" s="902" t="s">
        <v>47</v>
      </c>
      <c r="W49" s="902"/>
      <c r="X49" s="225"/>
      <c r="Y49" s="225" t="s">
        <v>46</v>
      </c>
      <c r="Z49" s="902" t="s">
        <v>47</v>
      </c>
      <c r="AA49" s="902"/>
      <c r="AB49" s="220"/>
      <c r="AC49" s="306"/>
      <c r="AD49" s="225" t="s">
        <v>46</v>
      </c>
      <c r="AE49" s="225" t="s">
        <v>47</v>
      </c>
      <c r="AF49" s="225"/>
      <c r="AG49" s="225"/>
      <c r="AH49" s="225" t="s">
        <v>46</v>
      </c>
      <c r="AI49" s="225" t="s">
        <v>47</v>
      </c>
      <c r="AJ49" s="227"/>
      <c r="AK49" s="220"/>
      <c r="AL49" s="225" t="s">
        <v>46</v>
      </c>
      <c r="AM49" s="901" t="s">
        <v>47</v>
      </c>
      <c r="AN49" s="901"/>
      <c r="AO49" s="901"/>
      <c r="AP49" s="225"/>
      <c r="AQ49" s="225" t="s">
        <v>46</v>
      </c>
      <c r="AR49" s="901" t="s">
        <v>47</v>
      </c>
      <c r="AS49" s="901"/>
      <c r="AT49" s="901"/>
      <c r="AU49" s="225"/>
      <c r="AV49" s="223"/>
      <c r="AW49" s="30"/>
      <c r="AX49" s="546"/>
      <c r="AY49" s="549"/>
      <c r="AZ49" s="548" t="s">
        <v>46</v>
      </c>
      <c r="BA49" s="897" t="s">
        <v>47</v>
      </c>
      <c r="BB49" s="897"/>
      <c r="BC49" s="549"/>
      <c r="BD49" s="160"/>
      <c r="BE49" s="160"/>
      <c r="BF49" s="160"/>
      <c r="BG49" s="160"/>
    </row>
    <row r="50" spans="1:72" s="228" customFormat="1" ht="25" x14ac:dyDescent="0.35">
      <c r="I50" s="220"/>
      <c r="J50" s="226"/>
      <c r="K50" s="223"/>
      <c r="L50" s="44" t="s">
        <v>262</v>
      </c>
      <c r="M50" s="44" t="s">
        <v>268</v>
      </c>
      <c r="N50" s="44"/>
      <c r="O50" s="44"/>
      <c r="P50" s="44" t="s">
        <v>262</v>
      </c>
      <c r="Q50" s="44" t="s">
        <v>268</v>
      </c>
      <c r="R50" s="223"/>
      <c r="S50" s="30"/>
      <c r="T50" s="44"/>
      <c r="U50" s="44" t="s">
        <v>262</v>
      </c>
      <c r="V50" s="44" t="s">
        <v>263</v>
      </c>
      <c r="W50" s="44" t="s">
        <v>264</v>
      </c>
      <c r="X50" s="44"/>
      <c r="Y50" s="44" t="s">
        <v>262</v>
      </c>
      <c r="Z50" s="44" t="s">
        <v>263</v>
      </c>
      <c r="AA50" s="44" t="s">
        <v>264</v>
      </c>
      <c r="AB50" s="44"/>
      <c r="AC50" s="44"/>
      <c r="AD50" s="44" t="s">
        <v>262</v>
      </c>
      <c r="AE50" s="44" t="s">
        <v>268</v>
      </c>
      <c r="AF50" s="44"/>
      <c r="AG50" s="44"/>
      <c r="AH50" s="44" t="s">
        <v>262</v>
      </c>
      <c r="AI50" s="44" t="s">
        <v>268</v>
      </c>
      <c r="AJ50" s="44"/>
      <c r="AK50" s="44"/>
      <c r="AL50" s="44" t="s">
        <v>272</v>
      </c>
      <c r="AM50" s="44" t="s">
        <v>263</v>
      </c>
      <c r="AN50" s="44" t="s">
        <v>264</v>
      </c>
      <c r="AO50" s="44"/>
      <c r="AP50" s="44"/>
      <c r="AQ50" s="44" t="s">
        <v>272</v>
      </c>
      <c r="AR50" s="44" t="s">
        <v>263</v>
      </c>
      <c r="AS50" s="44" t="s">
        <v>264</v>
      </c>
      <c r="AT50" s="44"/>
      <c r="AU50" s="44"/>
      <c r="AV50" s="223"/>
      <c r="AW50" s="30"/>
      <c r="AX50" s="546"/>
      <c r="AY50" s="549"/>
      <c r="AZ50" s="550" t="s">
        <v>262</v>
      </c>
      <c r="BA50" s="550" t="s">
        <v>263</v>
      </c>
      <c r="BB50" s="550" t="s">
        <v>264</v>
      </c>
      <c r="BC50" s="549"/>
      <c r="BD50" s="160"/>
      <c r="BE50" s="160"/>
      <c r="BF50" s="160"/>
      <c r="BG50" s="160"/>
    </row>
    <row r="51" spans="1:72" x14ac:dyDescent="0.35">
      <c r="I51" s="196"/>
      <c r="J51" s="196"/>
      <c r="K51" s="197"/>
      <c r="L51" s="229" t="s">
        <v>266</v>
      </c>
      <c r="M51" s="229" t="s">
        <v>246</v>
      </c>
      <c r="N51" s="229"/>
      <c r="O51" s="229"/>
      <c r="P51" s="229" t="s">
        <v>266</v>
      </c>
      <c r="Q51" s="229" t="s">
        <v>246</v>
      </c>
      <c r="R51" s="198"/>
      <c r="T51" s="229"/>
      <c r="U51" s="229" t="s">
        <v>266</v>
      </c>
      <c r="V51" s="229" t="s">
        <v>246</v>
      </c>
      <c r="W51" s="229" t="s">
        <v>246</v>
      </c>
      <c r="X51" s="229"/>
      <c r="Y51" s="229" t="s">
        <v>266</v>
      </c>
      <c r="Z51" s="229" t="s">
        <v>246</v>
      </c>
      <c r="AA51" s="229" t="s">
        <v>246</v>
      </c>
      <c r="AB51" s="229"/>
      <c r="AC51" s="229"/>
      <c r="AD51" s="229" t="s">
        <v>266</v>
      </c>
      <c r="AE51" s="229" t="s">
        <v>246</v>
      </c>
      <c r="AF51" s="230"/>
      <c r="AG51" s="230"/>
      <c r="AH51" s="229" t="s">
        <v>266</v>
      </c>
      <c r="AI51" s="229" t="s">
        <v>246</v>
      </c>
      <c r="AJ51" s="229"/>
      <c r="AK51" s="229"/>
      <c r="AL51" s="229" t="s">
        <v>266</v>
      </c>
      <c r="AM51" s="229" t="s">
        <v>246</v>
      </c>
      <c r="AN51" s="229" t="s">
        <v>246</v>
      </c>
      <c r="AO51" s="229"/>
      <c r="AP51" s="230"/>
      <c r="AQ51" s="229" t="s">
        <v>266</v>
      </c>
      <c r="AR51" s="229" t="s">
        <v>246</v>
      </c>
      <c r="AS51" s="229" t="s">
        <v>246</v>
      </c>
      <c r="AT51" s="229"/>
      <c r="AU51" s="229"/>
      <c r="AV51" s="198"/>
      <c r="AX51" s="196"/>
      <c r="AY51" s="196"/>
      <c r="AZ51" s="229" t="s">
        <v>266</v>
      </c>
      <c r="BA51" s="229" t="s">
        <v>246</v>
      </c>
      <c r="BB51" s="229" t="s">
        <v>246</v>
      </c>
      <c r="BC51" s="196"/>
    </row>
    <row r="52" spans="1:72" x14ac:dyDescent="0.35">
      <c r="I52" s="201" t="s">
        <v>63</v>
      </c>
      <c r="J52" s="201"/>
      <c r="K52" s="197"/>
      <c r="L52" s="231" cm="1">
        <f t="array" ref="L52">(_xlfn.XLOOKUP(1,($A$2=Wholesale_DistributionZone)*($L$46=Wholesale_CustomerType)*($L$47=Wholesale_TariffType)*("Total"=Wholesale_Description),Wholesale_PY_FixedFees)*1.1/Days)*100</f>
        <v>4.1695256295746885</v>
      </c>
      <c r="M52" s="231" cm="1">
        <f t="array" ref="M52">_xlfn.XLOOKUP(1,($A$2=Wholesale_DistributionZone)*($L$46=Wholesale_CustomerType)*($L$47=Wholesale_TariffType)*("Total"=Wholesale_Description),Wholesale_PY_VarFees)*1.1/10</f>
        <v>18.942403145474024</v>
      </c>
      <c r="N52" s="232"/>
      <c r="O52" s="233"/>
      <c r="P52" s="231" cm="1">
        <f t="array" ref="P52">(_xlfn.XLOOKUP(1,($A$2=Wholesale_DistributionZone)*($L$46=Wholesale_CustomerType)*($L$47=Wholesale_TariffType)*("Total"=Wholesale_Description),Wholesale_FY_FixedFees)*1.1/Days)*100</f>
        <v>3.9556</v>
      </c>
      <c r="Q52" s="231" cm="1">
        <f t="array" ref="Q52">_xlfn.XLOOKUP(1,($A$2=Wholesale_DistributionZone)*($L$46=Wholesale_CustomerType)*($L$47=Wholesale_TariffType)*("Total"=Wholesale_Description),Wholesale_FY_VarFees)*1.1/10</f>
        <v>16.393514744650428</v>
      </c>
      <c r="R52" s="198"/>
      <c r="T52" s="232"/>
      <c r="U52" s="669" cm="1">
        <f t="array" ref="U52">(_xlfn.XLOOKUP(1,($A$2=Wholesale_DistributionZone)*($U$46=Wholesale_CustomerType)*($U$47=Wholesale_TariffType)*("Total"=Wholesale_Description),Wholesale_PY_FixedFees)*1.1/365)*100</f>
        <v>0</v>
      </c>
      <c r="V52" s="669" cm="1">
        <f t="array" ref="V52">_xlfn.XLOOKUP(1,($A$2=Wholesale_DistributionZone)*($L$46=Wholesale_CustomerType)*($U$47=Wholesale_TariffType)*("Total"=Wholesale_Description),Wholesale_PY_VarFees)*1.1/10</f>
        <v>0</v>
      </c>
      <c r="W52" s="666" cm="1">
        <f t="array" ref="W52">_xlfn.XLOOKUP(1,($A$2=Wholesale_DistributionZone)*($U$46=Wholesale_CustomerType)*(U$47=Wholesale_TariffType)*("Total"=Wholesale_Description),Wholesale_PY_VarFees)*1.1/10</f>
        <v>0</v>
      </c>
      <c r="X52" s="233"/>
      <c r="Y52" s="231" cm="1">
        <f t="array" ref="Y52">(_xlfn.XLOOKUP(1,($A$2=Wholesale_DistributionZone)*($L$46=Wholesale_CustomerType)*($U$47=Wholesale_TariffType)*("Total"=Wholesale_Description),Wholesale_FY_FixedFees)*1.1/Days)*100</f>
        <v>3.9556</v>
      </c>
      <c r="Z52" s="231" cm="1">
        <f t="array" ref="Z52">_xlfn.XLOOKUP(1,($A$2=Wholesale_DistributionZone)*($U$46=Wholesale_CustomerType)*($Z$45=Wholesale_TariffType)*("Total"=Wholesale_Description),Wholesale_FY_VarFees)*1.1/10</f>
        <v>19.596887874780272</v>
      </c>
      <c r="AA52" s="232" cm="1">
        <f t="array" ref="AA52">_xlfn.XLOOKUP(1,($A$2=Wholesale_DistributionZone)*($U$46=Wholesale_CustomerType)*(AA$45=Wholesale_TariffType)*("Total"=Wholesale_Description),Wholesale_FY_VarFees)*1.1/10</f>
        <v>15.483823028856772</v>
      </c>
      <c r="AB52" s="232"/>
      <c r="AC52" s="232"/>
      <c r="AD52" s="231" cm="1">
        <f t="array" ref="AD52">_xlfn.XLOOKUP(1,($A$2=Wholesale_DistributionZone)*($AD$46=Wholesale_CustomerType)*(AD$47=Wholesale_TariffType)*("Total"=Wholesale_Description),Wholesale_PY_FixedFees)*1.1/Days*100</f>
        <v>4.1695256295746885</v>
      </c>
      <c r="AE52" s="231" cm="1">
        <f t="array" ref="AE52">_xlfn.XLOOKUP(1,($A$2=Wholesale_DistributionZone)*($AD$46=Wholesale_CustomerType)*(AD$47=Wholesale_TariffType)*("Total"=Wholesale_Description),Wholesale_PY_VarFees)*1.1/10</f>
        <v>18.942403145474024</v>
      </c>
      <c r="AF52" s="231"/>
      <c r="AG52" s="243"/>
      <c r="AH52" s="231" cm="1">
        <f t="array" ref="AH52">_xlfn.XLOOKUP(1,($A$2=Wholesale_DistributionZone)*($AD$46=Wholesale_CustomerType)*(AD$47=Wholesale_TariffType)*("Total"=Wholesale_Description),Wholesale_FY_FixedFees)*1.1/Days*100</f>
        <v>3.9556</v>
      </c>
      <c r="AI52" s="231" cm="1">
        <f t="array" ref="AI52">_xlfn.XLOOKUP(1,($A$2=Wholesale_DistributionZone)*($AD$46=Wholesale_CustomerType)*(AD$47=Wholesale_TariffType)*("Total"=Wholesale_Description),Wholesale_FY_VarFees)*1.1/10</f>
        <v>16.393514744650428</v>
      </c>
      <c r="AJ52" s="232"/>
      <c r="AK52" s="232"/>
      <c r="AL52" s="666" cm="1">
        <f t="array" ref="AL52">_xlfn.XLOOKUP(1,($A$2=Wholesale_DistributionZone)*($AL$46=Wholesale_CustomerType)*(AL$50=Wholesale_TariffType)*("Total"=Wholesale_Description),Wholesale_PY_FixedFees)*1.1/365*100</f>
        <v>0</v>
      </c>
      <c r="AM52" s="666" cm="1">
        <f t="array" ref="AM52">_xlfn.XLOOKUP(1,($A$2=Wholesale_DistributionZone)*($AL$46=Wholesale_CustomerType)*(AM$45=Wholesale_TariffType)*("Total"=Wholesale_Description),Wholesale_PY_VarFees)*1.1/10</f>
        <v>0</v>
      </c>
      <c r="AN52" s="666" cm="1">
        <f t="array" ref="AN52">_xlfn.XLOOKUP(1,($A$2=Wholesale_DistributionZone)*($AL$46=Wholesale_CustomerType)*(AN$45=Wholesale_TariffType)*("Total"=Wholesale_Description),Wholesale_PY_VarFees)*1.1/10</f>
        <v>0</v>
      </c>
      <c r="AO52" s="286"/>
      <c r="AP52" s="235"/>
      <c r="AQ52" s="232" cm="1">
        <f t="array" ref="AQ52">_xlfn.XLOOKUP(1,($A$2=Wholesale_DistributionZone)*($AL$46=Wholesale_CustomerType)*(AQ$50=Wholesale_TariffType)*("Total"=Wholesale_Description),Wholesale_FY_FixedFees)*1.1/Days*100</f>
        <v>3.9556</v>
      </c>
      <c r="AR52" s="232" cm="1">
        <f t="array" ref="AR52">_xlfn.XLOOKUP(1,($A$2=Wholesale_DistributionZone)*($AL$46=Wholesale_CustomerType)*(AR$45=Wholesale_TariffType)*("Total"=Wholesale_Description),Wholesale_FY_VarFees)*1.1/10</f>
        <v>22.233375019178915</v>
      </c>
      <c r="AS52" s="232" cm="1">
        <f t="array" ref="AS52">_xlfn.XLOOKUP(1,($A$2=Wholesale_DistributionZone)*($AL$46=Wholesale_CustomerType)*(AS$45=Wholesale_TariffType)*("Total"=Wholesale_Description),Wholesale_FY_VarFees)*1.1/10</f>
        <v>15.604463587812925</v>
      </c>
      <c r="AT52" s="232"/>
      <c r="AU52" s="232"/>
      <c r="AV52" s="198"/>
      <c r="AX52" s="552" t="s">
        <v>63</v>
      </c>
      <c r="AY52" s="232"/>
      <c r="AZ52" s="231" cm="1">
        <f t="array" ref="AZ52">(_xlfn.XLOOKUP(1,($A$2=Wholesale_DistributionZone)*($AZ$46=Wholesale_CustomerType)*($AZ$45=Wholesale_TariffType)*("Total"=Wholesale_Description),Wholesale_FY_FixedFees)*1.1/365)*100</f>
        <v>3.9556</v>
      </c>
      <c r="BA52" s="231" cm="1">
        <f t="array" ref="BA52">_xlfn.XLOOKUP(1,($A$2=Wholesale_DistributionZone)*($AZ$46=Wholesale_CustomerType)*($BA$45=Wholesale_TariffType)*("Total"=Wholesale_Description),Wholesale_FY_VarFees)*1.1/10</f>
        <v>19.596887874780272</v>
      </c>
      <c r="BB52" s="232" cm="1">
        <f t="array" ref="BB52">_xlfn.XLOOKUP(1,($A$2=Wholesale_DistributionZone)*($AZ$46=Wholesale_CustomerType)*(BB$45=Wholesale_TariffType)*("Total"=Wholesale_Description),Wholesale_FY_VarFees)*1.1/10</f>
        <v>15.483823028856772</v>
      </c>
      <c r="BC52" s="232"/>
    </row>
    <row r="53" spans="1:72" x14ac:dyDescent="0.35">
      <c r="I53" s="201" t="s">
        <v>62</v>
      </c>
      <c r="J53" s="201"/>
      <c r="K53" s="197"/>
      <c r="L53" s="231" cm="1">
        <f t="array" ref="L53">(_xlfn.XLOOKUP(1,($A$2=Network_DistributionZone)*($L$46=Network_CustomerType)*($L$47=Network_TariffType)*("Total"=Network_Description),Network_PY_FixedFees)*1.1/Days)*100</f>
        <v>57.532955926911796</v>
      </c>
      <c r="M53" s="231" cm="1">
        <f t="array" ref="M53">_xlfn.XLOOKUP(1,($A$2=Network_DistributionZone)*($L$46=Network_CustomerType)*($L$47=Network_TariffType)*("Total"=Network_Description),Network_PY_VarFees)*1.1/10</f>
        <v>12.869991605818052</v>
      </c>
      <c r="N53" s="232"/>
      <c r="O53" s="233"/>
      <c r="P53" s="231" cm="1">
        <f t="array" ref="P53">(_xlfn.XLOOKUP(1,($A$2=Network_DistributionZone)*($L$46=Network_CustomerType)*("Blended"=Network_TariffType)*("Total"=Network_Description),Network_FY_FixedFees)*1.1/Days)*100</f>
        <v>68.586658544762784</v>
      </c>
      <c r="Q53" s="231" cm="1">
        <f t="array" ref="Q53">_xlfn.XLOOKUP(1,($A$2=Network_DistributionZone)*($L$46=Network_CustomerType)*("Blended"=Network_TariffType)*("Total"=Network_Description),Network_FY_VarFees)*1.1/10</f>
        <v>13.535614248574413</v>
      </c>
      <c r="R53" s="198"/>
      <c r="T53" s="232"/>
      <c r="U53" s="669" cm="1">
        <f t="array" ref="U53">(_xlfn.XLOOKUP(1,($A$2=Network_DistributionZone)*($U$46=Network_CustomerType)*($U$47=Network_TariffType)*("Total"=Network_Description),Network_PY_FixedFees)*1.1/365)*100</f>
        <v>0</v>
      </c>
      <c r="V53" s="669" cm="1">
        <f t="array" ref="V53">_xlfn.XLOOKUP(1,($A$2=Network_DistributionZone)*($L$46=Network_CustomerType)*($U$47=Network_TariffType)*("Total"=Network_Description),Network_PY_VarFees)*1.1/10</f>
        <v>0</v>
      </c>
      <c r="W53" s="666" cm="1">
        <f t="array" ref="W53">_xlfn.XLOOKUP(1,($A$2=Network_DistributionZone)*($U$46=Network_CustomerType)*(W$45=Network_TariffType),Network_PY_VarFees)*1.1/10</f>
        <v>0</v>
      </c>
      <c r="X53" s="233"/>
      <c r="Y53" s="231" cm="1">
        <f t="array" ref="Y53">(_xlfn.XLOOKUP(1,($A$2=Network_DistributionZone)*($U$46=Network_CustomerType)*($U$47=Network_TariffType)*("Total"=Network_Description),Network_FY_FixedFees)*1.1/Days)*100</f>
        <v>78.157437052206376</v>
      </c>
      <c r="Z53" s="231" cm="1">
        <f t="array" ref="Z53">(_xlfn.XLOOKUP(1,($A$2=Network_DistributionZone)*($U$46=Network_CustomerType)*($Z$45=Network_TariffType),Network_FY_VarFees))*1.1/10</f>
        <v>35.768084635603756</v>
      </c>
      <c r="AA53" s="232" cm="1">
        <f t="array" ref="AA53">_xlfn.XLOOKUP(1,($A$2=Network_DistributionZone)*($U$46=Network_CustomerType)*(AA$45=Network_TariffType),Network_FY_VarFees)*1.1/10</f>
        <v>5.8926667167218625</v>
      </c>
      <c r="AB53" s="232"/>
      <c r="AC53" s="232"/>
      <c r="AD53" s="231" cm="1">
        <f t="array" ref="AD53">_xlfn.XLOOKUP(1,($A$2=Network_DistributionZone)*($AD$46=Network_CustomerType)*(AD$47=Network_TariffType)*("Total"=Network_Description),Network_PY_FixedFees)*1.1/Days*100</f>
        <v>216.7462505745151</v>
      </c>
      <c r="AE53" s="231" cm="1">
        <f t="array" ref="AE53">_xlfn.XLOOKUP(1,($A$2=Network_DistributionZone)*($AD$46=Network_CustomerType)*(AD$47=Network_TariffType)*("Total"=Network_Description),Network_PY_VarFees)*1.1/10</f>
        <v>11.322142733714452</v>
      </c>
      <c r="AF53" s="231"/>
      <c r="AG53" s="243"/>
      <c r="AH53" s="231" cm="1">
        <f t="array" ref="AH53">_xlfn.XLOOKUP(1,($A$2=Network_DistributionZone)*($AD$46=Network_CustomerType)*("Blended"=Network_TariffType)*("Total"=Network_Description),Network_FY_FixedFees)*1.1/Days*100</f>
        <v>238.48252098351486</v>
      </c>
      <c r="AI53" s="231" cm="1">
        <f t="array" ref="AI53">_xlfn.XLOOKUP(1,($A$2=Network_DistributionZone)*($AD$46=Network_CustomerType)*("Blended"=Network_TariffType)*("Total"=Network_Description),Network_FY_VarFees)*1.1/10</f>
        <v>12.118152086043098</v>
      </c>
      <c r="AJ53" s="232"/>
      <c r="AK53" s="232"/>
      <c r="AL53" s="666" cm="1">
        <f t="array" ref="AL53">_xlfn.XLOOKUP(1,($A$2=Network_DistributionZone)*($AL$46=Network_CustomerType)*(AL$50=Network_TariffType)*("Total"=Network_Description),Network_PY_FixedFees)*1.1/365*100</f>
        <v>0</v>
      </c>
      <c r="AM53" s="666" cm="1">
        <f t="array" ref="AM53">_xlfn.XLOOKUP(1,($A$2=Network_DistributionZone)*($AL$46=Network_CustomerType)*(AM$45=Network_TariffType),Network_PY_VarFees)*1.1/10</f>
        <v>0</v>
      </c>
      <c r="AN53" s="666" cm="1">
        <f t="array" ref="AN53">_xlfn.XLOOKUP(1,($A$2=Network_DistributionZone)*($AL$46=Network_CustomerType)*(AN$45=Network_TariffType),Network_PY_VarFees)*1.1/10</f>
        <v>0</v>
      </c>
      <c r="AO53" s="286"/>
      <c r="AP53" s="235"/>
      <c r="AQ53" s="232" cm="1">
        <f t="array" ref="AQ53">_xlfn.XLOOKUP(1,($A$2=Network_DistributionZone)*($AL$46=Network_CustomerType)*(AQ$50=Network_TariffType)*("Total"=Network_Description),Network_FY_FixedFees)*1.1/Days*100</f>
        <v>252.42804790667947</v>
      </c>
      <c r="AR53" s="232" cm="1">
        <f t="array" ref="AR53">_xlfn.XLOOKUP(1,($A$2=Network_DistributionZone)*($AL$46=Network_CustomerType)*(AR$45=Network_TariffType),Network_FY_VarFees)*1.1/10</f>
        <v>43.732662532389384</v>
      </c>
      <c r="AS53" s="232" cm="1">
        <f t="array" ref="AS53">_xlfn.XLOOKUP(1,($A$2=Network_DistributionZone)*($AL$46=Network_CustomerType)*(AS$45=Network_TariffType),Network_FY_VarFees)*1.1/10</f>
        <v>6.4896447542044911</v>
      </c>
      <c r="AT53" s="232"/>
      <c r="AU53" s="232"/>
      <c r="AV53" s="198"/>
      <c r="AX53" s="552" t="s">
        <v>62</v>
      </c>
      <c r="AY53" s="232"/>
      <c r="AZ53" s="231" cm="1">
        <f t="array" ref="AZ53">(_xlfn.XLOOKUP(1,($A$2=Network_DistributionZone)*($AZ$46=Network_CustomerType)*($AZ$45=Network_TariffType)*("Total"=Network_Description),Network_FY_FixedFees)*1.1/365)*100</f>
        <v>78.157437052206376</v>
      </c>
      <c r="BA53" s="231" cm="1">
        <f t="array" ref="BA53">(_xlfn.XLOOKUP(1,($A$2=Network_DistributionZone)*($AZ$46=Network_CustomerType)*($BA$45=Network_TariffType),Network_FY_VarFees))*1.1/10</f>
        <v>35.768084635603756</v>
      </c>
      <c r="BB53" s="232" cm="1">
        <f t="array" ref="BB53">_xlfn.XLOOKUP(1,($A$2=Network_DistributionZone)*($AZ$46=Network_CustomerType)*(BB$45=Network_TariffType),Network_FY_VarFees)*1.1/10</f>
        <v>5.8926667167218625</v>
      </c>
      <c r="BC53" s="232"/>
    </row>
    <row r="54" spans="1:72" x14ac:dyDescent="0.35">
      <c r="I54" s="201" t="s">
        <v>64</v>
      </c>
      <c r="J54" s="201"/>
      <c r="K54" s="197"/>
      <c r="L54" s="231" cm="1">
        <f t="array" ref="L54">(_xlfn.XLOOKUP(1,($A$2=Enviro_DistributionZone)*($L$46=Enviro_CustomerType)*($L$47=Enviro_TariffType)*("Total"=Enviro_Description),Enviro_PY_FixedFees)*1.1/Days)*100</f>
        <v>0</v>
      </c>
      <c r="M54" s="231" cm="1">
        <f t="array" ref="M54">_xlfn.XLOOKUP(1,($A$2=Enviro_DistributionZone)*($L$46=Enviro_CustomerType)*($L$47=Enviro_TariffType)*("Total"=Enviro_Description),Enviro_PY_VarFees)*1.1/10</f>
        <v>1.7520902385503416</v>
      </c>
      <c r="N54" s="232"/>
      <c r="O54" s="233"/>
      <c r="P54" s="231" cm="1">
        <f t="array" ref="P54">(_xlfn.XLOOKUP(1,($A$2=Enviro_DistributionZone)*($L$46=Enviro_CustomerType)*($L$47=Enviro_TariffType)*("Total"=Enviro_Description),Enviro_FY_FixedFees)*1.1/Days)*100</f>
        <v>0</v>
      </c>
      <c r="Q54" s="231" cm="1">
        <f t="array" ref="Q54">_xlfn.XLOOKUP(1,($A$2=Enviro_DistributionZone)*($L$46=Enviro_CustomerType)*($L$47=Enviro_TariffType)*("Total"=Enviro_Description),Enviro_FY_VarFees)*1.1/10</f>
        <v>1.2198424568046842</v>
      </c>
      <c r="R54" s="198"/>
      <c r="T54" s="232"/>
      <c r="U54" s="669" cm="1">
        <f t="array" ref="U54">_xlfn.IFNA((_xlfn.XLOOKUP(1,($A$2=Enviro_DistributionZone)*($U$46=Enviro_CustomerType)*($U$47=Enviro_TariffType)*("Total"=Enviro_Description),Enviro_PY_FixedFees)*1.1/365),0)*100</f>
        <v>0</v>
      </c>
      <c r="V54" s="669" cm="1">
        <f t="array" ref="V54">_xlfn.IFNA(_xlfn.XLOOKUP(1,($A$2=Enviro_DistributionZone)*($L$46=Enviro_CustomerType)*($U$47=Enviro_TariffType)*("Total"=Enviro_Description),Enviro_PY_VarFees),0)*1.1/10</f>
        <v>0</v>
      </c>
      <c r="W54" s="666" cm="1">
        <f t="array" ref="W54">_xlfn.XLOOKUP(1,($A$2=Enviro_DistributionZone)*($U$46=Enviro_CustomerType)*(W$45=Enviro_TariffType)*("Total"=Enviro_Description),Enviro_PY_VarFees)*1.1/10</f>
        <v>0</v>
      </c>
      <c r="X54" s="233"/>
      <c r="Y54" s="231" cm="1">
        <f t="array" ref="Y54">_xlfn.IFNA((_xlfn.XLOOKUP(1,($A$2=Enviro_DistributionZone)*($L$46=Enviro_CustomerType)*($U$47=Enviro_TariffType)*("Total"=Enviro_Description),Enviro_FY_FixedFees)*1.1/Days),0)*100</f>
        <v>0</v>
      </c>
      <c r="Z54" s="231" cm="1">
        <f t="array" ref="Z54">_xlfn.IFNA(_xlfn.XLOOKUP(1,($A$2=Enviro_DistributionZone)*($U$46=Enviro_CustomerType)*($Z$45=Enviro_TariffType)*("Total"=Enviro_Description),Enviro_FY_VarFees),0)*1.1/10</f>
        <v>1.2198424568046842</v>
      </c>
      <c r="AA54" s="232" cm="1">
        <f t="array" ref="AA54">_xlfn.XLOOKUP(1,($A$2=Enviro_DistributionZone)*($U$46=Enviro_CustomerType)*(AA$45=Enviro_TariffType)*("Total"=Enviro_Description),Enviro_FY_VarFees)*1.1/10</f>
        <v>1.2198424568046842</v>
      </c>
      <c r="AB54" s="232"/>
      <c r="AC54" s="232"/>
      <c r="AD54" s="231" cm="1">
        <f t="array" ref="AD54">_xlfn.XLOOKUP(1,($A$2=Enviro_DistributionZone)*($AD$46=Enviro_CustomerType)*(AD$47=Enviro_TariffType)*("Total"=Enviro_Description),Enviro_PY_FixedFees)*1.1/Days*100</f>
        <v>0</v>
      </c>
      <c r="AE54" s="231" cm="1">
        <f t="array" ref="AE54">_xlfn.XLOOKUP(1,($A$2=Enviro_DistributionZone)*($AD$46=Enviro_CustomerType)*(AD$47=Enviro_TariffType)*("Total"=Enviro_Description),Enviro_PY_VarFees)*1.1/10</f>
        <v>1.7520902385503416</v>
      </c>
      <c r="AF54" s="231"/>
      <c r="AG54" s="243"/>
      <c r="AH54" s="231" cm="1">
        <f t="array" ref="AH54">_xlfn.XLOOKUP(1,($A$2=Enviro_DistributionZone)*($AD$46=Enviro_CustomerType)*(AD$47=Enviro_TariffType)*("Total"=Enviro_Description),Enviro_FY_FixedFees)*1.1/Days*100</f>
        <v>0</v>
      </c>
      <c r="AI54" s="231" cm="1">
        <f t="array" ref="AI54">_xlfn.XLOOKUP(1,($A$2=Enviro_DistributionZone)*($AD$46=Enviro_CustomerType)*(AD$47=Enviro_TariffType)*("Total"=Enviro_Description),Enviro_FY_VarFees)*1.1/10</f>
        <v>1.2198424568046842</v>
      </c>
      <c r="AJ54" s="232"/>
      <c r="AK54" s="231"/>
      <c r="AL54" s="666" cm="1">
        <f t="array" ref="AL54">_xlfn.IFNA(_xlfn.XLOOKUP(1,($A$2=Enviro_DistributionZone)*($AL$46=Enviro_CustomerType)*(AL$50=Enviro_TariffType)*("Total"=Enviro_Description),Enviro_PY_FixedFees),0)*1.1/365*100</f>
        <v>0</v>
      </c>
      <c r="AM54" s="666" cm="1">
        <f t="array" ref="AM54">_xlfn.IFNA(_xlfn.XLOOKUP(1,($A$2=Enviro_DistributionZone)*($AL$46=Enviro_CustomerType)*(AM$45=Enviro_TariffType)*("Total"=Enviro_Description),Enviro_PY_VarFees),0)*1.1/10</f>
        <v>0</v>
      </c>
      <c r="AN54" s="666" cm="1">
        <f t="array" ref="AN54">_xlfn.IFNA(_xlfn.XLOOKUP(1,($A$2=Enviro_DistributionZone)*($AL$46=Enviro_CustomerType)*(AN$45=Enviro_TariffType)*("Total"=Enviro_Description),Enviro_PY_VarFees),0)*1.1/10</f>
        <v>0</v>
      </c>
      <c r="AO54" s="286"/>
      <c r="AP54" s="235"/>
      <c r="AQ54" s="232" cm="1">
        <f t="array" ref="AQ54">_xlfn.IFNA(_xlfn.XLOOKUP(1,($A$2=Enviro_DistributionZone)*($AL$46=Enviro_CustomerType)*($AQ$50=Enviro_TariffType)*("Total"=Enviro_Description),Enviro_FY_FixedFees)*1.1/Days,0)*100</f>
        <v>0</v>
      </c>
      <c r="AR54" s="232" cm="1">
        <f t="array" ref="AR54">_xlfn.XLOOKUP(1,($A$2=Enviro_DistributionZone)*($AL$46=Enviro_CustomerType)*(AR$45=Enviro_TariffType)*("Total"=Enviro_Description),Enviro_FY_VarFees)*1.1/10</f>
        <v>1.2198424568046842</v>
      </c>
      <c r="AS54" s="232" cm="1">
        <f t="array" ref="AS54">_xlfn.XLOOKUP(1,($A$2=Enviro_DistributionZone)*($AL$46=Enviro_CustomerType)*(AS$45=Enviro_TariffType)*("Total"=Enviro_Description),Enviro_FY_VarFees)*1.1/10</f>
        <v>1.2198424568046842</v>
      </c>
      <c r="AT54" s="232"/>
      <c r="AU54" s="232"/>
      <c r="AV54" s="198"/>
      <c r="AX54" s="552" t="s">
        <v>64</v>
      </c>
      <c r="AY54" s="232"/>
      <c r="AZ54" s="231" cm="1">
        <f t="array" ref="AZ54">_xlfn.IFNA((_xlfn.XLOOKUP(1,($A$2=Enviro_DistributionZone)*($AZ$46=Enviro_CustomerType)*($AZ$45=Enviro_TariffType)*("Total"=Enviro_Description),Enviro_FY_FixedFees)*1.1/365),0)*100</f>
        <v>0</v>
      </c>
      <c r="BA54" s="231" cm="1">
        <f t="array" ref="BA54">_xlfn.IFNA(_xlfn.XLOOKUP(1,($A$2=Enviro_DistributionZone)*($AZ$46=Enviro_CustomerType)*($BA$45=Enviro_TariffType)*("Total"=Enviro_Description),Enviro_FY_VarFees),0)*1.1/10</f>
        <v>1.2198424568046842</v>
      </c>
      <c r="BB54" s="232" cm="1">
        <f t="array" ref="BB54">_xlfn.XLOOKUP(1,($A$2=Enviro_DistributionZone)*($AZ$46=Enviro_CustomerType)*(BB$45=Enviro_TariffType)*("Total"=Enviro_Description),Enviro_FY_VarFees)*1.1/10</f>
        <v>1.2198424568046842</v>
      </c>
      <c r="BC54" s="232"/>
    </row>
    <row r="55" spans="1:72" x14ac:dyDescent="0.35">
      <c r="I55" s="201" t="s">
        <v>159</v>
      </c>
      <c r="J55" s="201"/>
      <c r="K55" s="197"/>
      <c r="L55" s="231" cm="1">
        <f t="array" ref="L55">((_xlfn.XLOOKUP(1,($A$2=Retail_DistributionZone)*($L$46=Retail_CustomerType)*($L$47=Retail_TariffType)*("Total"=Retail_Description),Retail_PY_FixedFees)*(1+CPIPY))*1.1/Days)*100</f>
        <v>85.619911312063365</v>
      </c>
      <c r="M55" s="231" cm="1">
        <f t="array" ref="M55">(_xlfn.XLOOKUP(1,($A$2=Retail_DistributionZone)*($L$46=Retail_CustomerType)*($L$47=Retail_TariffType)*("Total"=Retail_Description),Retail_PY_VarFees)*(1+CPIPY))*1.1/10</f>
        <v>0</v>
      </c>
      <c r="N55" s="232"/>
      <c r="O55" s="233"/>
      <c r="P55" s="231" cm="1">
        <f t="array" ref="P55">((_xlfn.XLOOKUP(1,($A$2=Retail_DistributionZone)*($L$46=Retail_CustomerType)*($L$47=Retail_TariffType)*("Total"=Retail_Description),Retail_FY_FixedFees)*(1+CPI))*1.1/Days)*100</f>
        <v>83.712880891047121</v>
      </c>
      <c r="Q55" s="231" cm="1">
        <f t="array" ref="Q55">(_xlfn.XLOOKUP(1,($A$2=Retail_DistributionZone)*($L$46=Retail_CustomerType)*($L$47=Retail_TariffType)*("Total"=Retail_Description),Retail_FY_VarFees)*(1+CPI))*1.1/10</f>
        <v>0</v>
      </c>
      <c r="R55" s="198"/>
      <c r="T55" s="232"/>
      <c r="U55" s="669" cm="1">
        <f t="array" ref="U55">((_xlfn.XLOOKUP(1,($A$2=Retail_DistributionZone)*($L$46=Retail_CustomerType)*($U$47=Retail_TariffType)*("Total"=Retail_Description),Retail_PY_FixedFees)*(1+CPIPY))*1.1/365)*100</f>
        <v>0</v>
      </c>
      <c r="V55" s="669" cm="1">
        <f t="array" ref="V55">(_xlfn.XLOOKUP(1,($A$2=Retail_DistributionZone)*($L$46=Retail_CustomerType)*($U$47=Retail_TariffType)*("Total"=Retail_Description),Retail_PY_VarFees)*(1+CPIPY))*1.1/10</f>
        <v>0</v>
      </c>
      <c r="W55" s="666" cm="1">
        <f t="array" ref="W55">_xlfn.IFNA((_xlfn.XLOOKUP(1,($A$2=Retail_DistributionZone)*($U$46=Retail_CustomerType)*(W$45=Retail_TariffType)*("Total"=Retail_Description),Retail_PY_VarFees)*(1+CPI)),0)*1.1/10</f>
        <v>0</v>
      </c>
      <c r="X55" s="233"/>
      <c r="Y55" s="231" cm="1">
        <f t="array" ref="Y55">((_xlfn.XLOOKUP(1,($A$2=Retail_DistributionZone)*($U$46=Retail_CustomerType)*($U$47=Retail_TariffType)*("Total"=Retail_Description),Retail_FY_FixedFees)*(1+CPI))*1.1/Days)*100</f>
        <v>83.712880891047121</v>
      </c>
      <c r="Z55" s="231" cm="1">
        <f t="array" ref="Z55">(_xlfn.XLOOKUP(1,($A$2=Retail_DistributionZone)*($U$46=Retail_CustomerType)*($U$47=Retail_TariffType)*("Total"=Retail_Description),Retail_FY_VarFees)*(1+CPI))*1.1/10</f>
        <v>0</v>
      </c>
      <c r="AA55" s="232" cm="1">
        <f t="array" ref="AA55">_xlfn.IFNA((_xlfn.XLOOKUP(1,($A$2=Retail_DistributionZone)*($U$46=Retail_CustomerType)*(AA$45=Retail_TariffType)*("Total"=Retail_Description),Retail_FY_VarFees)*(1+CPI)),0)*1.1/10</f>
        <v>0</v>
      </c>
      <c r="AB55" s="232"/>
      <c r="AC55" s="232"/>
      <c r="AD55" s="231" cm="1">
        <f t="array" ref="AD55">(_xlfn.XLOOKUP(1,($A$2=Retail_DistributionZone)*($AD$46=Retail_CustomerType)*(AD$47=Retail_TariffType)*("Total"=Retail_Description),Retail_PY_FixedFees)*(1+CPIPY))*1.1/Days*100</f>
        <v>115.60320851202566</v>
      </c>
      <c r="AE55" s="231" cm="1">
        <f t="array" ref="AE55">(_xlfn.XLOOKUP(1,($A$2=Retail_DistributionZone)*($AD$46=Retail_CustomerType)*(AD$47=Retail_TariffType)*("Total"=Retail_Description),Retail_PY_VarFees)*(1+CPIPY))*1.1/10</f>
        <v>0</v>
      </c>
      <c r="AF55" s="231"/>
      <c r="AG55" s="243"/>
      <c r="AH55" s="231" cm="1">
        <f t="array" ref="AH55">(_xlfn.XLOOKUP(1,($A$2=Retail_DistributionZone)*($AD$46=Retail_CustomerType)*(AD$47=Retail_TariffType)*("Total"=Retail_Description),Retail_FY_FixedFees)*(1+CPI))*1.1/Days*100</f>
        <v>107.94465511095508</v>
      </c>
      <c r="AI55" s="231" cm="1">
        <f t="array" ref="AI55">(_xlfn.XLOOKUP(1,($A$2=Retail_DistributionZone)*($AD$46=Retail_CustomerType)*(AD$47=Retail_TariffType)*("Total"=Retail_Description),Retail_FY_VarFees)*(1+CPI))*1.1/10</f>
        <v>0</v>
      </c>
      <c r="AJ55" s="232"/>
      <c r="AK55" s="232"/>
      <c r="AL55" s="666" cm="1">
        <f t="array" ref="AL55">(_xlfn.XLOOKUP(1,($A$2=Retail_DistributionZone)*($AL$46=Retail_CustomerType)*(AL$50=Retail_TariffType)*("Total"=Retail_Description),Retail_PY_FixedFees)*(1+CPIPY))*1.1/365*100</f>
        <v>0</v>
      </c>
      <c r="AM55" s="666" cm="1">
        <f t="array" ref="AM55">_xlfn.IFNA((_xlfn.XLOOKUP(1,($A$2=Retail_DistributionZone)*($AL$46=Retail_CustomerType)*($AL$47=Retail_TariffType)*("Total"=Retail_Description),Retail_PY_VarFees)*(1+CPIPY)),0)*1.1/10</f>
        <v>0</v>
      </c>
      <c r="AN55" s="666" cm="1">
        <f t="array" ref="AN55">_xlfn.IFNA(_xlfn.XLOOKUP(1,($A$2=Retail_DistributionZone)*($AL$46=Retail_CustomerType)*(AL47=Retail_TariffType)*("Total"=Retail_Description),Retail_PY_VarFees)*(1+CPIPY),0)*1.1/10</f>
        <v>0</v>
      </c>
      <c r="AO55" s="286"/>
      <c r="AP55" s="235"/>
      <c r="AQ55" s="232" cm="1">
        <f t="array" ref="AQ55">(_xlfn.XLOOKUP(1,($A$2=Retail_DistributionZone)*($AL$46=Retail_CustomerType)*(AQ$50=Retail_TariffType)*("Total"=Retail_Description),Retail_FY_FixedFees)*(1+CPI))*1.1/Days*100</f>
        <v>107.94465511095508</v>
      </c>
      <c r="AR55" s="232" cm="1">
        <f t="array" ref="AR55">_xlfn.IFNA((_xlfn.XLOOKUP(1,($A$2=Retail_DistributionZone)*($AL$46=Retail_CustomerType)*(AR$45=Retail_TariffType)*("Total"=Retail_Description),Retail_FY_VarFees)*(1+CPI)),0)*1.1/10</f>
        <v>0</v>
      </c>
      <c r="AS55" s="232" cm="1">
        <f t="array" ref="AS55">_xlfn.IFNA((_xlfn.XLOOKUP(1,($A$2=Retail_DistributionZone)*($AL$46=Retail_CustomerType)*(AS$45=Retail_TariffType)*("Total"=Retail_Description),Retail_FY_VarFees)*(1+CPI)),0)*1.1/10</f>
        <v>0</v>
      </c>
      <c r="AT55" s="232"/>
      <c r="AU55" s="232"/>
      <c r="AV55" s="198"/>
      <c r="AX55" s="552" t="s">
        <v>159</v>
      </c>
      <c r="AY55" s="232"/>
      <c r="AZ55" s="231" cm="1">
        <f t="array" ref="AZ55">((_xlfn.XLOOKUP(1,($A$2=Retail_DistributionZone)*($AZ$46=Retail_CustomerType)*($AZ$45=Retail_TariffType)*("Total"=Retail_Description),Retail_FY_FixedFees)*(1+CPI))*1.1/365)*100</f>
        <v>83.712880891047121</v>
      </c>
      <c r="BA55" s="231" cm="1">
        <f t="array" ref="BA55">(_xlfn.XLOOKUP(1,($A$2=Retail_DistributionZone)*($AZ$46=Retail_CustomerType)*($AZ$45=Retail_TariffType)*("Total"=Retail_Description),Retail_FY_VarFees)*(1+CPI))*1.1/10</f>
        <v>0</v>
      </c>
      <c r="BB55" s="232" cm="1">
        <f t="array" ref="BB55">_xlfn.IFNA((_xlfn.XLOOKUP(1,($A$2=Retail_DistributionZone)*($AZ$46=Retail_CustomerType)*(BB$45=Retail_TariffType)*("Total"=Retail_Description),Retail_FY_VarFees)*(1+CPI)),0)*1.1/10</f>
        <v>0</v>
      </c>
      <c r="BC55" s="232"/>
    </row>
    <row r="56" spans="1:72" ht="14.5" thickBot="1" x14ac:dyDescent="0.4">
      <c r="I56" s="201" t="s">
        <v>261</v>
      </c>
      <c r="J56" s="201"/>
      <c r="K56" s="197"/>
      <c r="L56" s="231">
        <f>(SUM(L52:L55)/(1-RetailMargin_RES)-SUM(L52:L55))</f>
        <v>9.4035569916095767</v>
      </c>
      <c r="M56" s="231">
        <f>SUM(M52:M55)/(1-RetailMargin_RES)-SUM(M52:M55)</f>
        <v>2.1424139355218585</v>
      </c>
      <c r="N56" s="232"/>
      <c r="O56" s="233"/>
      <c r="P56" s="231">
        <f>SUM(P52:P55)/(1-RetailMargin_RES)-SUM(P52:P55)</f>
        <v>9.973732304413403</v>
      </c>
      <c r="Q56" s="231">
        <f>SUM(Q52:Q55)/(1-RetailMargin_RES)-SUM(Q52:Q55)</f>
        <v>1.9882322202146554</v>
      </c>
      <c r="R56" s="198"/>
      <c r="T56" s="232"/>
      <c r="U56" s="669">
        <f>(SUM(U52:U55)/(1-RetailMargin_RES)-SUM(U52:U55))</f>
        <v>0</v>
      </c>
      <c r="V56" s="669">
        <f>SUM(V52:V55)/(1-RetailMargin_RES)-SUM(V52:V55)</f>
        <v>0</v>
      </c>
      <c r="W56" s="666">
        <f>SUM(W52:W55)/(1-RetailMargin_RES)-SUM(W52:W55)</f>
        <v>0</v>
      </c>
      <c r="X56" s="233"/>
      <c r="Y56" s="231">
        <f>SUM(Y52:Y55)/(1-RetailMargin_RES)-SUM(Y52:Y55)</f>
        <v>10.584633060207693</v>
      </c>
      <c r="Z56" s="231">
        <f>SUM(Z52:Z55)/(1-RetailMargin_RES)-SUM(Z52:Z55)</f>
        <v>3.6117967000333238</v>
      </c>
      <c r="AA56" s="232">
        <f>SUM(AA52:AA55)/(1-RetailMargin_RES)-SUM(AA52:AA55)</f>
        <v>1.4423190767478715</v>
      </c>
      <c r="AB56" s="232"/>
      <c r="AC56" s="232"/>
      <c r="AD56" s="231">
        <f>SUM(AD52:AD55)/(1-RetailMargin_PY_SB)-SUM(AD52:AD55)</f>
        <v>41.592234066036724</v>
      </c>
      <c r="AE56" s="231">
        <f>SUM(AE52:AE55)/(1-RetailMargin_PY_SB)-SUM(AE52:AE55)</f>
        <v>3.9571123291587327</v>
      </c>
      <c r="AF56" s="231"/>
      <c r="AG56" s="243"/>
      <c r="AH56" s="231">
        <f>SUM(AH52:AH55)/(1-RetailMargin_FY_SB)-SUM(AH52:AH55)</f>
        <v>22.364858048583187</v>
      </c>
      <c r="AI56" s="231">
        <f>SUM(AI52:AI55)/(1-RetailMargin_FY_SB)-SUM(AI52:AI55)</f>
        <v>1.8977559119679732</v>
      </c>
      <c r="AJ56" s="232"/>
      <c r="AK56" s="232"/>
      <c r="AL56" s="666">
        <f>SUM(AL52:AL55)/(1-RetailMargin_PY_SB)-SUM(AL52:AL55)</f>
        <v>0</v>
      </c>
      <c r="AM56" s="666">
        <f>SUM(AM52:AM55)/(1-RetailMargin_PY_SB)-SUM(AM52:AM55)</f>
        <v>0</v>
      </c>
      <c r="AN56" s="666">
        <f>SUM(AN52:AN55)/(1-RetailMargin_PY_SB)-SUM(AN52:AN55)</f>
        <v>0</v>
      </c>
      <c r="AO56" s="286"/>
      <c r="AP56" s="235"/>
      <c r="AQ56" s="232">
        <f>SUM(AQ52:AQ55)/(1-RetailMargin_FY_SB)-SUM(AQ52:AQ55)</f>
        <v>23.25499806495543</v>
      </c>
      <c r="AR56" s="232">
        <f>SUM(AR52:AR55)/(1-RetailMargin_FY_SB)-SUM(AR52:AR55)</f>
        <v>4.288460426066365</v>
      </c>
      <c r="AS56" s="232">
        <f>SUM(AS52:AS55)/(1-RetailMargin_FY_SB)-SUM(AS52:AS55)</f>
        <v>1.4881245190737538</v>
      </c>
      <c r="AT56" s="232"/>
      <c r="AU56" s="232"/>
      <c r="AV56" s="198"/>
      <c r="AX56" s="201" t="s">
        <v>261</v>
      </c>
      <c r="AY56" s="232"/>
      <c r="AZ56" s="231">
        <f>SUM(AZ52:AZ55)/(1-RetailMargin_RES)-SUM(AZ52:AZ55)</f>
        <v>10.584633060207693</v>
      </c>
      <c r="BA56" s="231">
        <f>SUM(BA52:BA55)/(1-RetailMargin_RES)-SUM(BA52:BA55)</f>
        <v>3.6117967000333238</v>
      </c>
      <c r="BB56" s="232">
        <f>SUM(BB52:BB55)/(1-RetailMargin_RES)-SUM(BB52:BB55)</f>
        <v>1.4423190767478715</v>
      </c>
      <c r="BC56" s="232"/>
    </row>
    <row r="57" spans="1:72" s="296" customFormat="1" ht="15" thickTop="1" thickBot="1" x14ac:dyDescent="0.4">
      <c r="I57" s="294" t="s">
        <v>55</v>
      </c>
      <c r="J57" s="294"/>
      <c r="K57" s="295"/>
      <c r="L57" s="236">
        <f>SUM(L52:L56)</f>
        <v>156.72594986015943</v>
      </c>
      <c r="M57" s="236">
        <f>SUM(M52:M56)</f>
        <v>35.706898925364278</v>
      </c>
      <c r="N57" s="236"/>
      <c r="O57" s="243"/>
      <c r="P57" s="236">
        <f>SUM(P52:P56)</f>
        <v>166.2288717402233</v>
      </c>
      <c r="Q57" s="236">
        <f>SUM(Q52:Q56)</f>
        <v>33.137203670244183</v>
      </c>
      <c r="R57" s="295"/>
      <c r="T57" s="236"/>
      <c r="U57" s="667">
        <f>SUM(U52:U56)</f>
        <v>0</v>
      </c>
      <c r="V57" s="667">
        <f>SUM(V52:V56)</f>
        <v>0</v>
      </c>
      <c r="W57" s="667">
        <f>SUM(W52:W56)</f>
        <v>0</v>
      </c>
      <c r="X57" s="243"/>
      <c r="Y57" s="236">
        <f>SUM(Y52:Y56)</f>
        <v>176.41055100346119</v>
      </c>
      <c r="Z57" s="236">
        <f>SUM(Z52:Z56)</f>
        <v>60.196611667222037</v>
      </c>
      <c r="AA57" s="236">
        <f>SUM(AA52:AA56)</f>
        <v>24.038651279131191</v>
      </c>
      <c r="AB57" s="236"/>
      <c r="AC57" s="236"/>
      <c r="AD57" s="236">
        <f>SUM(AD52:AD56)</f>
        <v>378.11121878215215</v>
      </c>
      <c r="AE57" s="236">
        <f>SUM(AE52:AE56)</f>
        <v>35.973748446897552</v>
      </c>
      <c r="AF57" s="298"/>
      <c r="AG57" s="299"/>
      <c r="AH57" s="236">
        <f>SUM(AH52:AH56)</f>
        <v>372.74763414305312</v>
      </c>
      <c r="AI57" s="236">
        <f>SUM(AI52:AI56)</f>
        <v>31.629265199466186</v>
      </c>
      <c r="AJ57" s="236"/>
      <c r="AK57" s="236"/>
      <c r="AL57" s="667">
        <f>SUM(AL52:AL56)</f>
        <v>0</v>
      </c>
      <c r="AM57" s="667">
        <f>SUM(AM52:AM56)</f>
        <v>0</v>
      </c>
      <c r="AN57" s="667">
        <f>SUM(AN52:AN56)</f>
        <v>0</v>
      </c>
      <c r="AO57" s="297"/>
      <c r="AP57" s="298"/>
      <c r="AQ57" s="236">
        <f>SUM(AQ52:AQ56)</f>
        <v>387.58330108258997</v>
      </c>
      <c r="AR57" s="236">
        <f>SUM(AR52:AR56)</f>
        <v>71.474340434439341</v>
      </c>
      <c r="AS57" s="236">
        <f>SUM(AS52:AS56)</f>
        <v>24.802075317895852</v>
      </c>
      <c r="AT57" s="236"/>
      <c r="AU57" s="236"/>
      <c r="AV57" s="295"/>
      <c r="AX57" s="553" t="s">
        <v>339</v>
      </c>
      <c r="AY57" s="551"/>
      <c r="AZ57" s="554" t="s">
        <v>247</v>
      </c>
      <c r="BA57" s="551">
        <f>SSO!$J$9/10</f>
        <v>3.5210865546997434</v>
      </c>
      <c r="BB57" s="551">
        <f>SSO!$J$8/10</f>
        <v>3.5210865546997439</v>
      </c>
      <c r="BC57" s="551"/>
    </row>
    <row r="58" spans="1:72" ht="15" thickTop="1" thickBot="1" x14ac:dyDescent="0.4">
      <c r="I58" s="205"/>
      <c r="J58" s="205"/>
      <c r="K58" s="206"/>
      <c r="L58" s="237"/>
      <c r="M58" s="237"/>
      <c r="N58" s="207"/>
      <c r="O58" s="207"/>
      <c r="P58" s="237"/>
      <c r="Q58" s="237"/>
      <c r="R58" s="207"/>
      <c r="T58" s="207"/>
      <c r="U58" s="237"/>
      <c r="V58" s="237"/>
      <c r="W58" s="207"/>
      <c r="X58" s="207"/>
      <c r="Y58" s="237"/>
      <c r="Z58" s="237"/>
      <c r="AA58" s="207"/>
      <c r="AB58" s="207"/>
      <c r="AC58" s="207"/>
      <c r="AD58" s="207"/>
      <c r="AE58" s="207"/>
      <c r="AF58" s="207"/>
      <c r="AG58" s="207"/>
      <c r="AH58" s="207"/>
      <c r="AI58" s="206"/>
      <c r="AJ58" s="207"/>
      <c r="AK58" s="207"/>
      <c r="AL58" s="206"/>
      <c r="AM58" s="206"/>
      <c r="AN58" s="206"/>
      <c r="AO58" s="206"/>
      <c r="AP58" s="206"/>
      <c r="AQ58" s="206"/>
      <c r="AR58" s="206"/>
      <c r="AS58" s="207"/>
      <c r="AT58" s="207"/>
      <c r="AU58" s="206"/>
      <c r="AV58" s="237"/>
      <c r="AX58" s="206" t="s">
        <v>55</v>
      </c>
      <c r="AY58" s="206"/>
      <c r="AZ58" s="812">
        <f>SUM(AZ52:AZ57)</f>
        <v>176.41055100346119</v>
      </c>
      <c r="BA58" s="812">
        <f>SUM(BA52:BA57)</f>
        <v>63.717698221921779</v>
      </c>
      <c r="BB58" s="812">
        <f>SUM(BB52:BB57)</f>
        <v>27.559737833830933</v>
      </c>
      <c r="BC58" s="206"/>
    </row>
    <row r="59" spans="1:72" s="585" customFormat="1" ht="14.5" thickTop="1" x14ac:dyDescent="0.35">
      <c r="A59" s="697" t="s">
        <v>380</v>
      </c>
      <c r="B59" s="160"/>
      <c r="C59" s="160"/>
      <c r="D59" s="160"/>
      <c r="E59" s="160"/>
      <c r="F59" s="160"/>
      <c r="G59" s="160"/>
      <c r="H59" s="160"/>
      <c r="I59" s="160">
        <v>1</v>
      </c>
      <c r="J59" s="160">
        <f>I59+1</f>
        <v>2</v>
      </c>
      <c r="K59" s="160">
        <f t="shared" ref="K59:AS59" si="15">J59+1</f>
        <v>3</v>
      </c>
      <c r="L59" s="160">
        <f t="shared" si="15"/>
        <v>4</v>
      </c>
      <c r="M59" s="160">
        <f t="shared" si="15"/>
        <v>5</v>
      </c>
      <c r="N59" s="160">
        <f t="shared" si="15"/>
        <v>6</v>
      </c>
      <c r="O59" s="160">
        <f t="shared" si="15"/>
        <v>7</v>
      </c>
      <c r="P59" s="160">
        <f t="shared" si="15"/>
        <v>8</v>
      </c>
      <c r="Q59" s="160">
        <f t="shared" si="15"/>
        <v>9</v>
      </c>
      <c r="R59" s="160">
        <f t="shared" si="15"/>
        <v>10</v>
      </c>
      <c r="S59" s="160">
        <f t="shared" si="15"/>
        <v>11</v>
      </c>
      <c r="T59" s="160">
        <f t="shared" si="15"/>
        <v>12</v>
      </c>
      <c r="U59" s="160">
        <f t="shared" si="15"/>
        <v>13</v>
      </c>
      <c r="V59" s="160">
        <f t="shared" si="15"/>
        <v>14</v>
      </c>
      <c r="W59" s="160">
        <f t="shared" si="15"/>
        <v>15</v>
      </c>
      <c r="X59" s="160">
        <f t="shared" si="15"/>
        <v>16</v>
      </c>
      <c r="Y59" s="160">
        <f t="shared" si="15"/>
        <v>17</v>
      </c>
      <c r="Z59" s="160">
        <f t="shared" si="15"/>
        <v>18</v>
      </c>
      <c r="AA59" s="160">
        <f t="shared" si="15"/>
        <v>19</v>
      </c>
      <c r="AB59" s="160">
        <f t="shared" si="15"/>
        <v>20</v>
      </c>
      <c r="AC59" s="160">
        <f t="shared" si="15"/>
        <v>21</v>
      </c>
      <c r="AD59" s="160">
        <f t="shared" si="15"/>
        <v>22</v>
      </c>
      <c r="AE59" s="160">
        <f t="shared" si="15"/>
        <v>23</v>
      </c>
      <c r="AF59" s="160">
        <f t="shared" si="15"/>
        <v>24</v>
      </c>
      <c r="AG59" s="160">
        <f t="shared" si="15"/>
        <v>25</v>
      </c>
      <c r="AH59" s="160">
        <f t="shared" si="15"/>
        <v>26</v>
      </c>
      <c r="AI59" s="160">
        <f t="shared" si="15"/>
        <v>27</v>
      </c>
      <c r="AJ59" s="160">
        <f t="shared" si="15"/>
        <v>28</v>
      </c>
      <c r="AK59" s="160">
        <f t="shared" si="15"/>
        <v>29</v>
      </c>
      <c r="AL59" s="160">
        <f t="shared" si="15"/>
        <v>30</v>
      </c>
      <c r="AM59" s="160">
        <f t="shared" si="15"/>
        <v>31</v>
      </c>
      <c r="AN59" s="160">
        <f t="shared" si="15"/>
        <v>32</v>
      </c>
      <c r="AO59" s="160">
        <f t="shared" si="15"/>
        <v>33</v>
      </c>
      <c r="AP59" s="160">
        <f t="shared" si="15"/>
        <v>34</v>
      </c>
      <c r="AQ59" s="160">
        <f t="shared" si="15"/>
        <v>35</v>
      </c>
      <c r="AR59" s="160">
        <f t="shared" si="15"/>
        <v>36</v>
      </c>
      <c r="AS59" s="160">
        <f t="shared" si="15"/>
        <v>37</v>
      </c>
      <c r="AT59" s="160"/>
      <c r="AU59" s="160"/>
      <c r="AV59" s="160"/>
      <c r="AW59" s="160">
        <f t="shared" ref="AW59" si="16">AV59+1</f>
        <v>1</v>
      </c>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row>
    <row r="60" spans="1:72" s="749" customFormat="1" x14ac:dyDescent="0.35">
      <c r="A60" s="748" t="s">
        <v>380</v>
      </c>
      <c r="B60" s="160"/>
      <c r="C60" s="160"/>
      <c r="D60" s="160"/>
      <c r="E60" s="160"/>
      <c r="F60" s="160"/>
      <c r="G60" s="160" t="s">
        <v>380</v>
      </c>
      <c r="H60" s="160"/>
      <c r="I60" s="160"/>
      <c r="J60" s="160"/>
      <c r="K60" s="160" t="s">
        <v>275</v>
      </c>
      <c r="L60" s="160"/>
      <c r="M60" s="160" cm="1">
        <f t="array" ref="M60">_xlfn.XLOOKUP(1,($A$2=Wholesale_DistributionZone)*(L46=Wholesale_CustomerType)*(L$47=Wholesale_TariffType),Wholesale_Usage)</f>
        <v>3900</v>
      </c>
      <c r="N60" s="160"/>
      <c r="O60" s="160"/>
      <c r="P60" s="160"/>
      <c r="Q60" s="160" cm="1">
        <f t="array" ref="Q60">_xlfn.XLOOKUP(1,($A$2=Wholesale_DistributionZone)*(L46=Wholesale_CustomerType)*(L$47=Wholesale_TariffType),Wholesale_Usage)</f>
        <v>3900</v>
      </c>
      <c r="R60" s="160"/>
      <c r="S60" s="160"/>
      <c r="T60" s="160"/>
      <c r="U60" s="160"/>
      <c r="V60" s="160"/>
      <c r="W60" s="160"/>
      <c r="X60" s="160"/>
      <c r="Y60" s="160"/>
      <c r="Z60" s="160" cm="1">
        <f t="array" ref="Z60">_xlfn.XLOOKUP(1,($A$2=Wholesale_DistributionZone)*(U46=Wholesale_CustomerType)*(Z$45=Wholesale_TariffType),Wholesale_Usage)</f>
        <v>862.56789632468883</v>
      </c>
      <c r="AA60" s="160" cm="1">
        <f t="array" ref="AA60">_xlfn.XLOOKUP(1,($A$2=Wholesale_DistributionZone)*(U46=Wholesale_CustomerType)*(AA$45=Wholesale_TariffType),Wholesale_Usage)</f>
        <v>3037.4321036753113</v>
      </c>
      <c r="AB60" s="160"/>
      <c r="AC60" s="160"/>
      <c r="AD60" s="160"/>
      <c r="AE60" s="160" cm="1">
        <f t="array" ref="AE60">_xlfn.XLOOKUP(1,($A$2=Wholesale_DistributionZone)*($AD$46=Wholesale_CustomerType)*(AD$47=Wholesale_TariffType),Wholesale_Usage)</f>
        <v>10000</v>
      </c>
      <c r="AF60" s="160"/>
      <c r="AG60" s="160"/>
      <c r="AH60" s="160"/>
      <c r="AI60" s="160" cm="1">
        <f t="array" ref="AI60">_xlfn.XLOOKUP(1,($A$2=Wholesale_DistributionZone)*($AD$46=Wholesale_CustomerType)*(AD$47=Wholesale_TariffType),Wholesale_Usage)</f>
        <v>10000</v>
      </c>
      <c r="AJ60" s="160"/>
      <c r="AK60" s="160"/>
      <c r="AL60" s="160"/>
      <c r="AM60" s="160" cm="1">
        <f t="array" ref="AM60">_xlfn.XLOOKUP(1,($A$2=Wholesale_DistributionZone)*($AL$46=Wholesale_CustomerType)*(AM$45=Wholesale_TariffType),Wholesale_Usage)</f>
        <v>1190.317844803229</v>
      </c>
      <c r="AN60" s="160" cm="1">
        <f t="array" ref="AN60">_xlfn.XLOOKUP(1,($A$2=Wholesale_DistributionZone)*($AL$46=Wholesale_CustomerType)*(AN$45=Wholesale_TariffType),Wholesale_Usage)</f>
        <v>8809.6821551967714</v>
      </c>
      <c r="AO60" s="160" cm="1">
        <f t="array" ref="AO60">_xlfn.XLOOKUP(1,($A$2=Wholesale_DistributionZone)*($AL$46=Wholesale_CustomerType)*(AO$45=Wholesale_TariffType),Wholesale_Usage)</f>
        <v>10000</v>
      </c>
      <c r="AP60" s="160"/>
      <c r="AQ60" s="160"/>
      <c r="AR60" s="160" cm="1">
        <f t="array" ref="AR60">_xlfn.XLOOKUP(1,($A$2=Wholesale_DistributionZone)*($AL$46=Wholesale_CustomerType)*(AR$45=Wholesale_TariffType),Wholesale_Usage)</f>
        <v>1190.317844803229</v>
      </c>
      <c r="AS60" s="160" cm="1">
        <f t="array" ref="AS60">_xlfn.XLOOKUP(1,($A$2=Wholesale_DistributionZone)*($AL$46=Wholesale_CustomerType)*(AS$45=Wholesale_TariffType),Wholesale_Usage)</f>
        <v>8809.6821551967714</v>
      </c>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row>
    <row r="61" spans="1:72" s="749" customFormat="1" x14ac:dyDescent="0.35">
      <c r="A61" s="748" t="s">
        <v>380</v>
      </c>
      <c r="B61" s="160"/>
      <c r="C61" s="160"/>
      <c r="D61" s="160"/>
      <c r="E61" s="160"/>
      <c r="F61" s="160"/>
      <c r="G61" s="160" t="s">
        <v>380</v>
      </c>
      <c r="H61" s="160"/>
      <c r="I61" s="160"/>
      <c r="J61" s="160"/>
      <c r="K61" s="160" t="s">
        <v>273</v>
      </c>
      <c r="L61" s="160">
        <f>L57*365</f>
        <v>57204.971698958194</v>
      </c>
      <c r="M61" s="160">
        <f>M57*M60</f>
        <v>139256.90580892068</v>
      </c>
      <c r="N61" s="160"/>
      <c r="O61" s="160"/>
      <c r="P61" s="160">
        <f>P57*365</f>
        <v>60673.538185181504</v>
      </c>
      <c r="Q61" s="160">
        <f>Q57*Q60</f>
        <v>129235.09431395232</v>
      </c>
      <c r="R61" s="160"/>
      <c r="S61" s="160"/>
      <c r="T61" s="160"/>
      <c r="U61" s="160"/>
      <c r="V61" s="160"/>
      <c r="W61" s="160"/>
      <c r="X61" s="160"/>
      <c r="Y61" s="160">
        <f>Y57*365</f>
        <v>64389.851116263337</v>
      </c>
      <c r="Z61" s="160">
        <f>Z57*Z60</f>
        <v>51923.664691669932</v>
      </c>
      <c r="AA61" s="160">
        <f>AA57*AA60</f>
        <v>73015.771124288673</v>
      </c>
      <c r="AB61" s="160"/>
      <c r="AC61" s="160" t="s">
        <v>273</v>
      </c>
      <c r="AD61" s="160">
        <f>AD57*365</f>
        <v>138010.59485548554</v>
      </c>
      <c r="AE61" s="160">
        <f>AE57*AE60</f>
        <v>359737.48446897551</v>
      </c>
      <c r="AF61" s="160"/>
      <c r="AG61" s="160"/>
      <c r="AH61" s="160">
        <f>AH57*365</f>
        <v>136052.8864622144</v>
      </c>
      <c r="AI61" s="160">
        <f>AI57*AI60</f>
        <v>316292.65199466184</v>
      </c>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row>
    <row r="62" spans="1:72" s="749" customFormat="1" x14ac:dyDescent="0.35">
      <c r="A62" s="748" t="s">
        <v>380</v>
      </c>
      <c r="B62" s="160"/>
      <c r="C62" s="160"/>
      <c r="D62" s="160"/>
      <c r="E62" s="160"/>
      <c r="F62" s="160"/>
      <c r="G62" s="160"/>
      <c r="H62" s="160"/>
      <c r="I62" s="160"/>
      <c r="J62" s="160"/>
      <c r="K62" s="160" t="s">
        <v>373</v>
      </c>
      <c r="L62" s="160">
        <f>SUM(L61:M61)/100</f>
        <v>1964.6187750787888</v>
      </c>
      <c r="M62" s="160"/>
      <c r="N62" s="160"/>
      <c r="O62" s="160"/>
      <c r="P62" s="160">
        <f>SUM(P61:Q61)/100</f>
        <v>1899.0863249913382</v>
      </c>
      <c r="Q62" s="160"/>
      <c r="R62" s="160"/>
      <c r="S62" s="160"/>
      <c r="T62" s="160"/>
      <c r="U62" s="160"/>
      <c r="V62" s="160"/>
      <c r="W62" s="160"/>
      <c r="X62" s="160"/>
      <c r="Y62" s="160">
        <f>SUM(Y61:AA61)/100</f>
        <v>1893.2928693222193</v>
      </c>
      <c r="Z62" s="160"/>
      <c r="AA62" s="160"/>
      <c r="AB62" s="160"/>
      <c r="AC62" s="160" t="s">
        <v>373</v>
      </c>
      <c r="AD62" s="160">
        <f>SUM(AD61:AE61)/100</f>
        <v>4977.4807932446101</v>
      </c>
      <c r="AE62" s="160"/>
      <c r="AF62" s="160"/>
      <c r="AG62" s="160"/>
      <c r="AH62" s="160">
        <f>SUM(AH61:AI61)/100</f>
        <v>4523.4553845687624</v>
      </c>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row>
    <row r="63" spans="1:72" s="160" customFormat="1" x14ac:dyDescent="0.35">
      <c r="P63" s="160">
        <f>P53*365/100</f>
        <v>250.34130368838419</v>
      </c>
      <c r="Q63" s="160">
        <f>Q53*Q60/100</f>
        <v>527.88895569440206</v>
      </c>
      <c r="AH63" s="160">
        <f>AH53*365/100</f>
        <v>870.46120158982933</v>
      </c>
      <c r="AI63" s="160">
        <f>AI53*AI60/100</f>
        <v>1211.8152086043099</v>
      </c>
    </row>
    <row r="64" spans="1:72" s="160" customFormat="1" ht="14.5" x14ac:dyDescent="0.35">
      <c r="N64" s="160">
        <f>SUM(N65:N69)</f>
        <v>1964.6187750787888</v>
      </c>
      <c r="R64" s="772">
        <f>SUM(R65:R69)</f>
        <v>1899.0863249913382</v>
      </c>
      <c r="W64" s="671"/>
      <c r="AF64" s="160">
        <f>SUM(AF65:AF69)</f>
        <v>4977.480793244611</v>
      </c>
      <c r="AJ64" s="772">
        <f>SUM(AJ65:AJ69)</f>
        <v>4523.4553845687624</v>
      </c>
      <c r="AO64" s="671"/>
    </row>
    <row r="65" spans="9:52" s="773" customFormat="1" x14ac:dyDescent="0.35">
      <c r="I65" s="160"/>
      <c r="J65" s="160"/>
      <c r="K65" s="160"/>
      <c r="L65" s="160">
        <f>L52*365/100</f>
        <v>15.218768547947613</v>
      </c>
      <c r="M65" s="160">
        <f>M52*$M$60/100</f>
        <v>738.75372267348689</v>
      </c>
      <c r="N65" s="160">
        <f>L65+M65</f>
        <v>753.97249122143455</v>
      </c>
      <c r="O65" s="160"/>
      <c r="P65" s="160">
        <f>P52*365/100</f>
        <v>14.437940000000001</v>
      </c>
      <c r="Q65" s="160">
        <f>Q52*$Q$60/100</f>
        <v>639.34707504136668</v>
      </c>
      <c r="R65" s="160">
        <f>P65+Q65</f>
        <v>653.78501504136671</v>
      </c>
      <c r="S65" s="772"/>
      <c r="T65" s="160"/>
      <c r="U65" s="160"/>
      <c r="V65" s="160"/>
      <c r="W65" s="160"/>
      <c r="X65" s="160"/>
      <c r="Y65" s="160"/>
      <c r="Z65" s="160"/>
      <c r="AA65" s="160"/>
      <c r="AB65" s="160"/>
      <c r="AC65" s="160"/>
      <c r="AD65" s="160">
        <f>AD52*365/100</f>
        <v>15.218768547947613</v>
      </c>
      <c r="AE65" s="160">
        <f>AE52*$AE$60/100</f>
        <v>1894.2403145474025</v>
      </c>
      <c r="AF65" s="160">
        <f>AD65+AE65</f>
        <v>1909.45908309535</v>
      </c>
      <c r="AG65" s="160"/>
      <c r="AH65" s="160">
        <f>AH52*365/100</f>
        <v>14.437940000000001</v>
      </c>
      <c r="AI65" s="160">
        <f>AI52*$AI$60/100</f>
        <v>1639.3514744650427</v>
      </c>
      <c r="AJ65" s="160">
        <f>AH65+AI65</f>
        <v>1653.7894144650427</v>
      </c>
      <c r="AK65" s="160"/>
      <c r="AL65" s="160"/>
      <c r="AM65" s="160"/>
      <c r="AN65" s="160"/>
      <c r="AO65" s="160"/>
      <c r="AP65" s="160"/>
      <c r="AQ65" s="160"/>
      <c r="AR65" s="160"/>
      <c r="AS65" s="160"/>
      <c r="AT65" s="160"/>
      <c r="AU65" s="160"/>
      <c r="AV65" s="160"/>
      <c r="AW65" s="160"/>
      <c r="AX65" s="160"/>
      <c r="AY65" s="160"/>
    </row>
    <row r="66" spans="9:52" s="160" customFormat="1" ht="14.5" x14ac:dyDescent="0.35">
      <c r="L66" s="160">
        <f t="shared" ref="L66:L69" si="17">L53*365/100</f>
        <v>209.99528913322808</v>
      </c>
      <c r="M66" s="160">
        <f t="shared" ref="M66:M69" si="18">M53*$M$60/100</f>
        <v>501.92967262690405</v>
      </c>
      <c r="N66" s="160">
        <f t="shared" ref="N66:N69" si="19">L66+M66</f>
        <v>711.92496176013219</v>
      </c>
      <c r="P66" s="160">
        <f t="shared" ref="P66:P69" si="20">P53*365/100</f>
        <v>250.34130368838419</v>
      </c>
      <c r="Q66" s="160">
        <f t="shared" ref="Q66:Q68" si="21">Q53*$Q$60/100</f>
        <v>527.88895569440206</v>
      </c>
      <c r="R66" s="160">
        <f t="shared" ref="R66:R69" si="22">P66+Q66</f>
        <v>778.23025938278624</v>
      </c>
      <c r="W66" s="671"/>
      <c r="AD66" s="160">
        <f t="shared" ref="AD66:AD69" si="23">AD53*365/100</f>
        <v>791.12381459698008</v>
      </c>
      <c r="AE66" s="160">
        <f t="shared" ref="AE66:AE69" si="24">AE53*$AE$60/100</f>
        <v>1132.2142733714452</v>
      </c>
      <c r="AF66" s="160">
        <f t="shared" ref="AF66:AF69" si="25">AD66+AE66</f>
        <v>1923.3380879684253</v>
      </c>
      <c r="AH66" s="160">
        <f>AH53*365/100</f>
        <v>870.46120158982933</v>
      </c>
      <c r="AI66" s="160">
        <f>AI53*$AI$60/100</f>
        <v>1211.8152086043099</v>
      </c>
      <c r="AJ66" s="160">
        <f>AH66+AI66</f>
        <v>2082.2764101941393</v>
      </c>
      <c r="AO66" s="671"/>
    </row>
    <row r="67" spans="9:52" s="160" customFormat="1" x14ac:dyDescent="0.35">
      <c r="L67" s="160">
        <f t="shared" si="17"/>
        <v>0</v>
      </c>
      <c r="M67" s="160">
        <f t="shared" si="18"/>
        <v>68.331519303463324</v>
      </c>
      <c r="N67" s="160">
        <f t="shared" si="19"/>
        <v>68.331519303463324</v>
      </c>
      <c r="P67" s="160">
        <f t="shared" si="20"/>
        <v>0</v>
      </c>
      <c r="Q67" s="160">
        <f t="shared" si="21"/>
        <v>47.573855815382686</v>
      </c>
      <c r="R67" s="160">
        <f t="shared" si="22"/>
        <v>47.573855815382686</v>
      </c>
      <c r="AD67" s="160">
        <f t="shared" si="23"/>
        <v>0</v>
      </c>
      <c r="AE67" s="160">
        <f t="shared" si="24"/>
        <v>175.20902385503416</v>
      </c>
      <c r="AF67" s="160">
        <f t="shared" si="25"/>
        <v>175.20902385503416</v>
      </c>
      <c r="AH67" s="160">
        <f t="shared" ref="AH67:AH69" si="26">AH54*365/100</f>
        <v>0</v>
      </c>
      <c r="AI67" s="160">
        <f t="shared" ref="AI67:AI69" si="27">AI54*$AI$60/100</f>
        <v>121.9842456804684</v>
      </c>
      <c r="AJ67" s="160">
        <f t="shared" ref="AJ67:AJ69" si="28">AH67+AI67</f>
        <v>121.9842456804684</v>
      </c>
    </row>
    <row r="68" spans="9:52" s="160" customFormat="1" ht="14.5" x14ac:dyDescent="0.35">
      <c r="L68" s="160">
        <f t="shared" si="17"/>
        <v>312.51267628903128</v>
      </c>
      <c r="M68" s="160">
        <f t="shared" si="18"/>
        <v>0</v>
      </c>
      <c r="N68" s="160">
        <f t="shared" si="19"/>
        <v>312.51267628903128</v>
      </c>
      <c r="P68" s="160">
        <f t="shared" si="20"/>
        <v>305.55201525232201</v>
      </c>
      <c r="Q68" s="160">
        <f t="shared" si="21"/>
        <v>0</v>
      </c>
      <c r="R68" s="160">
        <f t="shared" si="22"/>
        <v>305.55201525232201</v>
      </c>
      <c r="W68" s="671"/>
      <c r="AD68" s="160">
        <f t="shared" si="23"/>
        <v>421.95171106889364</v>
      </c>
      <c r="AE68" s="160">
        <f t="shared" si="24"/>
        <v>0</v>
      </c>
      <c r="AF68" s="160">
        <f t="shared" si="25"/>
        <v>421.95171106889364</v>
      </c>
      <c r="AH68" s="160">
        <f t="shared" si="26"/>
        <v>393.9979911549861</v>
      </c>
      <c r="AI68" s="160">
        <f t="shared" si="27"/>
        <v>0</v>
      </c>
      <c r="AJ68" s="160">
        <f t="shared" si="28"/>
        <v>393.9979911549861</v>
      </c>
      <c r="AO68" s="671"/>
    </row>
    <row r="69" spans="9:52" s="160" customFormat="1" x14ac:dyDescent="0.35">
      <c r="L69" s="160">
        <f t="shared" si="17"/>
        <v>34.322983019374959</v>
      </c>
      <c r="M69" s="160">
        <f t="shared" si="18"/>
        <v>83.554143485352483</v>
      </c>
      <c r="N69" s="160">
        <f t="shared" si="19"/>
        <v>117.87712650472744</v>
      </c>
      <c r="P69" s="160">
        <f t="shared" si="20"/>
        <v>36.404122911108921</v>
      </c>
      <c r="Q69" s="160">
        <f>Q56*$Q$60/100</f>
        <v>77.541056588371561</v>
      </c>
      <c r="R69" s="160">
        <f t="shared" si="22"/>
        <v>113.94517949948047</v>
      </c>
      <c r="AD69" s="160">
        <f t="shared" si="23"/>
        <v>151.81165434103406</v>
      </c>
      <c r="AE69" s="160">
        <f t="shared" si="24"/>
        <v>395.71123291587327</v>
      </c>
      <c r="AF69" s="160">
        <f t="shared" si="25"/>
        <v>547.52288725690732</v>
      </c>
      <c r="AH69" s="160">
        <f t="shared" si="26"/>
        <v>81.631731877328633</v>
      </c>
      <c r="AI69" s="160">
        <f t="shared" si="27"/>
        <v>189.77559119679734</v>
      </c>
      <c r="AJ69" s="160">
        <f t="shared" si="28"/>
        <v>271.407323074126</v>
      </c>
    </row>
    <row r="70" spans="9:52" ht="14.5" x14ac:dyDescent="0.35">
      <c r="I70" s="31"/>
      <c r="J70" s="31"/>
      <c r="K70" s="31"/>
      <c r="L70" s="31"/>
      <c r="M70" s="31"/>
      <c r="N70" s="31"/>
      <c r="O70" s="31"/>
      <c r="P70" s="31"/>
      <c r="Q70" s="31"/>
      <c r="R70" s="31"/>
      <c r="V70" s="238"/>
      <c r="W70" s="217"/>
      <c r="AO70" s="217"/>
    </row>
    <row r="71" spans="9:52" x14ac:dyDescent="0.35">
      <c r="I71" s="31"/>
      <c r="J71" s="31"/>
      <c r="K71" s="31"/>
      <c r="L71" s="31"/>
      <c r="M71" s="31"/>
      <c r="N71" s="31"/>
      <c r="O71" s="31"/>
      <c r="P71" s="31"/>
      <c r="Q71" s="31"/>
      <c r="R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row>
    <row r="72" spans="9:52" s="64" customFormat="1" ht="14.5" x14ac:dyDescent="0.35">
      <c r="I72" s="31"/>
      <c r="J72" s="31"/>
      <c r="K72" s="31"/>
      <c r="L72" s="31"/>
      <c r="M72" s="31"/>
      <c r="N72" s="31"/>
      <c r="O72" s="31"/>
      <c r="P72" s="31"/>
      <c r="Q72" s="31"/>
      <c r="R72" s="31"/>
      <c r="T72" s="30"/>
      <c r="U72" s="30"/>
      <c r="V72" s="238"/>
      <c r="W72" s="217"/>
      <c r="X72" s="30"/>
      <c r="Y72" s="30"/>
      <c r="Z72" s="30"/>
      <c r="AA72" s="30"/>
      <c r="AB72" s="30"/>
      <c r="AC72" s="30"/>
      <c r="AD72" s="30"/>
      <c r="AE72" s="30"/>
      <c r="AF72" s="30"/>
      <c r="AG72" s="30"/>
      <c r="AH72" s="30"/>
      <c r="AI72" s="30"/>
      <c r="AJ72" s="30"/>
      <c r="AK72" s="30"/>
      <c r="AL72" s="30"/>
      <c r="AM72" s="30"/>
      <c r="AN72" s="30"/>
      <c r="AO72" s="217"/>
      <c r="AP72" s="30"/>
      <c r="AQ72" s="30"/>
      <c r="AR72" s="30"/>
      <c r="AS72" s="30"/>
      <c r="AT72" s="30"/>
      <c r="AU72" s="30"/>
      <c r="AV72" s="30"/>
      <c r="AW72" s="30"/>
      <c r="AX72" s="30"/>
      <c r="AY72" s="30"/>
      <c r="AZ72" s="30"/>
    </row>
    <row r="73" spans="9:52" x14ac:dyDescent="0.35">
      <c r="I73" s="31"/>
      <c r="J73" s="31"/>
      <c r="K73" s="31"/>
      <c r="L73" s="31"/>
      <c r="M73" s="31"/>
      <c r="N73" s="31"/>
      <c r="O73" s="31"/>
      <c r="P73" s="31"/>
      <c r="Q73" s="31"/>
      <c r="R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row>
    <row r="74" spans="9:52" ht="14.5" x14ac:dyDescent="0.35">
      <c r="V74" s="238"/>
      <c r="W74" s="217"/>
      <c r="AO74" s="217"/>
    </row>
    <row r="75" spans="9:52" s="238" customFormat="1" x14ac:dyDescent="0.35">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row>
    <row r="76" spans="9:52" s="238" customFormat="1" ht="14.5" x14ac:dyDescent="0.35">
      <c r="T76" s="30"/>
      <c r="U76" s="30"/>
      <c r="W76" s="217"/>
      <c r="X76" s="30"/>
      <c r="Y76" s="30"/>
      <c r="Z76" s="30"/>
      <c r="AA76" s="30"/>
      <c r="AB76" s="30"/>
      <c r="AC76" s="30"/>
      <c r="AD76" s="30"/>
      <c r="AE76" s="30"/>
      <c r="AF76" s="30"/>
      <c r="AG76" s="30"/>
      <c r="AH76" s="30"/>
      <c r="AI76" s="30"/>
      <c r="AJ76" s="30"/>
      <c r="AK76" s="30"/>
      <c r="AL76" s="30"/>
      <c r="AM76" s="30"/>
      <c r="AN76" s="30"/>
      <c r="AO76" s="217"/>
      <c r="AP76" s="30"/>
      <c r="AQ76" s="30"/>
      <c r="AR76" s="30"/>
      <c r="AS76" s="30"/>
      <c r="AT76" s="30"/>
      <c r="AU76" s="30"/>
      <c r="AV76" s="30"/>
      <c r="AW76" s="30"/>
      <c r="AX76" s="30"/>
      <c r="AY76" s="30"/>
    </row>
    <row r="77" spans="9:52" s="238" customFormat="1" x14ac:dyDescent="0.35"/>
    <row r="78" spans="9:52" x14ac:dyDescent="0.35">
      <c r="L78" s="240"/>
      <c r="P78" s="240"/>
      <c r="X78" s="240"/>
      <c r="AF78" s="240"/>
      <c r="AP78" s="240"/>
      <c r="AT78" s="240"/>
    </row>
  </sheetData>
  <sheetProtection algorithmName="SHA-256" hashValue="vo4uF82YV8jX206/s3kiiGWGNKmqpj9NrEV3JPYH5qw=" saltValue="Yku7hS5Xm9Xhz2FYALPrwQ==" spinCount="100000" sheet="1" autoFilter="0"/>
  <mergeCells count="43">
    <mergeCell ref="L46:Q46"/>
    <mergeCell ref="L47:Q47"/>
    <mergeCell ref="L48:M48"/>
    <mergeCell ref="P48:Q48"/>
    <mergeCell ref="AD48:AE48"/>
    <mergeCell ref="U46:Z46"/>
    <mergeCell ref="U47:Z47"/>
    <mergeCell ref="U48:V48"/>
    <mergeCell ref="Y48:Z48"/>
    <mergeCell ref="AD46:AI46"/>
    <mergeCell ref="AD47:AI47"/>
    <mergeCell ref="AH48:AI48"/>
    <mergeCell ref="A1:B1"/>
    <mergeCell ref="B6:B7"/>
    <mergeCell ref="I29:I33"/>
    <mergeCell ref="K29:R29"/>
    <mergeCell ref="T29:AA29"/>
    <mergeCell ref="O31:R31"/>
    <mergeCell ref="U31:V31"/>
    <mergeCell ref="X31:AA31"/>
    <mergeCell ref="L31:M31"/>
    <mergeCell ref="K30:R30"/>
    <mergeCell ref="T30:AA30"/>
    <mergeCell ref="AC29:AJ29"/>
    <mergeCell ref="AC30:AJ30"/>
    <mergeCell ref="AD31:AE31"/>
    <mergeCell ref="AG31:AJ31"/>
    <mergeCell ref="AL46:AT46"/>
    <mergeCell ref="AL29:AS29"/>
    <mergeCell ref="Z49:AA49"/>
    <mergeCell ref="V49:W49"/>
    <mergeCell ref="AL30:AS30"/>
    <mergeCell ref="AM31:AN31"/>
    <mergeCell ref="AP31:AS31"/>
    <mergeCell ref="AL47:AT47"/>
    <mergeCell ref="AL48:AO48"/>
    <mergeCell ref="AQ48:AT48"/>
    <mergeCell ref="BA49:BB49"/>
    <mergeCell ref="AZ48:BB48"/>
    <mergeCell ref="AZ47:BB47"/>
    <mergeCell ref="AZ46:BB46"/>
    <mergeCell ref="AM49:AO49"/>
    <mergeCell ref="AR49:AT49"/>
  </mergeCells>
  <conditionalFormatting sqref="I40:P40 T40:Y40 AB40:AH40 AK40:AQ40 T51 AA51 AX51:BC51 I51:R57 U51:Z58 AA57 I58:Q58 T58">
    <cfRule type="expression" dxfId="1359" priority="301">
      <formula>AND(MOD(ROW(),1)=0,I$32="Proportion",$I40="Overall change in costs (%)")</formula>
    </cfRule>
  </conditionalFormatting>
  <conditionalFormatting sqref="I58:Q58 U51:Z58 I40:P40 T40:Y40 AB40:AH40 AK40:AQ40 T51 AA51 AX51:BC51 I51:R57 AA57 T58">
    <cfRule type="expression" dxfId="1358" priority="300">
      <formula>AND(MOD(ROW(),2)=0,I$32="Proportion",$I40="Overall change in costs (%)")</formula>
    </cfRule>
  </conditionalFormatting>
  <conditionalFormatting sqref="I34:AS39">
    <cfRule type="expression" dxfId="1357" priority="268">
      <formula>AND(MOD(ROW(),1)=0,I$32="Proportion",$I34="Overall change in costs (%)")</formula>
    </cfRule>
    <cfRule type="expression" dxfId="1356" priority="267">
      <formula>AND(MOD(ROW(),2)=0,I$32="Proportion",$I34="Overall change in costs (%)")</formula>
    </cfRule>
  </conditionalFormatting>
  <conditionalFormatting sqref="I34:AT40">
    <cfRule type="expression" dxfId="1355" priority="58">
      <formula>MOD(ROW(),2)=0</formula>
    </cfRule>
  </conditionalFormatting>
  <conditionalFormatting sqref="J42:N42 T42:Y42">
    <cfRule type="cellIs" dxfId="1354" priority="320" operator="equal">
      <formula>TRUE</formula>
    </cfRule>
    <cfRule type="cellIs" dxfId="1353" priority="319" operator="equal">
      <formula>FALSE</formula>
    </cfRule>
  </conditionalFormatting>
  <conditionalFormatting sqref="Q40 AI40">
    <cfRule type="expression" dxfId="1352" priority="436">
      <formula>AND(MOD(ROW(),1)=0,#REF!="Proportion",$I40="Overall change in costs (%)")</formula>
    </cfRule>
    <cfRule type="expression" dxfId="1351" priority="435">
      <formula>AND(MOD(ROW(),2)=0,#REF!="Proportion",$I40="Overall change in costs (%)")</formula>
    </cfRule>
  </conditionalFormatting>
  <conditionalFormatting sqref="Q58">
    <cfRule type="expression" dxfId="1350" priority="255">
      <formula>AND(MOD(ROW(),2)=0,#REF!="Proportion",$I58="Overall change in costs (%)")</formula>
    </cfRule>
    <cfRule type="expression" dxfId="1349" priority="256">
      <formula>AND(MOD(ROW(),1)=0,#REF!="Proportion",$I58="Overall change in costs (%)")</formula>
    </cfRule>
  </conditionalFormatting>
  <conditionalFormatting sqref="R40:S40 AB51:AC51 AJ51 AJ40">
    <cfRule type="expression" dxfId="1348" priority="433">
      <formula>AND(MOD(ROW(),1)=0,Q$32="Proportion",$I40="Overall change in costs (%)")</formula>
    </cfRule>
  </conditionalFormatting>
  <conditionalFormatting sqref="R40:S40 AB51:AC51 AJ51">
    <cfRule type="expression" dxfId="1347" priority="432">
      <formula>AND(MOD(ROW(),2)=0,Q$32="Proportion",$I40="Overall change in costs (%)")</formula>
    </cfRule>
  </conditionalFormatting>
  <conditionalFormatting sqref="T52:T57">
    <cfRule type="expression" dxfId="1346" priority="7045">
      <formula>AND(MOD(ROW(),2)=0,#REF!="Proportion",$I52="Overall change in costs (%)")</formula>
    </cfRule>
    <cfRule type="expression" dxfId="1345" priority="7046">
      <formula>AND(MOD(ROW(),1)=0,#REF!="Proportion",$I52="Overall change in costs (%)")</formula>
    </cfRule>
  </conditionalFormatting>
  <conditionalFormatting sqref="T51:AV58">
    <cfRule type="expression" dxfId="1344" priority="61">
      <formula>MOD(ROW(),2)=0</formula>
    </cfRule>
  </conditionalFormatting>
  <conditionalFormatting sqref="Z40">
    <cfRule type="expression" dxfId="1343" priority="85">
      <formula>AND(MOD(ROW(),1)=0,#REF!="Proportion",$I40="Overall change in costs (%)")</formula>
    </cfRule>
    <cfRule type="expression" dxfId="1342" priority="84">
      <formula>AND(MOD(ROW(),2)=0,#REF!="Proportion",$I40="Overall change in costs (%)")</formula>
    </cfRule>
  </conditionalFormatting>
  <conditionalFormatting sqref="Z58">
    <cfRule type="expression" dxfId="1341" priority="80">
      <formula>AND(MOD(ROW(),1)=0,#REF!="Proportion",$I58="Overall change in costs (%)")</formula>
    </cfRule>
    <cfRule type="expression" dxfId="1340" priority="79">
      <formula>AND(MOD(ROW(),2)=0,#REF!="Proportion",$I58="Overall change in costs (%)")</formula>
    </cfRule>
  </conditionalFormatting>
  <conditionalFormatting sqref="AA40">
    <cfRule type="expression" dxfId="1339" priority="98">
      <formula>AND(MOD(ROW(),1)=0,Z$32="Proportion",$I40="Overall change in costs (%)")</formula>
    </cfRule>
    <cfRule type="expression" dxfId="1338" priority="97">
      <formula>AND(MOD(ROW(),2)=0,Z$32="Proportion",$I40="Overall change in costs (%)")</formula>
    </cfRule>
  </conditionalFormatting>
  <conditionalFormatting sqref="AA42">
    <cfRule type="cellIs" dxfId="1337" priority="327" operator="equal">
      <formula>FALSE</formula>
    </cfRule>
    <cfRule type="cellIs" dxfId="1336" priority="328" operator="equal">
      <formula>TRUE</formula>
    </cfRule>
  </conditionalFormatting>
  <conditionalFormatting sqref="AA51">
    <cfRule type="expression" dxfId="1335" priority="55">
      <formula>MOD(ROW(),2)=0</formula>
    </cfRule>
  </conditionalFormatting>
  <conditionalFormatting sqref="AB52:AC57">
    <cfRule type="expression" dxfId="1334" priority="5879">
      <formula>AND(MOD(ROW(),1)=0,W$32="Proportion",$I52="Overall change in costs (%)")</formula>
    </cfRule>
    <cfRule type="expression" dxfId="1333" priority="5881">
      <formula>AND(MOD(ROW(),2)=0,W$32="Proportion",$I52="Overall change in costs (%)")</formula>
    </cfRule>
  </conditionalFormatting>
  <conditionalFormatting sqref="AB58:AC58">
    <cfRule type="expression" dxfId="1332" priority="6111">
      <formula>AND(MOD(ROW(),1)=0,Y$32="Proportion",$I58="Overall change in costs (%)")</formula>
    </cfRule>
    <cfRule type="expression" dxfId="1331" priority="6115">
      <formula>AND(MOD(ROW(),2)=0,Y$32="Proportion",$I58="Overall change in costs (%)")</formula>
    </cfRule>
  </conditionalFormatting>
  <conditionalFormatting sqref="AD51:AE51 AH51:AO51 AQ51:AU51 AA52:AA56 AA58">
    <cfRule type="expression" dxfId="1330" priority="5790">
      <formula>AND(MOD(ROW(),2)=0,Y$32="Proportion",$I51="Overall change in costs (%)")</formula>
    </cfRule>
  </conditionalFormatting>
  <conditionalFormatting sqref="AF51:AG51 AD52:AI57 AU52:AV57 AD58:AH58">
    <cfRule type="expression" dxfId="1329" priority="78">
      <formula>AND(MOD(ROW(),2)=0,T$32="Proportion",$I51="Overall change in costs (%)")</formula>
    </cfRule>
    <cfRule type="expression" dxfId="1328" priority="77">
      <formula>AND(MOD(ROW(),1)=0,T$32="Proportion",$I51="Overall change in costs (%)")</formula>
    </cfRule>
  </conditionalFormatting>
  <conditionalFormatting sqref="AH51:AO51 AD51:AE51 AQ51:AU51 AA52:AA56 AA58">
    <cfRule type="expression" dxfId="1327" priority="5787">
      <formula>AND(MOD(ROW(),1)=0,Y$32="Proportion",$I51="Overall change in costs (%)")</formula>
    </cfRule>
  </conditionalFormatting>
  <conditionalFormatting sqref="AI58">
    <cfRule type="expression" dxfId="1326" priority="75">
      <formula>AND(MOD(ROW(),2)=0,H$32="Proportion",$I58="Overall change in costs (%)")</formula>
    </cfRule>
    <cfRule type="expression" dxfId="1325" priority="76">
      <formula>AND(MOD(ROW(),1)=0,H$32="Proportion",$I58="Overall change in costs (%)")</formula>
    </cfRule>
  </conditionalFormatting>
  <conditionalFormatting sqref="AJ40">
    <cfRule type="expression" dxfId="1324" priority="99">
      <formula>AND(MOD(ROW(),2)=0,AI$32="Proportion",$I40="Overall change in costs (%)")</formula>
    </cfRule>
  </conditionalFormatting>
  <conditionalFormatting sqref="AJ52:AK57">
    <cfRule type="expression" dxfId="1323" priority="6035">
      <formula>AND(MOD(ROW(),2)=0,AA$32="Proportion",$I52="Overall change in costs (%)")</formula>
    </cfRule>
    <cfRule type="expression" dxfId="1322" priority="6033">
      <formula>AND(MOD(ROW(),1)=0,AA$32="Proportion",$I52="Overall change in costs (%)")</formula>
    </cfRule>
  </conditionalFormatting>
  <conditionalFormatting sqref="AJ58:AK58">
    <cfRule type="expression" dxfId="1321" priority="6181">
      <formula>AND(MOD(ROW(),1)=0,AF$32="Proportion",$I58="Overall change in costs (%)")</formula>
    </cfRule>
    <cfRule type="expression" dxfId="1320" priority="6184">
      <formula>AND(MOD(ROW(),2)=0,AF$32="Proportion",$I58="Overall change in costs (%)")</formula>
    </cfRule>
  </conditionalFormatting>
  <conditionalFormatting sqref="AL58:AT58">
    <cfRule type="expression" dxfId="1319" priority="65">
      <formula>AND(MOD(ROW(),1)=0,J$32="Proportion",$I58="Overall change in costs (%)")</formula>
    </cfRule>
    <cfRule type="expression" dxfId="1318" priority="64">
      <formula>AND(MOD(ROW(),2)=0,J$32="Proportion",$I58="Overall change in costs (%)")</formula>
    </cfRule>
  </conditionalFormatting>
  <conditionalFormatting sqref="AN52:AP57">
    <cfRule type="expression" dxfId="1317" priority="66">
      <formula>AND(MOD(ROW(),1)=0,AB$32="Proportion",$I52="Overall change in costs (%)")</formula>
    </cfRule>
    <cfRule type="expression" dxfId="1316" priority="67">
      <formula>AND(MOD(ROW(),2)=0,AB$32="Proportion",$I52="Overall change in costs (%)")</formula>
    </cfRule>
  </conditionalFormatting>
  <conditionalFormatting sqref="AP51 AL52:AM57 AO52:AP57">
    <cfRule type="expression" dxfId="1315" priority="63">
      <formula>AND(MOD(ROW(),2)=0,AA$32="Proportion",$I51="Overall change in costs (%)")</formula>
    </cfRule>
    <cfRule type="expression" dxfId="1314" priority="62">
      <formula>AND(MOD(ROW(),1)=0,AA$32="Proportion",$I51="Overall change in costs (%)")</formula>
    </cfRule>
  </conditionalFormatting>
  <conditionalFormatting sqref="AQ52:AS57">
    <cfRule type="expression" dxfId="1313" priority="68">
      <formula>AND(MOD(ROW(),1)=0,AD$32="Proportion",$I52="Overall change in costs (%)")</formula>
    </cfRule>
    <cfRule type="expression" dxfId="1312" priority="69">
      <formula>AND(MOD(ROW(),2)=0,AD$32="Proportion",$I52="Overall change in costs (%)")</formula>
    </cfRule>
  </conditionalFormatting>
  <conditionalFormatting sqref="AR40">
    <cfRule type="expression" dxfId="1311" priority="272">
      <formula>AND(MOD(ROW(),1)=0,#REF!="Proportion",$I40="Overall change in costs (%)")</formula>
    </cfRule>
    <cfRule type="expression" dxfId="1310" priority="271">
      <formula>AND(MOD(ROW(),2)=0,#REF!="Proportion",$I40="Overall change in costs (%)")</formula>
    </cfRule>
  </conditionalFormatting>
  <conditionalFormatting sqref="AS40 R58">
    <cfRule type="expression" dxfId="1309" priority="306">
      <formula>AND(MOD(ROW(),2)=0,Q$32="Proportion",$I40="Overall change in costs (%)")</formula>
    </cfRule>
    <cfRule type="expression" dxfId="1308" priority="307">
      <formula>AND(MOD(ROW(),1)=0,Q$32="Proportion",$I40="Overall change in costs (%)")</formula>
    </cfRule>
  </conditionalFormatting>
  <conditionalFormatting sqref="AS52:AS57">
    <cfRule type="expression" dxfId="1307" priority="70">
      <formula>AND(MOD(ROW(),2)=0,AE$32="Proportion",$I52="Overall change in costs (%)")</formula>
    </cfRule>
    <cfRule type="expression" dxfId="1306" priority="71">
      <formula>AND(MOD(ROW(),1)=0,AE$32="Proportion",$I52="Overall change in costs (%)")</formula>
    </cfRule>
  </conditionalFormatting>
  <conditionalFormatting sqref="AT34:AT40">
    <cfRule type="expression" dxfId="1305" priority="56">
      <formula>AND(MOD(ROW(),2)=0,AT$32="Proportion",$I34="Overall change in costs (%)")</formula>
    </cfRule>
    <cfRule type="expression" dxfId="1304" priority="57">
      <formula>AND(MOD(ROW(),1)=0,AT$32="Proportion",$I34="Overall change in costs (%)")</formula>
    </cfRule>
  </conditionalFormatting>
  <conditionalFormatting sqref="AT52:AT57">
    <cfRule type="expression" dxfId="1303" priority="72">
      <formula>AND(MOD(ROW(),2)=0,AH$32="Proportion",$I52="Overall change in costs (%)")</formula>
    </cfRule>
    <cfRule type="expression" dxfId="1302" priority="73">
      <formula>AND(MOD(ROW(),1)=0,AH$32="Proportion",$I52="Overall change in costs (%)")</formula>
    </cfRule>
  </conditionalFormatting>
  <conditionalFormatting sqref="AU58:AV58">
    <cfRule type="expression" dxfId="1301" priority="5775">
      <formula>AND(MOD(ROW(),2)=0,T$32="Proportion",$I58="Overall change in costs (%)")</formula>
    </cfRule>
    <cfRule type="expression" dxfId="1300" priority="5776">
      <formula>AND(MOD(ROW(),1)=0,T$32="Proportion",$I58="Overall change in costs (%)")</formula>
    </cfRule>
  </conditionalFormatting>
  <conditionalFormatting sqref="AV51">
    <cfRule type="expression" dxfId="1299" priority="6090">
      <formula>AND(MOD(ROW(),2)=0,AL$32="Proportion",$I51="Overall change in costs (%)")</formula>
    </cfRule>
    <cfRule type="expression" dxfId="1298" priority="6087">
      <formula>AND(MOD(ROW(),1)=0,AL$32="Proportion",$I51="Overall change in costs (%)")</formula>
    </cfRule>
  </conditionalFormatting>
  <conditionalFormatting sqref="AX56">
    <cfRule type="expression" dxfId="1297" priority="25">
      <formula>AND(MOD(ROW(),1)=0,AX$32="Proportion",$I56="Overall change in costs (%)")</formula>
    </cfRule>
    <cfRule type="expression" dxfId="1296" priority="24">
      <formula>AND(MOD(ROW(),2)=0,AX$32="Proportion",$I56="Overall change in costs (%)")</formula>
    </cfRule>
  </conditionalFormatting>
  <conditionalFormatting sqref="AX52:AY55 AY56">
    <cfRule type="expression" dxfId="1295" priority="28">
      <formula>AND(MOD(ROW(),2)=0,AK$32="Proportion",$I52="Overall change in costs (%)")</formula>
    </cfRule>
    <cfRule type="expression" dxfId="1294" priority="27">
      <formula>AND(MOD(ROW(),1)=0,AK$32="Proportion",$I52="Overall change in costs (%)")</formula>
    </cfRule>
  </conditionalFormatting>
  <conditionalFormatting sqref="AX52:AY57">
    <cfRule type="expression" dxfId="1293" priority="23">
      <formula>MOD(ROW(),2)=0</formula>
    </cfRule>
  </conditionalFormatting>
  <conditionalFormatting sqref="AX57:AY57">
    <cfRule type="expression" dxfId="1292" priority="7321">
      <formula>AND(MOD(ROW(),1)=0,AK$32="Proportion",$I56="Overall change in costs (%)")</formula>
    </cfRule>
    <cfRule type="expression" dxfId="1291" priority="7322">
      <formula>AND(MOD(ROW(),2)=0,AK$32="Proportion",$I56="Overall change in costs (%)")</formula>
    </cfRule>
  </conditionalFormatting>
  <conditionalFormatting sqref="AX58:AY58">
    <cfRule type="expression" dxfId="1290" priority="37">
      <formula>AND(MOD(ROW(),1)=0,V$32="Proportion",$I58="Overall change in costs (%)")</formula>
    </cfRule>
    <cfRule type="expression" dxfId="1289" priority="36">
      <formula>AND(MOD(ROW(),2)=0,V$32="Proportion",$I58="Overall change in costs (%)")</formula>
    </cfRule>
  </conditionalFormatting>
  <conditionalFormatting sqref="AX51:BC51 I51:R58 BA57:BC58 AX58:AZ58">
    <cfRule type="expression" dxfId="1288" priority="288">
      <formula>MOD(ROW(),2)=0</formula>
    </cfRule>
  </conditionalFormatting>
  <conditionalFormatting sqref="AZ52:BA56">
    <cfRule type="expression" dxfId="1287" priority="2">
      <formula>AND(MOD(ROW(),2)=0,AZ$32="Proportion",$I52="Overall change in costs (%)")</formula>
    </cfRule>
    <cfRule type="expression" dxfId="1286" priority="3">
      <formula>AND(MOD(ROW(),1)=0,AZ$32="Proportion",$I52="Overall change in costs (%)")</formula>
    </cfRule>
  </conditionalFormatting>
  <conditionalFormatting sqref="AZ58:BB58">
    <cfRule type="expression" dxfId="1285" priority="7317">
      <formula>AND(MOD(ROW(),2)=0,AC$32="Proportion",$I58="Overall change in costs (%)")</formula>
    </cfRule>
    <cfRule type="expression" dxfId="1284" priority="7318">
      <formula>AND(MOD(ROW(),1)=0,AC$32="Proportion",$I58="Overall change in costs (%)")</formula>
    </cfRule>
  </conditionalFormatting>
  <conditionalFormatting sqref="AZ52:BC56">
    <cfRule type="expression" dxfId="1283" priority="1">
      <formula>MOD(ROW(),2)=0</formula>
    </cfRule>
  </conditionalFormatting>
  <conditionalFormatting sqref="BA57">
    <cfRule type="expression" dxfId="1282" priority="7325">
      <formula>AND(MOD(ROW(),1)=0,AS$32="Proportion",$I56="Overall change in costs (%)")</formula>
    </cfRule>
    <cfRule type="expression" dxfId="1281" priority="7326">
      <formula>AND(MOD(ROW(),2)=0,AS$32="Proportion",$I56="Overall change in costs (%)")</formula>
    </cfRule>
    <cfRule type="expression" dxfId="1280" priority="7327">
      <formula>AND(MOD(ROW(),2)=0,AR$32="Proportion",$I56="Overall change in costs (%)")</formula>
    </cfRule>
    <cfRule type="expression" dxfId="1279" priority="7328">
      <formula>AND(MOD(ROW(),1)=0,AR$32="Proportion",$I56="Overall change in costs (%)")</formula>
    </cfRule>
  </conditionalFormatting>
  <conditionalFormatting sqref="BB52:BB56">
    <cfRule type="expression" dxfId="1278" priority="5">
      <formula>AND(MOD(ROW(),2)=0,AZ$32="Proportion",$I52="Overall change in costs (%)")</formula>
    </cfRule>
    <cfRule type="expression" dxfId="1277" priority="4">
      <formula>AND(MOD(ROW(),1)=0,AZ$32="Proportion",$I52="Overall change in costs (%)")</formula>
    </cfRule>
  </conditionalFormatting>
  <conditionalFormatting sqref="BB57">
    <cfRule type="expression" dxfId="1276" priority="7323">
      <formula>AND(MOD(ROW(),2)=0,AU$32="Proportion",$I56="Overall change in costs (%)")</formula>
    </cfRule>
    <cfRule type="expression" dxfId="1275" priority="7324">
      <formula>AND(MOD(ROW(),1)=0,AU$32="Proportion",$I56="Overall change in costs (%)")</formula>
    </cfRule>
  </conditionalFormatting>
  <conditionalFormatting sqref="BC52:BC56">
    <cfRule type="expression" dxfId="1274" priority="17">
      <formula>AND(MOD(ROW(),1)=0,AP$32="Proportion",$I52="Overall change in costs (%)")</formula>
    </cfRule>
    <cfRule type="expression" dxfId="1273" priority="18">
      <formula>AND(MOD(ROW(),2)=0,AP$32="Proportion",$I52="Overall change in costs (%)")</formula>
    </cfRule>
  </conditionalFormatting>
  <conditionalFormatting sqref="BC57">
    <cfRule type="expression" dxfId="1272" priority="21">
      <formula>AND(MOD(ROW(),1)=0,AP$32="Proportion",$I56="Overall change in costs (%)")</formula>
    </cfRule>
    <cfRule type="expression" dxfId="1271" priority="22">
      <formula>AND(MOD(ROW(),2)=0,AP$32="Proportion",$I56="Overall change in costs (%)")</formula>
    </cfRule>
  </conditionalFormatting>
  <conditionalFormatting sqref="BC58">
    <cfRule type="expression" dxfId="1270" priority="19">
      <formula>AND(MOD(ROW(),2)=0,AA$32="Proportion",$I58="Overall change in costs (%)")</formula>
    </cfRule>
    <cfRule type="expression" dxfId="1269" priority="20">
      <formula>AND(MOD(ROW(),1)=0,AA$32="Proportion",$I58="Overall change in costs (%)")</formula>
    </cfRule>
  </conditionalFormatting>
  <hyperlinks>
    <hyperlink ref="A1" location="Index!A1" display="&lt;&lt;Back to Index" xr:uid="{A77B2390-B657-4C0B-9D89-BAD631602640}"/>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9372-9F79-401C-A6CA-3210670EDA99}">
  <sheetPr>
    <tabColor rgb="FF00B050"/>
  </sheetPr>
  <dimension ref="A1:CA77"/>
  <sheetViews>
    <sheetView showGridLines="0" topLeftCell="D1" zoomScale="85" zoomScaleNormal="85" workbookViewId="0">
      <selection activeCell="AB34" sqref="AB34"/>
    </sheetView>
  </sheetViews>
  <sheetFormatPr defaultColWidth="8.81640625" defaultRowHeight="14" x14ac:dyDescent="0.35"/>
  <cols>
    <col min="1" max="1" width="1.81640625" style="30" customWidth="1"/>
    <col min="2" max="2" width="42.54296875" style="30" bestFit="1" customWidth="1"/>
    <col min="3" max="4" width="14" style="30" customWidth="1"/>
    <col min="5" max="5" width="0.453125" style="30" customWidth="1"/>
    <col min="6" max="7" width="17.26953125" style="30" customWidth="1"/>
    <col min="8" max="8" width="26.81640625" style="30" customWidth="1"/>
    <col min="9" max="9" width="4.81640625" style="30" customWidth="1"/>
    <col min="10" max="10" width="10.26953125" style="30" bestFit="1" customWidth="1"/>
    <col min="11" max="12" width="12.81640625" style="30" bestFit="1" customWidth="1"/>
    <col min="13" max="13" width="1.81640625" style="30" customWidth="1"/>
    <col min="14" max="14" width="11.7265625" style="30" bestFit="1" customWidth="1"/>
    <col min="15" max="16" width="12.81640625" style="30" bestFit="1" customWidth="1"/>
    <col min="17" max="17" width="10.54296875" style="30" bestFit="1" customWidth="1"/>
    <col min="18" max="18" width="4.453125" style="30" customWidth="1"/>
    <col min="19" max="20" width="10.81640625" style="30" customWidth="1"/>
    <col min="21" max="21" width="12.81640625" style="30" bestFit="1" customWidth="1"/>
    <col min="22" max="22" width="11.26953125" style="30" customWidth="1"/>
    <col min="23" max="23" width="11.7265625" style="30" bestFit="1" customWidth="1"/>
    <col min="24" max="24" width="9.453125" style="30" customWidth="1"/>
    <col min="25" max="25" width="10.54296875" style="30" customWidth="1"/>
    <col min="26" max="26" width="12.453125" style="30" customWidth="1"/>
    <col min="27" max="27" width="12.81640625" style="30" bestFit="1" customWidth="1"/>
    <col min="28" max="28" width="15.81640625" style="30" customWidth="1"/>
    <col min="29" max="30" width="11.7265625" style="30" bestFit="1" customWidth="1"/>
    <col min="31" max="31" width="9.81640625" style="30" customWidth="1"/>
    <col min="32" max="32" width="9.54296875" style="30" bestFit="1" customWidth="1"/>
    <col min="33" max="33" width="14.54296875" style="30" bestFit="1" customWidth="1"/>
    <col min="34" max="34" width="9.54296875" style="30" bestFit="1" customWidth="1"/>
    <col min="35" max="35" width="12.54296875" style="30" customWidth="1"/>
    <col min="36" max="36" width="13" style="30" bestFit="1" customWidth="1"/>
    <col min="37" max="44" width="12.453125" style="30" customWidth="1"/>
    <col min="45" max="45" width="8.26953125" style="30" customWidth="1"/>
    <col min="46" max="46" width="12.81640625" style="30" bestFit="1" customWidth="1"/>
    <col min="47" max="53" width="12.453125" style="30" customWidth="1"/>
    <col min="54" max="54" width="9.54296875" style="30" bestFit="1" customWidth="1"/>
    <col min="55" max="56" width="10.54296875" style="30" bestFit="1" customWidth="1"/>
    <col min="57" max="57" width="9.54296875" style="30" bestFit="1" customWidth="1"/>
    <col min="58" max="58" width="8.81640625" style="30" bestFit="1" customWidth="1"/>
    <col min="59" max="59" width="10.54296875" style="30" bestFit="1" customWidth="1"/>
    <col min="60" max="60" width="9.54296875" style="30" bestFit="1" customWidth="1"/>
    <col min="61" max="61" width="29.1796875" style="30" bestFit="1" customWidth="1"/>
    <col min="62" max="62" width="3.453125" style="30" customWidth="1"/>
    <col min="63" max="65" width="12.453125" style="30" customWidth="1"/>
    <col min="66" max="66" width="8.81640625" style="30"/>
    <col min="67" max="67" width="11.81640625" style="30" hidden="1" customWidth="1"/>
    <col min="68" max="69" width="9.81640625" style="30" hidden="1" customWidth="1"/>
    <col min="70" max="70" width="8.81640625" style="30" hidden="1" customWidth="1"/>
    <col min="71" max="71" width="0" style="30" hidden="1" customWidth="1"/>
    <col min="72" max="73" width="10.54296875" style="30" bestFit="1" customWidth="1"/>
    <col min="74" max="76" width="9.54296875" style="30" bestFit="1" customWidth="1"/>
    <col min="77" max="77" width="8.81640625" style="30" bestFit="1" customWidth="1"/>
    <col min="78" max="16384" width="8.81640625" style="30"/>
  </cols>
  <sheetData>
    <row r="1" spans="1:58" ht="10.4" customHeight="1" x14ac:dyDescent="0.35">
      <c r="A1" s="815" t="s">
        <v>18</v>
      </c>
      <c r="B1" s="816"/>
      <c r="C1" s="722" t="s">
        <v>380</v>
      </c>
      <c r="D1" s="722" t="s">
        <v>380</v>
      </c>
      <c r="E1" s="722" t="s">
        <v>380</v>
      </c>
      <c r="F1" s="722" t="s">
        <v>380</v>
      </c>
      <c r="G1" s="722" t="s">
        <v>380</v>
      </c>
    </row>
    <row r="2" spans="1:58" s="62" customFormat="1" ht="22.5" customHeight="1" x14ac:dyDescent="0.35">
      <c r="A2" s="61" t="s">
        <v>4</v>
      </c>
    </row>
    <row r="3" spans="1:58" s="160" customFormat="1" ht="14.5" thickBot="1" x14ac:dyDescent="0.4">
      <c r="C3" s="160" t="str">
        <f>$A$2&amp;" "&amp;C6&amp;" "&amp;C7</f>
        <v>Endeavour Residential Flat rate</v>
      </c>
      <c r="D3" s="160" t="str">
        <f>$A$2&amp;" "&amp;D6&amp;" "&amp;D7</f>
        <v>Endeavour Residential time of use</v>
      </c>
      <c r="F3" s="160" t="str">
        <f>$A$2&amp;" "&amp;F6&amp;" "&amp;F7</f>
        <v>Endeavour Small Business Flat rate</v>
      </c>
      <c r="G3" s="160" t="str">
        <f>$A$2&amp;" "&amp;G6&amp;" "&amp;G7</f>
        <v>Endeavour Small Business time of use</v>
      </c>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M3" s="186"/>
      <c r="AN3" s="186"/>
      <c r="AO3" s="186"/>
      <c r="AP3" s="186"/>
      <c r="AQ3" s="186"/>
      <c r="AR3" s="186"/>
      <c r="AS3" s="186"/>
      <c r="AT3" s="186"/>
      <c r="AU3" s="186"/>
      <c r="AV3" s="186"/>
      <c r="AW3" s="186"/>
      <c r="AX3" s="186"/>
      <c r="AY3" s="186"/>
      <c r="AZ3" s="186"/>
      <c r="BA3" s="186"/>
      <c r="BB3" s="186"/>
      <c r="BC3" s="186"/>
      <c r="BD3" s="186"/>
      <c r="BE3" s="186"/>
      <c r="BF3" s="186"/>
    </row>
    <row r="4" spans="1:58" ht="15.5" x14ac:dyDescent="0.35">
      <c r="B4" s="33" t="s">
        <v>17</v>
      </c>
      <c r="C4" s="355" t="s">
        <v>19</v>
      </c>
      <c r="D4" s="355" t="s">
        <v>272</v>
      </c>
      <c r="E4" s="160"/>
      <c r="F4" s="355" t="s">
        <v>19</v>
      </c>
      <c r="G4" s="355" t="s">
        <v>272</v>
      </c>
      <c r="H4" s="33"/>
      <c r="I4" s="161" t="s">
        <v>89</v>
      </c>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3"/>
      <c r="AM4" s="186"/>
      <c r="AN4" s="186"/>
      <c r="AO4" s="186"/>
      <c r="AP4" s="186"/>
      <c r="AQ4" s="186"/>
      <c r="AR4" s="186"/>
      <c r="AS4" s="186"/>
      <c r="AT4" s="186"/>
      <c r="AU4" s="186"/>
      <c r="AV4" s="186"/>
      <c r="AW4" s="186"/>
      <c r="AX4" s="186"/>
      <c r="AY4" s="186"/>
      <c r="AZ4" s="186"/>
      <c r="BA4" s="186"/>
      <c r="BB4" s="186"/>
      <c r="BC4" s="186"/>
      <c r="BD4" s="186"/>
      <c r="BE4" s="186"/>
      <c r="BF4" s="186"/>
    </row>
    <row r="5" spans="1:58" ht="5.15" customHeight="1" x14ac:dyDescent="0.35">
      <c r="B5" s="64"/>
      <c r="E5" s="160"/>
      <c r="I5" s="164"/>
      <c r="J5" s="165"/>
      <c r="AL5" s="166"/>
      <c r="AM5" s="186"/>
      <c r="AN5" s="186"/>
      <c r="AO5" s="186"/>
      <c r="AP5" s="186"/>
      <c r="AQ5" s="186"/>
      <c r="AR5" s="186"/>
      <c r="AS5" s="186"/>
      <c r="AT5" s="186"/>
      <c r="AU5" s="186"/>
      <c r="AV5" s="186"/>
      <c r="AW5" s="186"/>
      <c r="AX5" s="186"/>
      <c r="AY5" s="186"/>
      <c r="AZ5" s="186"/>
      <c r="BA5" s="186"/>
      <c r="BB5" s="186"/>
      <c r="BC5" s="186"/>
      <c r="BD5" s="186"/>
      <c r="BE5" s="186"/>
      <c r="BF5" s="186"/>
    </row>
    <row r="6" spans="1:58" ht="20.149999999999999" customHeight="1" x14ac:dyDescent="0.3">
      <c r="B6" s="908" t="str">
        <f>A2</f>
        <v>Endeavour</v>
      </c>
      <c r="C6" s="167" t="s">
        <v>6</v>
      </c>
      <c r="D6" s="167" t="s">
        <v>6</v>
      </c>
      <c r="E6" s="167"/>
      <c r="F6" s="167" t="s">
        <v>76</v>
      </c>
      <c r="G6" s="167" t="s">
        <v>76</v>
      </c>
      <c r="I6" s="164"/>
      <c r="J6" s="165"/>
      <c r="AL6" s="166"/>
      <c r="AM6" s="186"/>
      <c r="AN6" s="186"/>
      <c r="AO6" s="186"/>
      <c r="AP6" s="186"/>
      <c r="AQ6" s="186"/>
      <c r="AR6" s="186"/>
      <c r="AS6" s="186"/>
      <c r="AT6" s="186"/>
      <c r="AU6" s="186"/>
      <c r="AV6" s="186"/>
      <c r="AW6" s="186"/>
      <c r="AX6" s="186"/>
      <c r="AY6" s="186"/>
      <c r="AZ6" s="186"/>
      <c r="BA6" s="186"/>
      <c r="BB6" s="186"/>
      <c r="BC6" s="186"/>
      <c r="BD6" s="186"/>
      <c r="BE6" s="186"/>
      <c r="BF6" s="186"/>
    </row>
    <row r="7" spans="1:58" ht="20.149999999999999" customHeight="1" x14ac:dyDescent="0.35">
      <c r="B7" s="908"/>
      <c r="C7" s="168" t="s">
        <v>19</v>
      </c>
      <c r="D7" s="168" t="s">
        <v>272</v>
      </c>
      <c r="E7" s="168"/>
      <c r="F7" s="168" t="s">
        <v>19</v>
      </c>
      <c r="G7" s="168" t="s">
        <v>272</v>
      </c>
      <c r="I7" s="164"/>
      <c r="AL7" s="166"/>
      <c r="AM7" s="186"/>
      <c r="AN7" s="186"/>
      <c r="AO7" s="186"/>
      <c r="AP7" s="186"/>
      <c r="AQ7" s="186"/>
      <c r="AR7" s="186"/>
      <c r="AS7" s="186"/>
      <c r="AT7" s="186"/>
      <c r="AU7" s="186"/>
      <c r="AV7" s="186"/>
      <c r="AW7" s="186"/>
      <c r="AX7" s="186"/>
      <c r="AY7" s="186"/>
      <c r="AZ7" s="186"/>
      <c r="BA7" s="186"/>
      <c r="BB7" s="186"/>
      <c r="BC7" s="186"/>
      <c r="BD7" s="186"/>
      <c r="BE7" s="186"/>
      <c r="BF7" s="186"/>
    </row>
    <row r="8" spans="1:58" ht="2.15" customHeight="1" x14ac:dyDescent="0.35">
      <c r="C8" s="65"/>
      <c r="D8" s="65"/>
      <c r="E8" s="65"/>
      <c r="F8" s="65"/>
      <c r="G8" s="65"/>
      <c r="I8" s="164"/>
      <c r="AL8" s="166"/>
      <c r="AM8" s="186"/>
      <c r="AN8" s="186"/>
      <c r="AO8" s="186"/>
      <c r="AP8" s="186"/>
      <c r="AQ8" s="186"/>
      <c r="AR8" s="186"/>
      <c r="AS8" s="186"/>
      <c r="AT8" s="186"/>
      <c r="AU8" s="186"/>
      <c r="AV8" s="186"/>
      <c r="AW8" s="186"/>
      <c r="AX8" s="186"/>
      <c r="AY8" s="186"/>
      <c r="AZ8" s="186"/>
      <c r="BA8" s="186"/>
      <c r="BB8" s="186"/>
      <c r="BC8" s="186"/>
      <c r="BD8" s="186"/>
      <c r="BE8" s="186"/>
      <c r="BF8" s="186"/>
    </row>
    <row r="9" spans="1:58" s="69" customFormat="1" ht="30" customHeight="1" x14ac:dyDescent="0.35">
      <c r="B9" s="51" t="str">
        <f>"DMO "&amp;FY&amp;" price ($ pa, inc GST)"</f>
        <v>DMO 2026-27 price ($ pa, inc GST)</v>
      </c>
      <c r="C9" s="169">
        <f>SUM(Endeavour_RESwoCL_FY_cost)</f>
        <v>2328.3818160803144</v>
      </c>
      <c r="D9" s="169">
        <f>SUM(Endeavour_REStou_FY_cost)</f>
        <v>2319.7574009933951</v>
      </c>
      <c r="E9" s="169"/>
      <c r="F9" s="169">
        <f>SUM(Endeavour_SBwoCL_FY_cost)</f>
        <v>4343.0780634145849</v>
      </c>
      <c r="G9" s="169">
        <f>SUM(Endeavour_SBtou_FY_cost)</f>
        <v>4325.9571705696308</v>
      </c>
      <c r="H9" s="30"/>
      <c r="I9" s="164"/>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170"/>
      <c r="AM9" s="186"/>
      <c r="AN9" s="186"/>
      <c r="AO9" s="186"/>
      <c r="AP9" s="186"/>
      <c r="AQ9" s="186"/>
      <c r="AR9" s="186"/>
      <c r="AS9" s="186"/>
      <c r="AT9" s="186"/>
      <c r="AU9" s="186"/>
      <c r="AV9" s="186"/>
      <c r="AW9" s="186"/>
      <c r="AX9" s="186"/>
      <c r="AY9" s="186"/>
      <c r="AZ9" s="186"/>
      <c r="BA9" s="186"/>
      <c r="BB9" s="186"/>
      <c r="BC9" s="186"/>
      <c r="BD9" s="186"/>
      <c r="BE9" s="186"/>
      <c r="BF9" s="186"/>
    </row>
    <row r="10" spans="1:58" ht="2.15" customHeight="1" x14ac:dyDescent="0.35">
      <c r="B10" s="56"/>
      <c r="C10" s="171"/>
      <c r="D10" s="171"/>
      <c r="E10" s="171"/>
      <c r="F10" s="171"/>
      <c r="G10" s="171"/>
      <c r="H10" s="69"/>
      <c r="I10" s="172"/>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166"/>
      <c r="AM10" s="186"/>
      <c r="AN10" s="186"/>
      <c r="AO10" s="186"/>
      <c r="AP10" s="186"/>
      <c r="AQ10" s="186"/>
      <c r="AR10" s="186"/>
      <c r="AS10" s="186"/>
      <c r="AT10" s="186"/>
      <c r="AU10" s="186"/>
      <c r="AV10" s="186"/>
      <c r="AW10" s="186"/>
      <c r="AX10" s="186"/>
      <c r="AY10" s="186"/>
      <c r="AZ10" s="186"/>
      <c r="BA10" s="186"/>
      <c r="BB10" s="186"/>
      <c r="BC10" s="186"/>
      <c r="BD10" s="186"/>
      <c r="BE10" s="186"/>
      <c r="BF10" s="186"/>
    </row>
    <row r="11" spans="1:58" s="69" customFormat="1" ht="30" customHeight="1" x14ac:dyDescent="0.35">
      <c r="B11" s="173" t="str">
        <f>"DMO "&amp;PY&amp;" price ($ pa, inc GST)"</f>
        <v>DMO 2025-26 price ($ pa, inc GST)</v>
      </c>
      <c r="C11" s="174">
        <f>SUM(Endeavour_RESwoCL_PY_cost)</f>
        <v>2411.3630582255041</v>
      </c>
      <c r="D11" s="174">
        <f>SUM(Endeavour_RESwoCL_PY_cost)</f>
        <v>2411.3630582255041</v>
      </c>
      <c r="E11" s="174"/>
      <c r="F11" s="174">
        <f>SUM(Endeavour_SBwoCL_PY_cost)</f>
        <v>4775.2370500773122</v>
      </c>
      <c r="G11" s="174">
        <f>SUM(Endeavour_SBwoCL_PY_cost)</f>
        <v>4775.2370500773122</v>
      </c>
      <c r="H11" s="30"/>
      <c r="I11" s="164"/>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170"/>
      <c r="AM11" s="186"/>
      <c r="AN11" s="186"/>
      <c r="AO11" s="186"/>
      <c r="AP11" s="186"/>
      <c r="AQ11" s="186"/>
      <c r="AR11" s="186"/>
      <c r="AS11" s="186"/>
      <c r="AT11" s="186"/>
      <c r="AU11" s="186"/>
      <c r="AV11" s="186"/>
      <c r="AW11" s="186"/>
      <c r="AX11" s="186"/>
      <c r="AY11" s="186"/>
      <c r="AZ11" s="186"/>
      <c r="BA11" s="186"/>
      <c r="BB11" s="186"/>
      <c r="BC11" s="186"/>
      <c r="BD11" s="186"/>
      <c r="BE11" s="186"/>
      <c r="BF11" s="186"/>
    </row>
    <row r="12" spans="1:58" ht="2.15" customHeight="1" x14ac:dyDescent="0.35">
      <c r="B12" s="56"/>
      <c r="C12" s="171"/>
      <c r="D12" s="171"/>
      <c r="E12" s="171"/>
      <c r="F12" s="171"/>
      <c r="G12" s="171"/>
      <c r="H12" s="69"/>
      <c r="I12" s="172"/>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166"/>
      <c r="AM12" s="186"/>
      <c r="AN12" s="186"/>
      <c r="AO12" s="186"/>
      <c r="AP12" s="186"/>
      <c r="AQ12" s="186"/>
      <c r="AR12" s="186"/>
      <c r="AS12" s="186"/>
      <c r="AT12" s="186"/>
      <c r="AU12" s="186"/>
      <c r="AV12" s="186"/>
      <c r="AW12" s="186"/>
      <c r="AX12" s="186"/>
      <c r="AY12" s="186"/>
      <c r="AZ12" s="186"/>
      <c r="BA12" s="186"/>
      <c r="BB12" s="186"/>
      <c r="BC12" s="186"/>
      <c r="BD12" s="186"/>
      <c r="BE12" s="186"/>
      <c r="BF12" s="186"/>
    </row>
    <row r="13" spans="1:58" ht="20.149999999999999" customHeight="1" x14ac:dyDescent="0.35">
      <c r="B13" s="175" t="s">
        <v>48</v>
      </c>
      <c r="C13" s="244">
        <f>SUM(C14:C15)</f>
        <v>4900</v>
      </c>
      <c r="D13" s="244">
        <f>SUM(D14:D15)</f>
        <v>4900</v>
      </c>
      <c r="E13" s="244"/>
      <c r="F13" s="244">
        <f>SUM(F14:F15)</f>
        <v>10000</v>
      </c>
      <c r="G13" s="244">
        <f>SUM(G14:G15)</f>
        <v>10000</v>
      </c>
      <c r="I13" s="164"/>
      <c r="AL13" s="166"/>
      <c r="AM13" s="186"/>
      <c r="AN13" s="186"/>
      <c r="AO13" s="186"/>
      <c r="AP13" s="186"/>
      <c r="AQ13" s="186"/>
      <c r="AR13" s="186"/>
      <c r="AS13" s="186"/>
      <c r="AT13" s="186"/>
      <c r="AU13" s="186"/>
      <c r="AV13" s="186"/>
      <c r="AW13" s="186"/>
      <c r="AX13" s="186"/>
      <c r="AY13" s="186"/>
      <c r="AZ13" s="186"/>
      <c r="BA13" s="186"/>
      <c r="BB13" s="186"/>
      <c r="BC13" s="186"/>
      <c r="BD13" s="186"/>
      <c r="BE13" s="186"/>
      <c r="BF13" s="186"/>
    </row>
    <row r="14" spans="1:58" ht="20.149999999999999" customHeight="1" x14ac:dyDescent="0.35">
      <c r="A14" s="160" t="s">
        <v>19</v>
      </c>
      <c r="B14" s="176" t="s">
        <v>52</v>
      </c>
      <c r="C14" s="177" cm="1">
        <f t="array" ref="C14">_xlfn.XLOOKUP(1,($B$6=DistributionZone)*(C$6=CustomerType)*(C$4=tariffType)*("Usage" = Description),valuesFY)</f>
        <v>4900</v>
      </c>
      <c r="D14" s="177" cm="1">
        <f t="array" ref="D14">_xlfn.XLOOKUP(1,($B$6=DistributionZone)*(D$6=CustomerType)*(D$4=tariffType)*("Usage" = Description),valuesFY)</f>
        <v>4900</v>
      </c>
      <c r="E14" s="177"/>
      <c r="F14" s="177" cm="1">
        <f t="array" ref="F14">_xlfn.XLOOKUP(1,($B$6=DistributionZone)*(F$6=CustomerType)*(F$4=tariffType)*("Usage" = Description),valuesFY)</f>
        <v>10000</v>
      </c>
      <c r="G14" s="177" cm="1">
        <f t="array" ref="G14">_xlfn.XLOOKUP(1,($B$6=DistributionZone)*(G$6=CustomerType)*(G$4=tariffType)*("Usage" = Description),valuesFY)</f>
        <v>10000</v>
      </c>
      <c r="I14" s="164"/>
      <c r="AL14" s="166"/>
      <c r="AM14" s="186"/>
      <c r="AN14" s="186"/>
      <c r="AO14" s="186"/>
      <c r="AP14" s="186"/>
      <c r="AQ14" s="186"/>
      <c r="AR14" s="186"/>
      <c r="AS14" s="186"/>
      <c r="AT14" s="186"/>
      <c r="AU14" s="186"/>
      <c r="AV14" s="186"/>
      <c r="AW14" s="186"/>
      <c r="AX14" s="186"/>
      <c r="AY14" s="186"/>
      <c r="AZ14" s="186"/>
      <c r="BA14" s="186"/>
      <c r="BB14" s="186"/>
      <c r="BC14" s="186"/>
      <c r="BD14" s="186"/>
      <c r="BE14" s="186"/>
      <c r="BF14" s="186"/>
    </row>
    <row r="15" spans="1:58" ht="20.149999999999999" customHeight="1" x14ac:dyDescent="0.35">
      <c r="A15" s="160" t="s">
        <v>16</v>
      </c>
      <c r="B15" s="176" t="s">
        <v>51</v>
      </c>
      <c r="C15" s="177"/>
      <c r="D15" s="177"/>
      <c r="E15" s="177"/>
      <c r="F15" s="177"/>
      <c r="G15" s="177"/>
      <c r="I15" s="164"/>
      <c r="AL15" s="166"/>
      <c r="AM15" s="186"/>
      <c r="AN15" s="186"/>
      <c r="AO15" s="186"/>
      <c r="AP15" s="186"/>
      <c r="AQ15" s="186"/>
      <c r="AR15" s="186"/>
      <c r="AS15" s="186"/>
      <c r="AT15" s="186"/>
      <c r="AU15" s="186"/>
      <c r="AV15" s="186"/>
      <c r="AW15" s="186"/>
      <c r="AX15" s="186"/>
      <c r="AY15" s="186"/>
      <c r="AZ15" s="186"/>
      <c r="BA15" s="186"/>
      <c r="BB15" s="186"/>
      <c r="BC15" s="186"/>
      <c r="BD15" s="186"/>
      <c r="BE15" s="186"/>
      <c r="BF15" s="186"/>
    </row>
    <row r="16" spans="1:58" ht="2.15" customHeight="1" x14ac:dyDescent="0.35">
      <c r="B16" s="101"/>
      <c r="C16" s="101"/>
      <c r="D16" s="101"/>
      <c r="E16" s="101"/>
      <c r="F16" s="101"/>
      <c r="G16" s="101"/>
      <c r="I16" s="164"/>
      <c r="AL16" s="166"/>
      <c r="AM16" s="186"/>
      <c r="AN16" s="186"/>
      <c r="AO16" s="186"/>
      <c r="AP16" s="186"/>
      <c r="AQ16" s="186"/>
      <c r="AR16" s="186"/>
      <c r="AS16" s="186"/>
      <c r="AT16" s="186"/>
      <c r="AU16" s="186"/>
      <c r="AV16" s="186"/>
      <c r="AW16" s="186"/>
      <c r="AX16" s="186"/>
      <c r="AY16" s="186"/>
      <c r="AZ16" s="186"/>
      <c r="BA16" s="186"/>
      <c r="BB16" s="186"/>
      <c r="BC16" s="186"/>
      <c r="BD16" s="186"/>
      <c r="BE16" s="186"/>
      <c r="BF16" s="186"/>
    </row>
    <row r="17" spans="2:58" ht="20.149999999999999" customHeight="1" x14ac:dyDescent="0.35">
      <c r="B17" s="176" t="str">
        <f>"Change from DMO "&amp;PY&amp; " price ($)"</f>
        <v>Change from DMO 2025-26 price ($)</v>
      </c>
      <c r="C17" s="178">
        <f>C9-J34</f>
        <v>-82.618183919685634</v>
      </c>
      <c r="D17" s="178">
        <f>D9-D11</f>
        <v>-91.605657232109024</v>
      </c>
      <c r="E17" s="178"/>
      <c r="F17" s="178">
        <f>F9-F11</f>
        <v>-432.15898666272733</v>
      </c>
      <c r="G17" s="178">
        <f>G9-G11</f>
        <v>-449.27987950768147</v>
      </c>
      <c r="I17" s="164"/>
      <c r="AL17" s="166"/>
      <c r="AM17" s="186"/>
      <c r="AN17" s="186"/>
      <c r="AO17" s="186"/>
      <c r="AP17" s="186"/>
      <c r="AQ17" s="186"/>
      <c r="AR17" s="186"/>
      <c r="AS17" s="186"/>
      <c r="AT17" s="186"/>
      <c r="AU17" s="186"/>
      <c r="AV17" s="186"/>
      <c r="AW17" s="186"/>
      <c r="AX17" s="186"/>
      <c r="AY17" s="186"/>
      <c r="AZ17" s="186"/>
      <c r="BA17" s="186"/>
      <c r="BB17" s="186"/>
      <c r="BC17" s="186"/>
      <c r="BD17" s="186"/>
      <c r="BE17" s="186"/>
      <c r="BF17" s="186"/>
    </row>
    <row r="18" spans="2:58" ht="20.149999999999999" customHeight="1" thickBot="1" x14ac:dyDescent="0.4">
      <c r="B18" s="179" t="str">
        <f>"Change from DMO "&amp;PY&amp; " price (%)"</f>
        <v>Change from DMO 2025-26 price (%)</v>
      </c>
      <c r="C18" s="180">
        <f>IFERROR(C9/C11-1,0)</f>
        <v>-3.441258746256759E-2</v>
      </c>
      <c r="D18" s="180">
        <f>IFERROR(D9/D11-1,0)</f>
        <v>-3.7989160080904916E-2</v>
      </c>
      <c r="E18" s="180"/>
      <c r="F18" s="180">
        <f>IFERROR(F9/F11-1,0)</f>
        <v>-9.0500007042735309E-2</v>
      </c>
      <c r="G18" s="180">
        <f>IFERROR(G9/G11-1,0)</f>
        <v>-9.4085356349044025E-2</v>
      </c>
      <c r="I18" s="164"/>
      <c r="AL18" s="166"/>
      <c r="AM18" s="186"/>
      <c r="AN18" s="186"/>
      <c r="AO18" s="186"/>
      <c r="AP18" s="186"/>
      <c r="AQ18" s="186"/>
      <c r="AR18" s="186"/>
      <c r="AS18" s="186"/>
      <c r="AT18" s="186"/>
      <c r="AU18" s="186"/>
      <c r="AV18" s="186"/>
      <c r="AW18" s="186"/>
      <c r="AX18" s="186"/>
      <c r="AY18" s="186"/>
      <c r="AZ18" s="186"/>
      <c r="BA18" s="186"/>
      <c r="BB18" s="186"/>
      <c r="BC18" s="186"/>
      <c r="BD18" s="186"/>
      <c r="BE18" s="186"/>
      <c r="BF18" s="186"/>
    </row>
    <row r="19" spans="2:58" ht="14.5" thickTop="1" x14ac:dyDescent="0.35">
      <c r="B19" s="181" t="s">
        <v>88</v>
      </c>
      <c r="E19" s="160"/>
      <c r="I19" s="164"/>
      <c r="AL19" s="166"/>
      <c r="AM19" s="186"/>
      <c r="AN19" s="186"/>
      <c r="AO19" s="186"/>
      <c r="AP19" s="186"/>
      <c r="AQ19" s="186"/>
      <c r="AR19" s="186"/>
      <c r="AS19" s="186"/>
      <c r="AT19" s="186"/>
      <c r="AU19" s="186"/>
      <c r="AV19" s="186"/>
      <c r="AW19" s="186"/>
      <c r="AX19" s="186"/>
      <c r="AY19" s="186"/>
      <c r="AZ19" s="186"/>
      <c r="BA19" s="186"/>
      <c r="BB19" s="186"/>
      <c r="BC19" s="186"/>
      <c r="BD19" s="186"/>
      <c r="BE19" s="186"/>
      <c r="BF19" s="186"/>
    </row>
    <row r="20" spans="2:58" x14ac:dyDescent="0.35">
      <c r="B20" s="523"/>
      <c r="C20" s="524"/>
      <c r="D20" s="524"/>
      <c r="E20" s="520"/>
      <c r="F20" s="524"/>
      <c r="G20" s="524"/>
      <c r="I20" s="164"/>
      <c r="AL20" s="166"/>
      <c r="AM20" s="186"/>
      <c r="AN20" s="186"/>
      <c r="AO20" s="186"/>
      <c r="AP20" s="186"/>
      <c r="AQ20" s="186"/>
      <c r="AR20" s="186"/>
      <c r="AS20" s="186"/>
      <c r="AT20" s="186"/>
      <c r="AU20" s="186"/>
      <c r="AV20" s="186"/>
      <c r="AW20" s="186"/>
      <c r="AX20" s="186"/>
      <c r="AY20" s="186"/>
      <c r="AZ20" s="186"/>
      <c r="BA20" s="186"/>
      <c r="BB20" s="186"/>
      <c r="BC20" s="186"/>
      <c r="BD20" s="186"/>
      <c r="BE20" s="186"/>
      <c r="BF20" s="186"/>
    </row>
    <row r="21" spans="2:58" x14ac:dyDescent="0.35">
      <c r="B21" s="523"/>
      <c r="C21" s="524"/>
      <c r="D21" s="524"/>
      <c r="E21" s="520"/>
      <c r="F21" s="524"/>
      <c r="G21" s="524"/>
      <c r="I21" s="164"/>
      <c r="AL21" s="166"/>
      <c r="AM21" s="186"/>
      <c r="AN21" s="186"/>
      <c r="AO21" s="186"/>
      <c r="AP21" s="186"/>
      <c r="AQ21" s="186"/>
      <c r="AR21" s="186"/>
      <c r="AS21" s="186"/>
      <c r="AT21" s="186"/>
      <c r="AU21" s="186"/>
      <c r="AV21" s="186"/>
      <c r="AW21" s="186"/>
      <c r="AX21" s="186"/>
      <c r="AY21" s="186"/>
      <c r="AZ21" s="186"/>
      <c r="BA21" s="186"/>
      <c r="BB21" s="186"/>
      <c r="BC21" s="186"/>
      <c r="BD21" s="186"/>
      <c r="BE21" s="186"/>
      <c r="BF21" s="186"/>
    </row>
    <row r="22" spans="2:58" ht="15.5" x14ac:dyDescent="0.35">
      <c r="B22" s="33"/>
      <c r="E22" s="160"/>
      <c r="I22" s="164"/>
      <c r="AL22" s="166"/>
      <c r="AM22" s="186"/>
      <c r="AN22" s="186"/>
      <c r="AO22" s="186"/>
      <c r="AP22" s="186"/>
      <c r="AQ22" s="186"/>
      <c r="AR22" s="186"/>
      <c r="AS22" s="186"/>
      <c r="AT22" s="186"/>
      <c r="AU22" s="186"/>
      <c r="AV22" s="186"/>
      <c r="AW22" s="186"/>
      <c r="AX22" s="186"/>
      <c r="AY22" s="186"/>
      <c r="AZ22" s="186"/>
      <c r="BA22" s="186"/>
      <c r="BB22" s="186"/>
      <c r="BC22" s="186"/>
      <c r="BD22" s="186"/>
      <c r="BE22" s="186"/>
      <c r="BF22" s="186"/>
    </row>
    <row r="23" spans="2:58" ht="15" customHeight="1" thickBot="1" x14ac:dyDescent="0.4">
      <c r="E23" s="160"/>
      <c r="H23" s="33"/>
      <c r="I23" s="183"/>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5"/>
      <c r="AM23" s="186"/>
      <c r="AN23" s="186"/>
      <c r="AO23" s="186"/>
      <c r="AP23" s="186"/>
      <c r="AQ23" s="186"/>
      <c r="AR23" s="186"/>
      <c r="AS23" s="186"/>
      <c r="AT23" s="186"/>
      <c r="AU23" s="186"/>
      <c r="AV23" s="186"/>
      <c r="AW23" s="186"/>
      <c r="AX23" s="186"/>
      <c r="AY23" s="186"/>
      <c r="AZ23" s="186"/>
      <c r="BA23" s="186"/>
      <c r="BB23" s="186"/>
      <c r="BC23" s="186"/>
      <c r="BD23" s="186"/>
      <c r="BE23" s="186"/>
      <c r="BF23" s="186"/>
    </row>
    <row r="24" spans="2:58" s="186" customFormat="1" ht="15.5" x14ac:dyDescent="0.35">
      <c r="E24" s="160"/>
      <c r="H24" s="33"/>
      <c r="I24" s="30"/>
      <c r="J24" s="30"/>
      <c r="K24" s="30"/>
      <c r="L24" s="30"/>
      <c r="M24" s="30"/>
      <c r="N24" s="30"/>
      <c r="O24" s="30"/>
      <c r="P24" s="30"/>
      <c r="Q24" s="30"/>
      <c r="R24" s="30"/>
      <c r="S24" s="30"/>
      <c r="T24" s="30"/>
      <c r="U24" s="30"/>
      <c r="V24" s="30"/>
      <c r="W24" s="30"/>
      <c r="X24" s="30"/>
      <c r="Y24" s="30"/>
      <c r="Z24" s="30"/>
      <c r="AA24" s="30"/>
      <c r="AB24" s="30"/>
    </row>
    <row r="25" spans="2:58" s="186" customFormat="1" ht="15.5" x14ac:dyDescent="0.35">
      <c r="E25" s="160"/>
      <c r="H25" s="33"/>
      <c r="I25" s="30"/>
      <c r="J25" s="30"/>
      <c r="K25" s="30"/>
      <c r="L25" s="30"/>
      <c r="M25" s="30"/>
      <c r="N25" s="30"/>
      <c r="O25" s="30"/>
      <c r="P25" s="30"/>
      <c r="Q25" s="30"/>
      <c r="R25" s="30"/>
      <c r="S25" s="30"/>
      <c r="T25" s="30"/>
      <c r="U25" s="30"/>
      <c r="V25" s="30"/>
      <c r="W25" s="30"/>
      <c r="X25" s="30"/>
      <c r="Y25" s="30"/>
      <c r="Z25" s="30"/>
      <c r="AA25" s="30"/>
      <c r="AB25" s="30"/>
    </row>
    <row r="26" spans="2:58" s="186" customFormat="1" ht="15.5" x14ac:dyDescent="0.35">
      <c r="E26" s="160"/>
      <c r="H26" s="33"/>
      <c r="I26" s="30"/>
      <c r="J26" s="30"/>
      <c r="K26" s="30"/>
      <c r="L26" s="30"/>
      <c r="M26" s="30"/>
      <c r="N26" s="30"/>
      <c r="O26" s="30"/>
      <c r="P26" s="30"/>
      <c r="Q26" s="30"/>
      <c r="R26" s="30"/>
      <c r="S26" s="30"/>
      <c r="T26" s="30"/>
      <c r="U26" s="30"/>
      <c r="V26" s="30"/>
      <c r="W26" s="30"/>
      <c r="X26" s="30"/>
      <c r="Y26" s="30"/>
      <c r="Z26" s="30"/>
      <c r="AA26" s="30"/>
      <c r="AB26" s="30"/>
    </row>
    <row r="27" spans="2:58" s="186" customFormat="1" ht="15.5" x14ac:dyDescent="0.35">
      <c r="E27" s="160"/>
      <c r="H27" s="33"/>
      <c r="I27" s="30"/>
      <c r="J27" s="30"/>
      <c r="K27" s="30"/>
      <c r="L27" s="30"/>
      <c r="M27" s="30"/>
      <c r="N27" s="30"/>
      <c r="O27" s="30"/>
      <c r="P27" s="30"/>
      <c r="Q27" s="30"/>
      <c r="R27" s="30"/>
      <c r="S27" s="30"/>
      <c r="T27" s="30"/>
      <c r="U27" s="30"/>
      <c r="V27" s="30"/>
      <c r="W27" s="30"/>
      <c r="X27" s="30"/>
      <c r="Y27" s="30"/>
      <c r="Z27" s="30"/>
      <c r="AA27" s="30"/>
      <c r="AB27" s="30"/>
    </row>
    <row r="28" spans="2:58" s="186" customFormat="1" ht="15.5" x14ac:dyDescent="0.35">
      <c r="H28" s="33" t="s">
        <v>43</v>
      </c>
      <c r="I28" s="29" t="s">
        <v>125</v>
      </c>
      <c r="J28" s="30"/>
      <c r="K28" s="30"/>
      <c r="L28" s="30"/>
      <c r="M28" s="30"/>
      <c r="N28" s="30"/>
      <c r="O28" s="30"/>
      <c r="P28" s="30"/>
      <c r="Q28" s="30"/>
      <c r="R28" s="30"/>
      <c r="S28" s="30"/>
      <c r="T28" s="30"/>
      <c r="U28" s="30"/>
      <c r="V28" s="30"/>
      <c r="W28" s="30"/>
      <c r="X28" s="30"/>
      <c r="Y28" s="30"/>
      <c r="Z28" s="30"/>
      <c r="AA28" s="30"/>
    </row>
    <row r="29" spans="2:58" s="186" customFormat="1" x14ac:dyDescent="0.35">
      <c r="H29" s="909" t="s">
        <v>32</v>
      </c>
      <c r="I29" s="241"/>
      <c r="J29" s="912" t="s">
        <v>6</v>
      </c>
      <c r="K29" s="912"/>
      <c r="L29" s="912"/>
      <c r="M29" s="912"/>
      <c r="N29" s="912"/>
      <c r="O29" s="912"/>
      <c r="P29" s="912"/>
      <c r="Q29" s="912"/>
      <c r="R29" s="192"/>
      <c r="S29" s="912" t="s">
        <v>6</v>
      </c>
      <c r="T29" s="912"/>
      <c r="U29" s="912"/>
      <c r="V29" s="912"/>
      <c r="W29" s="912"/>
      <c r="X29" s="912"/>
      <c r="Y29" s="912"/>
      <c r="Z29" s="912"/>
      <c r="AA29" s="192"/>
      <c r="AB29" s="912" t="s">
        <v>76</v>
      </c>
      <c r="AC29" s="912"/>
      <c r="AD29" s="912"/>
      <c r="AE29" s="912"/>
      <c r="AF29" s="912"/>
      <c r="AG29" s="912"/>
      <c r="AH29" s="912"/>
      <c r="AI29" s="912"/>
      <c r="AJ29" s="192"/>
      <c r="AK29" s="912" t="s">
        <v>76</v>
      </c>
      <c r="AL29" s="912"/>
      <c r="AM29" s="912"/>
      <c r="AN29" s="912"/>
      <c r="AO29" s="912"/>
      <c r="AP29" s="912"/>
      <c r="AQ29" s="912"/>
      <c r="AR29" s="912"/>
    </row>
    <row r="30" spans="2:58" ht="14.5" thickBot="1" x14ac:dyDescent="0.4">
      <c r="H30" s="909"/>
      <c r="I30" s="241"/>
      <c r="J30" s="913" t="s">
        <v>276</v>
      </c>
      <c r="K30" s="913"/>
      <c r="L30" s="913"/>
      <c r="M30" s="913"/>
      <c r="N30" s="913"/>
      <c r="O30" s="913"/>
      <c r="P30" s="913"/>
      <c r="Q30" s="913"/>
      <c r="R30" s="192"/>
      <c r="S30" s="913" t="s">
        <v>272</v>
      </c>
      <c r="T30" s="913"/>
      <c r="U30" s="913"/>
      <c r="V30" s="913"/>
      <c r="W30" s="913"/>
      <c r="X30" s="913"/>
      <c r="Y30" s="913"/>
      <c r="Z30" s="913"/>
      <c r="AA30" s="192"/>
      <c r="AB30" s="913" t="s">
        <v>276</v>
      </c>
      <c r="AC30" s="913"/>
      <c r="AD30" s="913"/>
      <c r="AE30" s="913"/>
      <c r="AF30" s="913"/>
      <c r="AG30" s="913"/>
      <c r="AH30" s="913"/>
      <c r="AI30" s="913"/>
      <c r="AJ30" s="192"/>
      <c r="AK30" s="913" t="s">
        <v>272</v>
      </c>
      <c r="AL30" s="913"/>
      <c r="AM30" s="913"/>
      <c r="AN30" s="913"/>
      <c r="AO30" s="913"/>
      <c r="AP30" s="913"/>
      <c r="AQ30" s="913"/>
      <c r="AR30" s="913"/>
    </row>
    <row r="31" spans="2:58" ht="15" customHeight="1" thickTop="1" x14ac:dyDescent="0.35">
      <c r="H31" s="909"/>
      <c r="I31" s="191"/>
      <c r="J31" s="192" t="s">
        <v>67</v>
      </c>
      <c r="K31" s="904" t="str">
        <f>PY</f>
        <v>2025-26</v>
      </c>
      <c r="L31" s="904"/>
      <c r="M31" s="192"/>
      <c r="N31" s="904" t="str">
        <f>FY</f>
        <v>2026-27</v>
      </c>
      <c r="O31" s="904"/>
      <c r="P31" s="904"/>
      <c r="Q31" s="904"/>
      <c r="R31" s="192"/>
      <c r="S31" s="192" t="s">
        <v>67</v>
      </c>
      <c r="T31" s="904" t="str">
        <f>PY</f>
        <v>2025-26</v>
      </c>
      <c r="U31" s="904"/>
      <c r="V31" s="192"/>
      <c r="W31" s="904" t="str">
        <f>FY</f>
        <v>2026-27</v>
      </c>
      <c r="X31" s="904"/>
      <c r="Y31" s="904"/>
      <c r="Z31" s="904"/>
      <c r="AA31" s="192"/>
      <c r="AB31" s="192" t="s">
        <v>67</v>
      </c>
      <c r="AC31" s="904" t="str">
        <f>PY</f>
        <v>2025-26</v>
      </c>
      <c r="AD31" s="904"/>
      <c r="AE31" s="192"/>
      <c r="AF31" s="904" t="str">
        <f>FY</f>
        <v>2026-27</v>
      </c>
      <c r="AG31" s="904"/>
      <c r="AH31" s="904"/>
      <c r="AI31" s="904"/>
      <c r="AJ31" s="192"/>
      <c r="AK31" s="192" t="s">
        <v>67</v>
      </c>
      <c r="AL31" s="904" t="str">
        <f>PY</f>
        <v>2025-26</v>
      </c>
      <c r="AM31" s="904"/>
      <c r="AN31" s="192"/>
      <c r="AO31" s="904" t="str">
        <f>FY</f>
        <v>2026-27</v>
      </c>
      <c r="AP31" s="904"/>
      <c r="AQ31" s="904"/>
      <c r="AR31" s="904"/>
    </row>
    <row r="32" spans="2:58" ht="41.5" customHeight="1" x14ac:dyDescent="0.35">
      <c r="H32" s="909"/>
      <c r="I32" s="191"/>
      <c r="J32" s="193"/>
      <c r="K32" s="194" t="s">
        <v>21</v>
      </c>
      <c r="L32" s="194" t="s">
        <v>23</v>
      </c>
      <c r="M32" s="194"/>
      <c r="N32" s="194" t="s">
        <v>20</v>
      </c>
      <c r="O32" s="195" t="s">
        <v>151</v>
      </c>
      <c r="P32" s="194" t="s">
        <v>21</v>
      </c>
      <c r="Q32" s="194" t="s">
        <v>23</v>
      </c>
      <c r="R32" s="194"/>
      <c r="S32" s="193"/>
      <c r="T32" s="194" t="s">
        <v>21</v>
      </c>
      <c r="U32" s="194" t="s">
        <v>23</v>
      </c>
      <c r="V32" s="194"/>
      <c r="W32" s="194" t="s">
        <v>20</v>
      </c>
      <c r="X32" s="195" t="s">
        <v>151</v>
      </c>
      <c r="Y32" s="194" t="s">
        <v>21</v>
      </c>
      <c r="Z32" s="194" t="s">
        <v>23</v>
      </c>
      <c r="AA32" s="194"/>
      <c r="AB32" s="193"/>
      <c r="AC32" s="194" t="s">
        <v>21</v>
      </c>
      <c r="AD32" s="194" t="s">
        <v>23</v>
      </c>
      <c r="AE32" s="194"/>
      <c r="AF32" s="194" t="s">
        <v>20</v>
      </c>
      <c r="AG32" s="195" t="s">
        <v>151</v>
      </c>
      <c r="AH32" s="194" t="s">
        <v>21</v>
      </c>
      <c r="AI32" s="194" t="s">
        <v>23</v>
      </c>
      <c r="AJ32" s="194"/>
      <c r="AK32" s="193"/>
      <c r="AL32" s="194" t="s">
        <v>21</v>
      </c>
      <c r="AM32" s="194" t="s">
        <v>23</v>
      </c>
      <c r="AN32" s="194"/>
      <c r="AO32" s="194" t="s">
        <v>20</v>
      </c>
      <c r="AP32" s="195" t="s">
        <v>151</v>
      </c>
      <c r="AQ32" s="194" t="s">
        <v>21</v>
      </c>
      <c r="AR32" s="194" t="s">
        <v>23</v>
      </c>
    </row>
    <row r="33" spans="2:72" ht="15" customHeight="1" x14ac:dyDescent="0.35">
      <c r="H33" s="909"/>
      <c r="I33" s="191"/>
      <c r="J33" s="194" t="s">
        <v>68</v>
      </c>
      <c r="K33" s="194" t="s">
        <v>45</v>
      </c>
      <c r="L33" s="194" t="s">
        <v>27</v>
      </c>
      <c r="M33" s="194"/>
      <c r="N33" s="194" t="s">
        <v>27</v>
      </c>
      <c r="O33" s="194" t="s">
        <v>27</v>
      </c>
      <c r="P33" s="194" t="s">
        <v>45</v>
      </c>
      <c r="Q33" s="194" t="s">
        <v>27</v>
      </c>
      <c r="R33" s="194"/>
      <c r="S33" s="194" t="s">
        <v>68</v>
      </c>
      <c r="T33" s="194" t="s">
        <v>45</v>
      </c>
      <c r="U33" s="194" t="s">
        <v>27</v>
      </c>
      <c r="V33" s="194"/>
      <c r="W33" s="194" t="s">
        <v>27</v>
      </c>
      <c r="X33" s="194" t="s">
        <v>27</v>
      </c>
      <c r="Y33" s="194" t="s">
        <v>45</v>
      </c>
      <c r="Z33" s="194" t="s">
        <v>27</v>
      </c>
      <c r="AA33" s="194"/>
      <c r="AB33" s="194" t="s">
        <v>68</v>
      </c>
      <c r="AC33" s="194" t="s">
        <v>45</v>
      </c>
      <c r="AD33" s="194" t="s">
        <v>27</v>
      </c>
      <c r="AE33" s="194"/>
      <c r="AF33" s="194" t="s">
        <v>27</v>
      </c>
      <c r="AG33" s="194" t="s">
        <v>27</v>
      </c>
      <c r="AH33" s="194" t="s">
        <v>45</v>
      </c>
      <c r="AI33" s="194" t="s">
        <v>27</v>
      </c>
      <c r="AJ33" s="194"/>
      <c r="AK33" s="194" t="s">
        <v>68</v>
      </c>
      <c r="AL33" s="194" t="s">
        <v>45</v>
      </c>
      <c r="AM33" s="194" t="s">
        <v>27</v>
      </c>
      <c r="AN33" s="194"/>
      <c r="AO33" s="194" t="s">
        <v>27</v>
      </c>
      <c r="AP33" s="194" t="s">
        <v>27</v>
      </c>
      <c r="AQ33" s="194" t="s">
        <v>45</v>
      </c>
      <c r="AR33" s="194" t="s">
        <v>27</v>
      </c>
    </row>
    <row r="34" spans="2:72" ht="15" customHeight="1" x14ac:dyDescent="0.35">
      <c r="H34" s="196" t="str">
        <f>"DMO "&amp;PY&amp;" price"</f>
        <v>DMO 2025-26 price</v>
      </c>
      <c r="I34" s="196"/>
      <c r="J34" s="204">
        <f>ROUND(SUM(Endeavour_RESwoCL_PY_cost),0)</f>
        <v>2411</v>
      </c>
      <c r="K34" s="198"/>
      <c r="L34" s="198"/>
      <c r="M34" s="198"/>
      <c r="N34" s="198"/>
      <c r="O34" s="198"/>
      <c r="P34" s="198"/>
      <c r="Q34" s="198"/>
      <c r="R34" s="198"/>
      <c r="S34" s="668">
        <f>SUM(Endeavour_REStou_PY_cost)</f>
        <v>0</v>
      </c>
      <c r="T34" s="664"/>
      <c r="U34" s="664"/>
      <c r="V34" s="199"/>
      <c r="W34" s="199"/>
      <c r="X34" s="198"/>
      <c r="Y34" s="198"/>
      <c r="Z34" s="198"/>
      <c r="AA34" s="198"/>
      <c r="AB34" s="204">
        <f>ROUND(SUM(Endeavour_SBwoCL_PY_cost),0)</f>
        <v>4775</v>
      </c>
      <c r="AC34" s="198"/>
      <c r="AD34" s="198"/>
      <c r="AE34" s="198"/>
      <c r="AF34" s="198"/>
      <c r="AG34" s="198"/>
      <c r="AH34" s="198"/>
      <c r="AI34" s="198"/>
      <c r="AJ34" s="198"/>
      <c r="AK34" s="668">
        <f>SUM(Endeavour_SBtou_PY_cost)</f>
        <v>0</v>
      </c>
      <c r="AL34" s="664"/>
      <c r="AM34" s="664"/>
      <c r="AN34" s="199"/>
      <c r="AO34" s="199"/>
      <c r="AP34" s="198"/>
      <c r="AQ34" s="198"/>
      <c r="AR34" s="198"/>
    </row>
    <row r="35" spans="2:72" ht="16.5" customHeight="1" x14ac:dyDescent="0.35">
      <c r="H35" s="201" t="s">
        <v>63</v>
      </c>
      <c r="I35" s="201"/>
      <c r="J35" s="200"/>
      <c r="K35" s="197" cm="1">
        <f t="array" ref="K35">_xlfn.XLOOKUP(1,($B$6=Wholesale_DistributionZone)*(J$29=Wholesale_CustomerType)*(J$30=Wholesale_TariffL2)*("Total inc GST"=Wholesale_Description),Wholesale_PY_CostTotal)</f>
        <v>998.46091350140671</v>
      </c>
      <c r="L35" s="198">
        <f>K35/J$34</f>
        <v>0.41412729718017699</v>
      </c>
      <c r="M35" s="198"/>
      <c r="N35" s="202">
        <f t="shared" ref="N35" si="0">IF(OR(K35=0,P35=""),"",P35/K35-1)</f>
        <v>-0.12602670941933058</v>
      </c>
      <c r="O35" s="202">
        <f>(P35-K35)/J34</f>
        <v>-5.2191100544338904E-2</v>
      </c>
      <c r="P35" s="197" cm="1">
        <f t="array" ref="P35">_xlfn.XLOOKUP(1,($B$6=Wholesale_DistributionZone)*(J$29=Wholesale_CustomerType)*(J$30=Wholesale_TariffL2)*("Total inc GST"=Wholesale_Description),Wholesale_FY_CostTotal)</f>
        <v>872.62817008900561</v>
      </c>
      <c r="Q35" s="198">
        <f>P35/J$40</f>
        <v>0.37484027924785462</v>
      </c>
      <c r="R35" s="197"/>
      <c r="S35" s="665"/>
      <c r="T35" s="663" cm="1">
        <f t="array" ref="T35">_xlfn.XLOOKUP(1,($B$6=Wholesale_DistributionZone)*(S$29=Wholesale_CustomerType)*(S$30=Wholesale_TariffType)*("Total inc GST"=Wholesale_Description),Wholesale_PY_CostTotal)</f>
        <v>0</v>
      </c>
      <c r="U35" s="664" t="str">
        <f t="shared" ref="U35" si="1">IFERROR(T35/S$34,"")</f>
        <v/>
      </c>
      <c r="V35" s="199"/>
      <c r="W35" s="203" t="str">
        <f t="shared" ref="W35" si="2">IF(OR(T35=0,Y35=""),"",Y35/T35-1)</f>
        <v/>
      </c>
      <c r="X35" s="202" t="str">
        <f t="shared" ref="X35" si="3">IFERROR((Y35-T35)/S34,"")</f>
        <v/>
      </c>
      <c r="Y35" s="197" cm="1">
        <f t="array" ref="Y35">_xlfn.XLOOKUP(1,($B$6=Wholesale_DistributionZone)*(S$29=Wholesale_CustomerType)*(S$30=Wholesale_TariffType)*("Total inc GST"=Wholesale_Description),Wholesale_FY_CostTotal)</f>
        <v>872.62702419664538</v>
      </c>
      <c r="Z35" s="198">
        <f>Y35/S$40</f>
        <v>0.37613233801579543</v>
      </c>
      <c r="AA35" s="197"/>
      <c r="AB35" s="200"/>
      <c r="AC35" s="197" cm="1">
        <f t="array" ref="AC35">_xlfn.XLOOKUP(1,($B$6=Wholesale_DistributionZone)*(AB$29=Wholesale_CustomerType)*(AB$30=Wholesale_TariffL2)*("Total inc GST"=Wholesale_Description),Wholesale_PY_CostTotal)</f>
        <v>2021.8353909019456</v>
      </c>
      <c r="AD35" s="198">
        <f>AC35/AB$34</f>
        <v>0.42342102427265876</v>
      </c>
      <c r="AE35" s="198"/>
      <c r="AF35" s="202">
        <f>IF(OR(AC35=0,AH35=""),"",AH35/AC35-1)</f>
        <v>-0.1266120967212091</v>
      </c>
      <c r="AG35" s="202">
        <f>(AH35-AC35)/AB34</f>
        <v>-5.361022367900331E-2</v>
      </c>
      <c r="AH35" s="197" cm="1">
        <f t="array" ref="AH35">_xlfn.XLOOKUP(1,($B$6=Wholesale_DistributionZone)*(AB$29=Wholesale_CustomerType)*(AB$30=Wholesale_TariffL2)*("Total inc GST"=Wholesale_Description),Wholesale_FY_CostTotal)</f>
        <v>1765.8465728347048</v>
      </c>
      <c r="AI35" s="198">
        <f>AH35/AB$40</f>
        <v>0.40659603334899952</v>
      </c>
      <c r="AJ35" s="197"/>
      <c r="AK35" s="665"/>
      <c r="AL35" s="663" cm="1">
        <f t="array" ref="AL35">_xlfn.XLOOKUP(1,($B$6=Wholesale_DistributionZone)*(AK$29=Wholesale_CustomerType)*(AK$30=Wholesale_TariffType)*("Total inc GST"=Wholesale_Description),Wholesale_PY_CostTotal)</f>
        <v>0</v>
      </c>
      <c r="AM35" s="664" t="str">
        <f t="shared" ref="AM35" si="4">IFERROR(AL35/AK$34,"")</f>
        <v/>
      </c>
      <c r="AN35" s="199"/>
      <c r="AO35" s="203" t="str">
        <f>IF(OR(AL35=0,AQ35=""),"",AQ35/AL35-1)</f>
        <v/>
      </c>
      <c r="AP35" s="202" t="str">
        <f t="shared" ref="AP35" si="5">IFERROR((AQ35-AL35)/AK34,"")</f>
        <v/>
      </c>
      <c r="AQ35" s="197" cm="1">
        <f t="array" ref="AQ35">_xlfn.XLOOKUP(1,($B$6=Wholesale_DistributionZone)*(AK$29=Wholesale_CustomerType)*(AK$30=Wholesale_TariffType)*("Total inc GST"=Wholesale_Description),Wholesale_FY_CostTotal)</f>
        <v>1765.8465728347051</v>
      </c>
      <c r="AR35" s="198">
        <f>AQ35/AK$40</f>
        <v>0.40819384485314497</v>
      </c>
    </row>
    <row r="36" spans="2:72" ht="16.5" customHeight="1" x14ac:dyDescent="0.35">
      <c r="H36" s="201" t="s">
        <v>62</v>
      </c>
      <c r="I36" s="201"/>
      <c r="J36" s="200"/>
      <c r="K36" s="197" cm="1">
        <f t="array" ref="K36">_xlfn.XLOOKUP(1,($B$6=Network_DistributionZone)*(J$29=Network_CustomerType)*(J$30=Network_TariffL2)*("Total inc GST"=Network_Description),Network_PY_CostTotal)</f>
        <v>836.50737499999991</v>
      </c>
      <c r="L36" s="198">
        <f>K36/J$34</f>
        <v>0.34695453131480708</v>
      </c>
      <c r="M36" s="198"/>
      <c r="N36" s="202">
        <f>IF(OR(K36=0,P36=""),"",P36/K36-1)</f>
        <v>9.5729553851836791E-2</v>
      </c>
      <c r="O36" s="202">
        <f>(P36-K36)/J34</f>
        <v>3.3213802489639607E-2</v>
      </c>
      <c r="P36" s="197" cm="1">
        <f t="array" ref="P36">_xlfn.XLOOKUP(1,($B$6=Network_DistributionZone)*(J$29=Network_CustomerType)*(J$30=Network_TariffL2)*("Blended"=Network_TariffType)*("Total inc GST"=Network_Description),Network_FY_CostTotal)</f>
        <v>916.585852802521</v>
      </c>
      <c r="Q36" s="198">
        <f>P36/J$40</f>
        <v>0.39372244536190765</v>
      </c>
      <c r="R36" s="198"/>
      <c r="S36" s="665"/>
      <c r="T36" s="663" cm="1">
        <f t="array" ref="T36">_xlfn.XLOOKUP(1,($B$6=Network_DistributionZone)*(S$29=Network_CustomerType)*(S$30=Network_TariffType)*("Total inc GST"=Network_Description),Network_PY_CostTotal)</f>
        <v>0</v>
      </c>
      <c r="U36" s="664" t="str">
        <f>IFERROR(T36/S$34,"")</f>
        <v/>
      </c>
      <c r="V36" s="199"/>
      <c r="W36" s="203" t="str">
        <f>IF(OR(T36=0,Y36=""),"",Y36/T36-1)</f>
        <v/>
      </c>
      <c r="X36" s="202" t="str">
        <f>IFERROR((Y36-T36)/S35,"")</f>
        <v/>
      </c>
      <c r="Y36" s="197" cm="1">
        <f t="array" ref="Y36">_xlfn.XLOOKUP(1,($B$6=Network_DistributionZone)*(S$29=Network_CustomerType)*(S$30=Network_TariffType)*("Total inc GST"=Network_Description),Network_FY_CostTotal)</f>
        <v>908.48004851317728</v>
      </c>
      <c r="Z36" s="198">
        <f>Y36/S$40</f>
        <v>0.39158622780740399</v>
      </c>
      <c r="AA36" s="198"/>
      <c r="AB36" s="200"/>
      <c r="AC36" s="197" cm="1">
        <f t="array" ref="AC36">_xlfn.XLOOKUP(1,($B$6=Network_DistributionZone)*(AB$29=Network_CustomerType)*(AB$30=Network_TariffL2)*("Total inc GST"=Network_Description),Network_PY_CostTotal)</f>
        <v>1597.5537049999998</v>
      </c>
      <c r="AD36" s="198">
        <f>AC36/AB$34</f>
        <v>0.33456622094240834</v>
      </c>
      <c r="AE36" s="198"/>
      <c r="AF36" s="202">
        <f>IF(OR(AC36=0,AH36=""),"",AH36/AC36-1)</f>
        <v>0.10602765376729706</v>
      </c>
      <c r="AG36" s="202">
        <f>(AH36-AC36)/AB34</f>
        <v>3.5473271436314693E-2</v>
      </c>
      <c r="AH36" s="197" cm="1">
        <f t="array" ref="AH36">_xlfn.XLOOKUP(1,($B$6=Network_DistributionZone)*(AB$29=Network_CustomerType)*(AB$30=Network_TariffL2)*("Blended"=Network_TariffType)*("Total inc GST"=Network_Description),Network_FY_CostTotal)</f>
        <v>1766.9385761084025</v>
      </c>
      <c r="AI36" s="198">
        <f>AH36/AB$40</f>
        <v>0.40684747320018477</v>
      </c>
      <c r="AJ36" s="198"/>
      <c r="AK36" s="665"/>
      <c r="AL36" s="663" cm="1">
        <f t="array" ref="AL36">_xlfn.XLOOKUP(1,($B$6=Network_DistributionZone)*(AK$29=Network_CustomerType)*(AK$30=Network_TariffType)*("Total inc GST"=Network_Description),Network_PY_CostTotal)</f>
        <v>0</v>
      </c>
      <c r="AM36" s="664" t="str">
        <f>IFERROR(AL36/AK$34,"")</f>
        <v/>
      </c>
      <c r="AN36" s="199"/>
      <c r="AO36" s="203" t="str">
        <f>IF(OR(AL36=0,AQ36=""),"",AQ36/AL36-1)</f>
        <v/>
      </c>
      <c r="AP36" s="202" t="str">
        <f>IFERROR((AQ36-AL36)/AK35,"")</f>
        <v/>
      </c>
      <c r="AQ36" s="197" cm="1">
        <f t="array" ref="AQ36">_xlfn.XLOOKUP(1,($B$6=Network_DistributionZone)*(AK$29=Network_CustomerType)*(AK$30=Network_TariffType)*("Total inc GST"=Network_Description),Network_FY_CostTotal)</f>
        <v>1750.8449368341446</v>
      </c>
      <c r="AR36" s="198">
        <f>AQ36/AK$40</f>
        <v>0.40472606029453179</v>
      </c>
    </row>
    <row r="37" spans="2:72" ht="16.5" customHeight="1" x14ac:dyDescent="0.35">
      <c r="H37" s="201" t="s">
        <v>64</v>
      </c>
      <c r="I37" s="201"/>
      <c r="J37" s="200"/>
      <c r="K37" s="197" cm="1">
        <f t="array" ref="K37">_xlfn.XLOOKUP(1,($B$6=Enviro_DistributionZone)*(J$29=Enviro_CustomerType)*(J$30=Enviro_TariffL2)*("Total inc GST"=Enviro_Description),Enviro_PY_CostTotal)</f>
        <v>87.407325012464099</v>
      </c>
      <c r="L37" s="198">
        <f>K37/J$34</f>
        <v>3.6253556620681915E-2</v>
      </c>
      <c r="M37" s="198"/>
      <c r="N37" s="202">
        <f t="shared" ref="N37:N39" si="6">IF(OR(K37=0,P37=""),"",P37/K37-1)</f>
        <v>-0.30754284929457731</v>
      </c>
      <c r="O37" s="202">
        <f>(P37-K37)/J34</f>
        <v>-1.1149522100186805E-2</v>
      </c>
      <c r="P37" s="197" cm="1">
        <f t="array" ref="P37">_xlfn.XLOOKUP(1,($B$6=Enviro_DistributionZone)*(J$29=Enviro_CustomerType)*(J$30=Enviro_TariffL2)*("Total inc GST"=Enviro_Description),Enviro_FY_CostTotal)</f>
        <v>60.525827228913712</v>
      </c>
      <c r="Q37" s="198">
        <f>P37/J$40</f>
        <v>2.5999066679086646E-2</v>
      </c>
      <c r="R37" s="198"/>
      <c r="S37" s="665"/>
      <c r="T37" s="663" cm="1">
        <f t="array" ref="T37">_xlfn.XLOOKUP(1,($B$6=Enviro_DistributionZone)*(S$29=Enviro_CustomerType)*(S$30=Enviro_TariffType)*("Total inc GST"=Enviro_Description),Enviro_PY_CostTotal)</f>
        <v>0</v>
      </c>
      <c r="U37" s="664" t="str">
        <f t="shared" ref="U37:U39" si="7">IFERROR(T37/S$34,"")</f>
        <v/>
      </c>
      <c r="V37" s="199"/>
      <c r="W37" s="203" t="str">
        <f t="shared" ref="W37:W39" si="8">IF(OR(T37=0,Y37=""),"",Y37/T37-1)</f>
        <v/>
      </c>
      <c r="X37" s="202" t="str">
        <f t="shared" ref="X37:X39" si="9">IFERROR((Y37-T37)/S36,"")</f>
        <v/>
      </c>
      <c r="Y37" s="197" cm="1">
        <f t="array" ref="Y37">_xlfn.XLOOKUP(1,($B$6=Enviro_DistributionZone)*(S$29=Enviro_CustomerType)*(S$30=Enviro_TariffType)*("Total inc GST"=Enviro_Description),Enviro_FY_CostTotal)</f>
        <v>60.525827228913705</v>
      </c>
      <c r="Z37" s="198">
        <f>Y37/S$40</f>
        <v>2.6088718633152458E-2</v>
      </c>
      <c r="AA37" s="198"/>
      <c r="AB37" s="200"/>
      <c r="AC37" s="197" cm="1">
        <f t="array" ref="AC37">_xlfn.XLOOKUP(1,($B$6=Enviro_DistributionZone)*(AB$29=Enviro_CustomerType)*(AB$30=Enviro_TariffL2)*("Total inc GST"=Enviro_Description),Enviro_PY_CostTotal)</f>
        <v>178.38229594380428</v>
      </c>
      <c r="AD37" s="198">
        <f>AC37/AB$34</f>
        <v>3.7357548888754824E-2</v>
      </c>
      <c r="AE37" s="198"/>
      <c r="AF37" s="202">
        <f>IF(OR(AC37=0,AH37=""),"",AH37/AC37-1)</f>
        <v>-0.30754284929457743</v>
      </c>
      <c r="AG37" s="202">
        <f>(AH37-AC37)/AB34</f>
        <v>-1.1489047027909132E-2</v>
      </c>
      <c r="AH37" s="197" cm="1">
        <f t="array" ref="AH37">_xlfn.XLOOKUP(1,($B$6=Enviro_DistributionZone)*(AB$29=Enviro_CustomerType)*(AB$30=Enviro_TariffL2)*("Total inc GST"=Enviro_Description),Enviro_FY_CostTotal)</f>
        <v>123.52209638553818</v>
      </c>
      <c r="AI37" s="198">
        <f>AH37/AB$40</f>
        <v>2.8441652402840936E-2</v>
      </c>
      <c r="AJ37" s="198"/>
      <c r="AK37" s="665"/>
      <c r="AL37" s="663" cm="1">
        <f t="array" ref="AL37">_xlfn.XLOOKUP(1,($B$6=Enviro_DistributionZone)*(AK$29=Enviro_CustomerType)*(AK$30=Enviro_TariffType)*("Total inc GST"=Enviro_Description),Enviro_PY_CostTotal)</f>
        <v>0</v>
      </c>
      <c r="AM37" s="664" t="str">
        <f t="shared" ref="AM37:AM39" si="10">IFERROR(AL37/AK$34,"")</f>
        <v/>
      </c>
      <c r="AN37" s="199"/>
      <c r="AO37" s="203" t="str">
        <f>IF(OR(AL37=0,AQ37=""),"",AQ37/AL37-1)</f>
        <v/>
      </c>
      <c r="AP37" s="202" t="str">
        <f t="shared" ref="AP37:AP39" si="11">IFERROR((AQ37-AL37)/AK36,"")</f>
        <v/>
      </c>
      <c r="AQ37" s="197" cm="1">
        <f t="array" ref="AQ37">_xlfn.XLOOKUP(1,($B$6=Enviro_DistributionZone)*(AK$29=Enviro_CustomerType)*(AK$30=Enviro_TariffType)*("Total inc GST"=Enviro_Description),Enviro_FY_CostTotal)</f>
        <v>123.52209638553818</v>
      </c>
      <c r="AR37" s="198">
        <f>AQ37/AK$40</f>
        <v>2.8553420338774428E-2</v>
      </c>
    </row>
    <row r="38" spans="2:72" ht="16.5" customHeight="1" x14ac:dyDescent="0.35">
      <c r="H38" s="201" t="s">
        <v>159</v>
      </c>
      <c r="I38" s="201"/>
      <c r="J38" s="200"/>
      <c r="K38" s="197" cm="1">
        <f t="array" ref="K38">_xlfn.XLOOKUP(1,($B$6=Retail_DistributionZone)*(J$29=Retail_CustomerType)*(J$30=Retail_TariffL2)*("Total inc GST"=Retail_Description),Retail_PY_CostTotal)</f>
        <v>344.30566121810301</v>
      </c>
      <c r="L38" s="198">
        <f>K38/J$34</f>
        <v>0.1428061639228963</v>
      </c>
      <c r="M38" s="198"/>
      <c r="N38" s="202">
        <f t="shared" si="6"/>
        <v>-1.5586744069388425E-2</v>
      </c>
      <c r="O38" s="202">
        <f>(P38-K38)/J34</f>
        <v>-2.22588312859731E-3</v>
      </c>
      <c r="P38" s="197" cm="1">
        <f t="array" ref="P38">_xlfn.XLOOKUP(1,($B$6=Retail_DistributionZone)*(J$29=Retail_CustomerType)*(J$30=Retail_TariffL2)*("Total inc GST"=Retail_Description),Retail_FY_CostTotal)</f>
        <v>338.9390569950549</v>
      </c>
      <c r="Q38" s="198">
        <f>P38/J$40</f>
        <v>0.14559237843430192</v>
      </c>
      <c r="R38" s="198"/>
      <c r="S38" s="665"/>
      <c r="T38" s="663" cm="1">
        <f t="array" ref="T38">_xlfn.XLOOKUP(1,($B$6=Retail_DistributionZone)*(S$29=Retail_CustomerType)*(S$30=Retail_TariffType)*("Total inc GST"=Retail_Description),Retail_PY_CostTotal)</f>
        <v>0</v>
      </c>
      <c r="U38" s="664" t="str">
        <f t="shared" si="7"/>
        <v/>
      </c>
      <c r="V38" s="199"/>
      <c r="W38" s="203" t="str">
        <f t="shared" si="8"/>
        <v/>
      </c>
      <c r="X38" s="202" t="str">
        <f t="shared" si="9"/>
        <v/>
      </c>
      <c r="Y38" s="197" cm="1">
        <f t="array" ref="Y38">_xlfn.XLOOKUP(1,($B$6=Retail_DistributionZone)*(S$29=Retail_CustomerType)*(S$30=Retail_TariffType)*("Total inc GST"=Retail_Description),Retail_FY_CostTotal)</f>
        <v>338.9390569950549</v>
      </c>
      <c r="Z38" s="198">
        <f>Y38/S$40</f>
        <v>0.14609442111855814</v>
      </c>
      <c r="AA38" s="198"/>
      <c r="AB38" s="200"/>
      <c r="AC38" s="197" cm="1">
        <f t="array" ref="AC38">_xlfn.XLOOKUP(1,($B$6=Retail_DistributionZone)*(AB$29=Retail_CustomerType)*(AB$30=Retail_TariffL2)*("Total inc GST"=Retail_Description),Retail_PY_CostTotal)</f>
        <v>452.18958272305747</v>
      </c>
      <c r="AD38" s="198">
        <f>AC38/AB$34</f>
        <v>9.4699389051949204E-2</v>
      </c>
      <c r="AE38" s="198"/>
      <c r="AF38" s="202">
        <f>IF(OR(AC38=0,AH38=""),"",AH38/AC38-1)</f>
        <v>-5.7505633556177549E-2</v>
      </c>
      <c r="AG38" s="202">
        <f>(AH38-AC38)/AB34</f>
        <v>-5.445748364815285E-3</v>
      </c>
      <c r="AH38" s="197" cm="1">
        <f t="array" ref="AH38">_xlfn.XLOOKUP(1,($B$6=Retail_DistributionZone)*(AB$29=Retail_CustomerType)*(AB$30=Retail_TariffL2)*("Total inc GST"=Retail_Description),Retail_FY_CostTotal)</f>
        <v>426.18613428106448</v>
      </c>
      <c r="AI38" s="198">
        <f>AH38/AB$40</f>
        <v>9.8131737112840081E-2</v>
      </c>
      <c r="AJ38" s="198"/>
      <c r="AK38" s="665"/>
      <c r="AL38" s="663" cm="1">
        <f t="array" ref="AL38">_xlfn.XLOOKUP(1,($B$6=Retail_DistributionZone)*(AK$29=Retail_CustomerType)*(AK$30=Retail_TariffType)*("Total inc GST"=Retail_Description),Retail_PY_CostTotal)</f>
        <v>0</v>
      </c>
      <c r="AM38" s="664" t="str">
        <f t="shared" si="10"/>
        <v/>
      </c>
      <c r="AN38" s="199"/>
      <c r="AO38" s="203" t="str">
        <f>IF(OR(AL38=0,AQ38=""),"",AQ38/AL38-1)</f>
        <v/>
      </c>
      <c r="AP38" s="202" t="str">
        <f t="shared" si="11"/>
        <v/>
      </c>
      <c r="AQ38" s="197" cm="1">
        <f t="array" ref="AQ38">_xlfn.XLOOKUP(1,($B$6=Retail_DistributionZone)*(AK$29=Retail_CustomerType)*(AK$30=Retail_TariffType)*("Total inc GST"=Retail_Description),Retail_FY_CostTotal)</f>
        <v>426.18613428106448</v>
      </c>
      <c r="AR38" s="198">
        <f>AQ38/AK$40</f>
        <v>9.8517368072368119E-2</v>
      </c>
    </row>
    <row r="39" spans="2:72" ht="16.5" customHeight="1" x14ac:dyDescent="0.35">
      <c r="H39" s="201" t="s">
        <v>192</v>
      </c>
      <c r="I39" s="201"/>
      <c r="J39" s="200"/>
      <c r="K39" s="197">
        <f>SUM(K35:K38)/(1-RetailMargin_RES)-SUM(K35:K38)</f>
        <v>144.68178349353047</v>
      </c>
      <c r="L39" s="198">
        <f>K39/J$34</f>
        <v>6.0009035045014716E-2</v>
      </c>
      <c r="M39" s="198"/>
      <c r="N39" s="202">
        <f t="shared" si="6"/>
        <v>-3.4412587462568145E-2</v>
      </c>
      <c r="O39" s="202">
        <f>(P39-K39)/J34</f>
        <v>-2.0650661670308826E-3</v>
      </c>
      <c r="P39" s="197">
        <f>SUM(P35:P38)/(1-RetailMargin_RES)-SUM(P35:P38)</f>
        <v>139.70290896481902</v>
      </c>
      <c r="Q39" s="198">
        <f>P39/J$40</f>
        <v>6.0009840620626725E-2</v>
      </c>
      <c r="R39" s="198"/>
      <c r="S39" s="665"/>
      <c r="T39" s="663">
        <f>SUM(T35:T38)/(1-RetailMargin_RES)-SUM(T35:T38)</f>
        <v>0</v>
      </c>
      <c r="U39" s="664" t="str">
        <f t="shared" si="7"/>
        <v/>
      </c>
      <c r="V39" s="199"/>
      <c r="W39" s="203" t="str">
        <f t="shared" si="8"/>
        <v/>
      </c>
      <c r="X39" s="202" t="str">
        <f t="shared" si="9"/>
        <v/>
      </c>
      <c r="Y39" s="197">
        <f>SUM(Y35:Y38)/(1-RetailMargin_RES)-SUM(Y35:Y38)</f>
        <v>139.18544405960392</v>
      </c>
      <c r="Z39" s="198">
        <f>Y39/S$40</f>
        <v>5.9993725887760314E-2</v>
      </c>
      <c r="AA39" s="198"/>
      <c r="AB39" s="200"/>
      <c r="AC39" s="197">
        <f>SUM(AC35:AC38)/(1-RetailMargin_PY_SB)-SUM(AC35:AC38)</f>
        <v>525.27607550850462</v>
      </c>
      <c r="AD39" s="198">
        <f>AC39/AB$34</f>
        <v>0.1100054608394774</v>
      </c>
      <c r="AE39" s="198"/>
      <c r="AF39" s="202">
        <f>IF(OR(AC39=0,AH39=""),"",AH39/AC39-1)</f>
        <v>-0.5039090947505831</v>
      </c>
      <c r="AG39" s="202">
        <f>(AH39-AC39)/AB34</f>
        <v>-5.5432752189241784E-2</v>
      </c>
      <c r="AH39" s="197">
        <f>SUM(AH35:AH38)/(1-RetailMargin_FY_SB)-SUM(AH35:AH38)</f>
        <v>260.58468380487511</v>
      </c>
      <c r="AI39" s="198">
        <f>AH39/AB$40</f>
        <v>6.0001078472225446E-2</v>
      </c>
      <c r="AJ39" s="198"/>
      <c r="AK39" s="665"/>
      <c r="AL39" s="663">
        <f>SUM(AL35:AL38)/(1-RetailMargin_FY_SB)-SUM(AL35:AL38)</f>
        <v>0</v>
      </c>
      <c r="AM39" s="664" t="str">
        <f t="shared" si="10"/>
        <v/>
      </c>
      <c r="AN39" s="199"/>
      <c r="AO39" s="203" t="str">
        <f>IF(OR(AL39=0,AQ39=""),"",AQ39/AL39-1)</f>
        <v/>
      </c>
      <c r="AP39" s="202" t="str">
        <f t="shared" si="11"/>
        <v/>
      </c>
      <c r="AQ39" s="197">
        <f>SUM(AQ35:AQ38)/(1-RetailMargin_FY_SB)-SUM(AQ35:AQ38)</f>
        <v>259.55743023417836</v>
      </c>
      <c r="AR39" s="198">
        <f>AQ39/AK$40</f>
        <v>5.9999405971839656E-2</v>
      </c>
    </row>
    <row r="40" spans="2:72" ht="16.5" customHeight="1" thickBot="1" x14ac:dyDescent="0.4">
      <c r="B40" s="181"/>
      <c r="H40" s="205" t="str">
        <f>"DMO "&amp;FY&amp;" price"</f>
        <v>DMO 2026-27 price</v>
      </c>
      <c r="I40" s="205"/>
      <c r="J40" s="545">
        <f>ROUND(SUM(P35:P39),0)</f>
        <v>2328</v>
      </c>
      <c r="K40" s="207"/>
      <c r="L40" s="207"/>
      <c r="M40" s="207"/>
      <c r="N40" s="207">
        <f>J40/J34-1</f>
        <v>-3.4425549564496061E-2</v>
      </c>
      <c r="O40" s="207"/>
      <c r="P40" s="207"/>
      <c r="Q40" s="207"/>
      <c r="R40" s="207"/>
      <c r="S40" s="545">
        <f>ROUND(SUM(Y35:Y39),0)</f>
        <v>2320</v>
      </c>
      <c r="T40" s="207"/>
      <c r="U40" s="207"/>
      <c r="V40" s="207"/>
      <c r="W40" s="207" t="str">
        <f>IFERROR(S40/S34-1,"")</f>
        <v/>
      </c>
      <c r="X40" s="207"/>
      <c r="Y40" s="207"/>
      <c r="Z40" s="207"/>
      <c r="AA40" s="207"/>
      <c r="AB40" s="545">
        <f>ROUND(SUM(AH35:AH39),0)</f>
        <v>4343</v>
      </c>
      <c r="AC40" s="207"/>
      <c r="AD40" s="207"/>
      <c r="AE40" s="207"/>
      <c r="AF40" s="207">
        <f>AB40/AB34-1</f>
        <v>-9.0471204188481646E-2</v>
      </c>
      <c r="AG40" s="207"/>
      <c r="AH40" s="207"/>
      <c r="AI40" s="207"/>
      <c r="AJ40" s="207"/>
      <c r="AK40" s="545">
        <f>ROUND(SUM(AQ35:AQ39),0)</f>
        <v>4326</v>
      </c>
      <c r="AL40" s="207"/>
      <c r="AM40" s="207"/>
      <c r="AN40" s="207"/>
      <c r="AO40" s="207" t="str">
        <f>IFERROR(AK40/AK34-1,"")</f>
        <v/>
      </c>
      <c r="AP40" s="207"/>
      <c r="AQ40" s="207"/>
      <c r="AR40" s="207"/>
    </row>
    <row r="41" spans="2:72" s="238" customFormat="1" ht="14.5" thickTop="1" x14ac:dyDescent="0.35"/>
    <row r="42" spans="2:72" x14ac:dyDescent="0.35">
      <c r="H42" s="29"/>
      <c r="J42" s="210"/>
      <c r="O42" s="211"/>
      <c r="P42" s="210"/>
      <c r="R42" s="35"/>
      <c r="S42" s="210"/>
      <c r="Z42" s="210"/>
    </row>
    <row r="43" spans="2:72" x14ac:dyDescent="0.35">
      <c r="J43" s="210"/>
      <c r="K43" s="68"/>
      <c r="N43" s="215"/>
      <c r="O43" s="211"/>
      <c r="P43" s="216"/>
      <c r="Q43" s="216"/>
      <c r="R43" s="216"/>
      <c r="S43" s="216"/>
      <c r="T43" s="216"/>
      <c r="U43" s="216"/>
      <c r="V43" s="216"/>
      <c r="W43" s="216"/>
      <c r="X43" s="216"/>
      <c r="Y43" s="216"/>
      <c r="Z43" s="216"/>
    </row>
    <row r="44" spans="2:72" x14ac:dyDescent="0.35">
      <c r="H44" s="209"/>
      <c r="N44" s="215"/>
      <c r="O44" s="211"/>
      <c r="P44" s="216"/>
      <c r="Q44" s="216"/>
      <c r="R44" s="216"/>
      <c r="S44" s="216"/>
      <c r="T44" s="216"/>
      <c r="U44" s="216"/>
      <c r="W44" s="216"/>
      <c r="X44" s="216"/>
      <c r="Y44" s="216"/>
      <c r="Z44" s="216"/>
      <c r="AA44" s="216"/>
      <c r="AC44" s="210"/>
    </row>
    <row r="45" spans="2:72" ht="14.5" x14ac:dyDescent="0.35">
      <c r="H45" s="217" t="s">
        <v>125</v>
      </c>
      <c r="J45" s="160"/>
      <c r="K45" s="160"/>
      <c r="L45" s="160" t="s">
        <v>276</v>
      </c>
      <c r="M45" s="160"/>
      <c r="N45" s="160"/>
      <c r="O45" s="160"/>
      <c r="P45" s="160" t="s">
        <v>276</v>
      </c>
      <c r="Q45" s="160"/>
      <c r="R45" s="160"/>
      <c r="S45" s="160"/>
      <c r="T45" s="160"/>
      <c r="U45" s="160" t="s">
        <v>280</v>
      </c>
      <c r="V45" s="160" t="s">
        <v>281</v>
      </c>
      <c r="W45" s="160" t="s">
        <v>279</v>
      </c>
      <c r="X45" s="160" t="s">
        <v>282</v>
      </c>
      <c r="Y45" s="160" t="s">
        <v>272</v>
      </c>
      <c r="Z45" s="160"/>
      <c r="AA45" s="160"/>
      <c r="AB45" s="160" t="s">
        <v>280</v>
      </c>
      <c r="AC45" s="160" t="s">
        <v>281</v>
      </c>
      <c r="AD45" s="160" t="s">
        <v>279</v>
      </c>
      <c r="AE45" s="160" t="s">
        <v>282</v>
      </c>
      <c r="AF45" s="160" t="s">
        <v>272</v>
      </c>
      <c r="AG45" s="160"/>
      <c r="AH45" s="160"/>
      <c r="AI45" s="160"/>
      <c r="AJ45" s="160"/>
      <c r="AK45" s="160"/>
      <c r="AL45" s="160"/>
      <c r="AM45" s="160"/>
      <c r="AN45" s="160"/>
      <c r="AO45" s="160"/>
      <c r="AP45" s="160"/>
      <c r="AQ45" s="160"/>
      <c r="AR45" s="160"/>
      <c r="AS45" s="160"/>
      <c r="AT45" s="160"/>
      <c r="AU45" s="160" t="s">
        <v>280</v>
      </c>
      <c r="AV45" s="160" t="s">
        <v>281</v>
      </c>
      <c r="AW45" s="160" t="s">
        <v>279</v>
      </c>
      <c r="AX45" s="160" t="s">
        <v>282</v>
      </c>
      <c r="AY45" s="160" t="s">
        <v>272</v>
      </c>
      <c r="AZ45" s="160"/>
      <c r="BA45" s="160"/>
      <c r="BB45" s="160" t="s">
        <v>280</v>
      </c>
      <c r="BC45" s="160" t="s">
        <v>281</v>
      </c>
      <c r="BD45" s="160" t="s">
        <v>279</v>
      </c>
      <c r="BE45" s="160" t="s">
        <v>282</v>
      </c>
      <c r="BF45" s="160" t="s">
        <v>272</v>
      </c>
      <c r="BG45" s="160"/>
      <c r="BI45" s="217" t="s">
        <v>125</v>
      </c>
      <c r="BJ45" s="160"/>
      <c r="BK45" s="160" t="s">
        <v>272</v>
      </c>
      <c r="BL45" s="160"/>
      <c r="BM45" s="160" t="s">
        <v>279</v>
      </c>
      <c r="BN45" s="160" t="s">
        <v>282</v>
      </c>
      <c r="BO45" s="160" t="s">
        <v>282</v>
      </c>
      <c r="BP45" s="160" t="s">
        <v>272</v>
      </c>
      <c r="BQ45" s="160"/>
    </row>
    <row r="46" spans="2:72" s="219" customFormat="1" x14ac:dyDescent="0.35">
      <c r="H46" s="220" t="s">
        <v>32</v>
      </c>
      <c r="I46" s="221"/>
      <c r="J46" s="220"/>
      <c r="K46" s="907" t="s">
        <v>6</v>
      </c>
      <c r="L46" s="907"/>
      <c r="M46" s="907"/>
      <c r="N46" s="907"/>
      <c r="O46" s="907"/>
      <c r="P46" s="907"/>
      <c r="Q46" s="223"/>
      <c r="R46" s="30"/>
      <c r="S46" s="224"/>
      <c r="T46" s="907" t="s">
        <v>6</v>
      </c>
      <c r="U46" s="907"/>
      <c r="V46" s="907"/>
      <c r="W46" s="907"/>
      <c r="X46" s="907"/>
      <c r="Y46" s="907"/>
      <c r="Z46" s="907"/>
      <c r="AA46" s="907"/>
      <c r="AB46" s="907"/>
      <c r="AC46" s="907"/>
      <c r="AD46" s="907"/>
      <c r="AE46" s="907"/>
      <c r="AF46" s="907"/>
      <c r="AG46" s="220"/>
      <c r="AH46" s="30"/>
      <c r="AI46" s="224"/>
      <c r="AJ46" s="907" t="s">
        <v>76</v>
      </c>
      <c r="AK46" s="907"/>
      <c r="AL46" s="907"/>
      <c r="AM46" s="907"/>
      <c r="AN46" s="907"/>
      <c r="AO46" s="907"/>
      <c r="AP46" s="223"/>
      <c r="AQ46" s="30"/>
      <c r="AR46" s="222"/>
      <c r="AS46" s="224"/>
      <c r="AT46" s="907" t="s">
        <v>76</v>
      </c>
      <c r="AU46" s="907"/>
      <c r="AV46" s="907"/>
      <c r="AW46" s="907"/>
      <c r="AX46" s="907"/>
      <c r="AY46" s="907"/>
      <c r="AZ46" s="907"/>
      <c r="BA46" s="907"/>
      <c r="BB46" s="907"/>
      <c r="BC46" s="907"/>
      <c r="BD46" s="907"/>
      <c r="BE46" s="907"/>
      <c r="BF46" s="907"/>
      <c r="BG46" s="222"/>
      <c r="BH46" s="30"/>
      <c r="BI46" s="546" t="s">
        <v>32</v>
      </c>
      <c r="BJ46" s="546"/>
      <c r="BK46" s="900" t="s">
        <v>6</v>
      </c>
      <c r="BL46" s="900"/>
      <c r="BM46" s="900"/>
      <c r="BN46" s="900"/>
      <c r="BO46" s="546"/>
      <c r="BP46" s="546"/>
      <c r="BQ46" s="546"/>
      <c r="BR46" s="546"/>
      <c r="BS46" s="546"/>
      <c r="BT46" s="546"/>
    </row>
    <row r="47" spans="2:72" s="219" customFormat="1" ht="15.75" customHeight="1" thickBot="1" x14ac:dyDescent="0.4">
      <c r="H47" s="220"/>
      <c r="I47" s="220"/>
      <c r="J47" s="220"/>
      <c r="K47" s="905" t="s">
        <v>19</v>
      </c>
      <c r="L47" s="905"/>
      <c r="M47" s="905"/>
      <c r="N47" s="905"/>
      <c r="O47" s="905"/>
      <c r="P47" s="905"/>
      <c r="Q47" s="223"/>
      <c r="R47" s="30"/>
      <c r="S47" s="224"/>
      <c r="T47" s="905" t="s">
        <v>272</v>
      </c>
      <c r="U47" s="905"/>
      <c r="V47" s="905"/>
      <c r="W47" s="905"/>
      <c r="X47" s="905"/>
      <c r="Y47" s="905"/>
      <c r="Z47" s="905"/>
      <c r="AA47" s="905"/>
      <c r="AB47" s="905"/>
      <c r="AC47" s="905"/>
      <c r="AD47" s="905"/>
      <c r="AE47" s="905"/>
      <c r="AF47" s="905"/>
      <c r="AG47" s="220"/>
      <c r="AH47" s="30"/>
      <c r="AI47" s="224"/>
      <c r="AJ47" s="905" t="s">
        <v>19</v>
      </c>
      <c r="AK47" s="905"/>
      <c r="AL47" s="905"/>
      <c r="AM47" s="905"/>
      <c r="AN47" s="905"/>
      <c r="AO47" s="905"/>
      <c r="AP47" s="223"/>
      <c r="AQ47" s="30"/>
      <c r="AR47" s="222"/>
      <c r="AS47" s="224"/>
      <c r="AT47" s="905" t="s">
        <v>272</v>
      </c>
      <c r="AU47" s="905"/>
      <c r="AV47" s="905"/>
      <c r="AW47" s="905"/>
      <c r="AX47" s="905"/>
      <c r="AY47" s="905"/>
      <c r="AZ47" s="905"/>
      <c r="BA47" s="905"/>
      <c r="BB47" s="905"/>
      <c r="BC47" s="905"/>
      <c r="BD47" s="905"/>
      <c r="BE47" s="905"/>
      <c r="BF47" s="905"/>
      <c r="BG47" s="222"/>
      <c r="BH47" s="30"/>
      <c r="BI47" s="546"/>
      <c r="BJ47" s="546"/>
      <c r="BK47" s="899" t="s">
        <v>300</v>
      </c>
      <c r="BL47" s="899"/>
      <c r="BM47" s="899"/>
      <c r="BN47" s="899"/>
      <c r="BO47" s="546"/>
      <c r="BP47" s="546"/>
      <c r="BQ47" s="546"/>
      <c r="BR47" s="546"/>
      <c r="BS47" s="546"/>
      <c r="BT47" s="546"/>
    </row>
    <row r="48" spans="2:72" s="219" customFormat="1" ht="15.75" customHeight="1" thickBot="1" x14ac:dyDescent="0.4">
      <c r="H48" s="220"/>
      <c r="I48" s="221"/>
      <c r="J48" s="222"/>
      <c r="K48" s="910" t="str">
        <f>PY</f>
        <v>2025-26</v>
      </c>
      <c r="L48" s="910"/>
      <c r="M48" s="222"/>
      <c r="N48" s="225"/>
      <c r="O48" s="910" t="str">
        <f>FY</f>
        <v>2026-27</v>
      </c>
      <c r="P48" s="910"/>
      <c r="Q48" s="223"/>
      <c r="R48" s="30"/>
      <c r="S48" s="224"/>
      <c r="T48" s="910" t="str">
        <f>PY</f>
        <v>2025-26</v>
      </c>
      <c r="U48" s="910"/>
      <c r="V48" s="910"/>
      <c r="W48" s="910"/>
      <c r="X48" s="910"/>
      <c r="Y48" s="910"/>
      <c r="Z48" s="220"/>
      <c r="AA48" s="910" t="str">
        <f>FY</f>
        <v>2026-27</v>
      </c>
      <c r="AB48" s="910"/>
      <c r="AC48" s="910"/>
      <c r="AD48" s="910"/>
      <c r="AE48" s="910"/>
      <c r="AF48" s="910"/>
      <c r="AG48" s="222"/>
      <c r="AH48" s="30"/>
      <c r="AI48" s="224"/>
      <c r="AJ48" s="910" t="str">
        <f>PY</f>
        <v>2025-26</v>
      </c>
      <c r="AK48" s="910"/>
      <c r="AL48" s="222"/>
      <c r="AM48" s="225"/>
      <c r="AN48" s="910" t="str">
        <f>FY</f>
        <v>2026-27</v>
      </c>
      <c r="AO48" s="910"/>
      <c r="AP48" s="223"/>
      <c r="AQ48" s="30"/>
      <c r="AR48" s="222"/>
      <c r="AS48" s="224"/>
      <c r="AT48" s="910" t="str">
        <f>PY</f>
        <v>2025-26</v>
      </c>
      <c r="AU48" s="910"/>
      <c r="AV48" s="910"/>
      <c r="AW48" s="910"/>
      <c r="AX48" s="910"/>
      <c r="AY48" s="910"/>
      <c r="AZ48" s="220"/>
      <c r="BA48" s="910" t="str">
        <f>FY</f>
        <v>2026-27</v>
      </c>
      <c r="BB48" s="910"/>
      <c r="BC48" s="910"/>
      <c r="BD48" s="910"/>
      <c r="BE48" s="910"/>
      <c r="BF48" s="910"/>
      <c r="BG48" s="222"/>
      <c r="BH48" s="30"/>
      <c r="BI48" s="546"/>
      <c r="BJ48" s="547"/>
      <c r="BK48" s="898" t="str">
        <f>FY</f>
        <v>2026-27</v>
      </c>
      <c r="BL48" s="898"/>
      <c r="BM48" s="898"/>
      <c r="BN48" s="898"/>
      <c r="BO48" s="556"/>
      <c r="BP48" s="556"/>
      <c r="BQ48" s="556"/>
      <c r="BR48" s="556"/>
      <c r="BS48" s="556"/>
      <c r="BT48" s="546"/>
    </row>
    <row r="49" spans="1:72" s="228" customFormat="1" ht="27" customHeight="1" x14ac:dyDescent="0.35">
      <c r="H49" s="220"/>
      <c r="I49" s="226"/>
      <c r="J49" s="224"/>
      <c r="K49" s="225" t="s">
        <v>46</v>
      </c>
      <c r="L49" s="225" t="s">
        <v>47</v>
      </c>
      <c r="M49" s="225"/>
      <c r="N49" s="225"/>
      <c r="O49" s="225" t="s">
        <v>46</v>
      </c>
      <c r="P49" s="225" t="s">
        <v>47</v>
      </c>
      <c r="Q49" s="223"/>
      <c r="R49" s="30"/>
      <c r="S49" s="224"/>
      <c r="T49" s="225" t="s">
        <v>46</v>
      </c>
      <c r="U49" s="901" t="s">
        <v>47</v>
      </c>
      <c r="V49" s="901"/>
      <c r="W49" s="901"/>
      <c r="X49" s="901"/>
      <c r="Y49" s="901"/>
      <c r="Z49" s="224"/>
      <c r="AA49" s="225" t="s">
        <v>46</v>
      </c>
      <c r="AB49" s="901" t="s">
        <v>47</v>
      </c>
      <c r="AC49" s="901"/>
      <c r="AD49" s="901"/>
      <c r="AE49" s="901"/>
      <c r="AF49" s="901"/>
      <c r="AG49" s="225"/>
      <c r="AH49" s="30"/>
      <c r="AI49" s="224"/>
      <c r="AJ49" s="225" t="s">
        <v>46</v>
      </c>
      <c r="AK49" s="225" t="s">
        <v>47</v>
      </c>
      <c r="AL49" s="225"/>
      <c r="AM49" s="225"/>
      <c r="AN49" s="225" t="s">
        <v>46</v>
      </c>
      <c r="AO49" s="225" t="s">
        <v>47</v>
      </c>
      <c r="AP49" s="223"/>
      <c r="AQ49" s="30"/>
      <c r="AR49" s="224"/>
      <c r="AS49" s="224"/>
      <c r="AT49" s="225" t="s">
        <v>46</v>
      </c>
      <c r="AU49" s="902" t="s">
        <v>47</v>
      </c>
      <c r="AV49" s="902"/>
      <c r="AW49" s="902"/>
      <c r="AX49" s="902"/>
      <c r="AY49" s="902"/>
      <c r="AZ49" s="225"/>
      <c r="BA49" s="225" t="s">
        <v>46</v>
      </c>
      <c r="BB49" s="902" t="s">
        <v>47</v>
      </c>
      <c r="BC49" s="902"/>
      <c r="BD49" s="902"/>
      <c r="BE49" s="902"/>
      <c r="BF49" s="902"/>
      <c r="BG49" s="224"/>
      <c r="BH49" s="30"/>
      <c r="BI49" s="546"/>
      <c r="BJ49" s="549"/>
      <c r="BK49" s="548" t="s">
        <v>46</v>
      </c>
      <c r="BL49" s="911" t="s">
        <v>47</v>
      </c>
      <c r="BM49" s="911"/>
      <c r="BN49" s="911"/>
      <c r="BO49" s="911"/>
      <c r="BP49" s="911"/>
      <c r="BT49" s="550"/>
    </row>
    <row r="50" spans="1:72" s="228" customFormat="1" ht="37.5" x14ac:dyDescent="0.35">
      <c r="H50" s="220"/>
      <c r="I50" s="226"/>
      <c r="J50" s="223"/>
      <c r="K50" s="44" t="s">
        <v>262</v>
      </c>
      <c r="L50" s="44" t="s">
        <v>268</v>
      </c>
      <c r="M50" s="44"/>
      <c r="N50" s="44"/>
      <c r="O50" s="44" t="s">
        <v>262</v>
      </c>
      <c r="P50" s="44" t="s">
        <v>268</v>
      </c>
      <c r="Q50" s="223"/>
      <c r="R50" s="30"/>
      <c r="S50" s="223"/>
      <c r="T50" s="44" t="s">
        <v>272</v>
      </c>
      <c r="U50" s="44" t="s">
        <v>270</v>
      </c>
      <c r="V50" s="44" t="s">
        <v>269</v>
      </c>
      <c r="W50" s="44" t="s">
        <v>264</v>
      </c>
      <c r="X50" s="44" t="s">
        <v>271</v>
      </c>
      <c r="Y50" s="44" t="s">
        <v>265</v>
      </c>
      <c r="Z50" s="223"/>
      <c r="AA50" s="44" t="s">
        <v>272</v>
      </c>
      <c r="AB50" s="44" t="s">
        <v>270</v>
      </c>
      <c r="AC50" s="44" t="s">
        <v>269</v>
      </c>
      <c r="AD50" s="44" t="s">
        <v>264</v>
      </c>
      <c r="AE50" s="44" t="s">
        <v>271</v>
      </c>
      <c r="AF50" s="44"/>
      <c r="AG50" s="44"/>
      <c r="AH50" s="30"/>
      <c r="AI50" s="223"/>
      <c r="AJ50" s="44" t="s">
        <v>19</v>
      </c>
      <c r="AK50" s="44" t="s">
        <v>19</v>
      </c>
      <c r="AL50" s="44"/>
      <c r="AM50" s="44"/>
      <c r="AN50" s="44" t="s">
        <v>19</v>
      </c>
      <c r="AO50" s="44" t="s">
        <v>19</v>
      </c>
      <c r="AP50" s="44" t="s">
        <v>401</v>
      </c>
      <c r="AQ50" s="30"/>
      <c r="AR50" s="223"/>
      <c r="AS50" s="223"/>
      <c r="AT50" s="44" t="s">
        <v>272</v>
      </c>
      <c r="AU50" s="44" t="s">
        <v>270</v>
      </c>
      <c r="AV50" s="44" t="s">
        <v>269</v>
      </c>
      <c r="AW50" s="44" t="s">
        <v>264</v>
      </c>
      <c r="AX50" s="44" t="s">
        <v>271</v>
      </c>
      <c r="AY50" s="44"/>
      <c r="AZ50" s="44"/>
      <c r="BA50" s="44" t="s">
        <v>272</v>
      </c>
      <c r="BB50" s="44" t="s">
        <v>270</v>
      </c>
      <c r="BC50" s="44" t="s">
        <v>269</v>
      </c>
      <c r="BD50" s="44" t="s">
        <v>264</v>
      </c>
      <c r="BE50" s="44" t="s">
        <v>271</v>
      </c>
      <c r="BF50" s="44"/>
      <c r="BG50" s="223"/>
      <c r="BH50" s="30"/>
      <c r="BI50" s="546"/>
      <c r="BJ50" s="549"/>
      <c r="BK50" s="550" t="s">
        <v>272</v>
      </c>
      <c r="BL50" s="550" t="s">
        <v>263</v>
      </c>
      <c r="BM50" s="550" t="s">
        <v>264</v>
      </c>
      <c r="BN50" s="550" t="s">
        <v>271</v>
      </c>
      <c r="BO50" s="550" t="s">
        <v>271</v>
      </c>
      <c r="BP50" s="550"/>
      <c r="BT50" s="550"/>
    </row>
    <row r="51" spans="1:72" x14ac:dyDescent="0.35">
      <c r="H51" s="196"/>
      <c r="I51" s="196"/>
      <c r="J51" s="197"/>
      <c r="K51" s="229" t="s">
        <v>266</v>
      </c>
      <c r="L51" s="229" t="s">
        <v>246</v>
      </c>
      <c r="M51" s="229"/>
      <c r="N51" s="229"/>
      <c r="O51" s="229" t="s">
        <v>266</v>
      </c>
      <c r="P51" s="229" t="s">
        <v>246</v>
      </c>
      <c r="Q51" s="198"/>
      <c r="S51" s="197"/>
      <c r="T51" s="229" t="s">
        <v>266</v>
      </c>
      <c r="U51" s="229" t="s">
        <v>246</v>
      </c>
      <c r="V51" s="229" t="s">
        <v>246</v>
      </c>
      <c r="W51" s="229" t="s">
        <v>246</v>
      </c>
      <c r="X51" s="229" t="s">
        <v>246</v>
      </c>
      <c r="Y51" s="229" t="s">
        <v>246</v>
      </c>
      <c r="Z51" s="198"/>
      <c r="AA51" s="229" t="s">
        <v>266</v>
      </c>
      <c r="AB51" s="229" t="s">
        <v>246</v>
      </c>
      <c r="AC51" s="229" t="s">
        <v>246</v>
      </c>
      <c r="AD51" s="229" t="s">
        <v>246</v>
      </c>
      <c r="AE51" s="229" t="s">
        <v>246</v>
      </c>
      <c r="AF51" s="229"/>
      <c r="AG51" s="229"/>
      <c r="AI51" s="197"/>
      <c r="AJ51" s="229" t="s">
        <v>266</v>
      </c>
      <c r="AK51" s="229" t="s">
        <v>246</v>
      </c>
      <c r="AL51" s="230"/>
      <c r="AM51" s="230"/>
      <c r="AN51" s="229" t="s">
        <v>266</v>
      </c>
      <c r="AO51" s="229" t="s">
        <v>246</v>
      </c>
      <c r="AP51" s="229" t="s">
        <v>246</v>
      </c>
      <c r="AR51" s="198"/>
      <c r="AS51" s="197"/>
      <c r="AT51" s="229" t="s">
        <v>266</v>
      </c>
      <c r="AU51" s="229" t="s">
        <v>246</v>
      </c>
      <c r="AV51" s="229" t="s">
        <v>246</v>
      </c>
      <c r="AW51" s="229" t="s">
        <v>246</v>
      </c>
      <c r="AX51" s="229" t="s">
        <v>246</v>
      </c>
      <c r="AY51" s="229"/>
      <c r="AZ51" s="230"/>
      <c r="BA51" s="229" t="s">
        <v>266</v>
      </c>
      <c r="BB51" s="229" t="s">
        <v>246</v>
      </c>
      <c r="BC51" s="229" t="s">
        <v>246</v>
      </c>
      <c r="BD51" s="229" t="s">
        <v>246</v>
      </c>
      <c r="BE51" s="229" t="s">
        <v>246</v>
      </c>
      <c r="BF51" s="229"/>
      <c r="BG51" s="198"/>
      <c r="BI51" s="196"/>
      <c r="BJ51" s="196"/>
      <c r="BK51" s="229" t="s">
        <v>266</v>
      </c>
      <c r="BL51" s="229" t="s">
        <v>246</v>
      </c>
      <c r="BM51" s="229" t="s">
        <v>246</v>
      </c>
      <c r="BN51" s="229" t="s">
        <v>246</v>
      </c>
      <c r="BT51" s="229"/>
    </row>
    <row r="52" spans="1:72" ht="17.149999999999999" customHeight="1" x14ac:dyDescent="0.35">
      <c r="H52" s="201" t="s">
        <v>63</v>
      </c>
      <c r="I52" s="201"/>
      <c r="J52" s="197"/>
      <c r="K52" s="231" cm="1">
        <f t="array" ref="K52">(_xlfn.XLOOKUP(1,($A$2=Wholesale_DistributionZone)*($K$46=Wholesale_CustomerType)*($K$47=Wholesale_TariffType)*("Total"=Wholesale_Description),Wholesale_PY_FixedFees)*1.1/365)*100</f>
        <v>4.1695256295746885</v>
      </c>
      <c r="L52" s="231" cm="1">
        <f t="array" ref="L52">_xlfn.XLOOKUP(1,($A$2=Wholesale_DistributionZone)*($K$46=Wholesale_CustomerType)*($K$47=Wholesale_TariffType)*("Total"=Wholesale_Description),Wholesale_PY_VarFees)*1.1/10</f>
        <v>20.066166223539984</v>
      </c>
      <c r="M52" s="231"/>
      <c r="N52" s="243"/>
      <c r="O52" s="231" cm="1">
        <f t="array" ref="O52">(_xlfn.XLOOKUP(1,($A$2=Wholesale_DistributionZone)*($K$46=Wholesale_CustomerType)*($K$47=Wholesale_TariffType)*("Total"=Wholesale_Description),Wholesale_FY_FixedFees)*1.1/365)*100</f>
        <v>3.9556</v>
      </c>
      <c r="P52" s="231" cm="1">
        <f t="array" ref="P52">_xlfn.XLOOKUP(1,($A$2=Wholesale_DistributionZone)*($K$46=Wholesale_CustomerType)*($K$47=Wholesale_TariffType)*("Total"=Wholesale_Description),Wholesale_FY_VarFees)*1.1/10</f>
        <v>17.514086328347055</v>
      </c>
      <c r="Q52" s="198"/>
      <c r="S52" s="197"/>
      <c r="T52" s="666" cm="1">
        <f t="array" ref="T52">_xlfn.XLOOKUP(1,($A$2=Wholesale_DistributionZone)*($T$46=Wholesale_CustomerType)*($T$47=Wholesale_TariffType)*("Total"=Wholesale_Description),Wholesale_PY_FixedFees)*1.1/365*100</f>
        <v>0</v>
      </c>
      <c r="U52" s="666" cm="1">
        <f t="array" ref="U52">_xlfn.XLOOKUP(1,($A$2=Wholesale_DistributionZone)*($T$46=Wholesale_CustomerType)*(U$45=Wholesale_TariffType)*("Total"=Wholesale_Description),Wholesale_PY_VarFees)*1.1/10</f>
        <v>0</v>
      </c>
      <c r="V52" s="666" cm="1">
        <f t="array" ref="V52">_xlfn.XLOOKUP(1,($A$2=Wholesale_DistributionZone)*($T$46=Wholesale_CustomerType)*(V$45=Wholesale_TariffType)*("Total"=Wholesale_Description),Wholesale_PY_VarFees)*1.1/10</f>
        <v>0</v>
      </c>
      <c r="W52" s="666" cm="1">
        <f t="array" ref="W52">_xlfn.XLOOKUP(1,($A$2=Wholesale_DistributionZone)*($T$46=Wholesale_CustomerType)*(W$45=Wholesale_TariffType)*("Total"=Wholesale_Description),Wholesale_PY_VarFees)*1.1/10</f>
        <v>0</v>
      </c>
      <c r="X52" s="666" cm="1">
        <f t="array" ref="X52">_xlfn.XLOOKUP(1,($A$2=Wholesale_DistributionZone)*($T$46=Wholesale_CustomerType)*(X$45=Wholesale_TariffType)*("Total"=Wholesale_Description),Wholesale_PY_VarFees)*1.1/10</f>
        <v>0</v>
      </c>
      <c r="Y52" s="666" cm="1">
        <f t="array" ref="Y52">_xlfn.XLOOKUP(1,($A$2=Wholesale_DistributionZone)*($T$46=Wholesale_CustomerType)*(Y$45=Wholesale_TariffType)*("Total"=Wholesale_Description),Wholesale_PY_VarFees)*1.1/10</f>
        <v>0</v>
      </c>
      <c r="Z52" s="234"/>
      <c r="AA52" s="232" cm="1">
        <f t="array" ref="AA52">_xlfn.XLOOKUP(1,($A$2=Wholesale_DistributionZone)*($T$46=Wholesale_CustomerType)*($T$47=Wholesale_TariffType)*("Total"=Wholesale_Description),Wholesale_FY_FixedFees)*1.1/365*100</f>
        <v>3.9556</v>
      </c>
      <c r="AB52" s="232" cm="1">
        <f t="array" ref="AB52">_xlfn.XLOOKUP(1,($A$2=Wholesale_DistributionZone)*($T$46=Wholesale_CustomerType)*(AB$45=Wholesale_TariffType)*("Total"=Wholesale_Description),Wholesale_FY_VarFees)*1.1/10</f>
        <v>16.750563665871983</v>
      </c>
      <c r="AC52" s="232" cm="1">
        <f t="array" ref="AC52">_xlfn.XLOOKUP(1,($A$2=Wholesale_DistributionZone)*($T$46=Wholesale_CustomerType)*(AC$45=Wholesale_TariffType)*("Total"=Wholesale_Description),Wholesale_FY_VarFees)*1.1/10</f>
        <v>26.349826921659492</v>
      </c>
      <c r="AD52" s="232" cm="1">
        <f t="array" ref="AD52">_xlfn.XLOOKUP(1,($A$2=Wholesale_DistributionZone)*($T$46=Wholesale_CustomerType)*(AD$45=Wholesale_TariffType)*("Total"=Wholesale_Description),Wholesale_FY_VarFees)*1.1/10</f>
        <v>19.406615014526363</v>
      </c>
      <c r="AE52" s="232" cm="1">
        <f t="array" ref="AE52">_xlfn.XLOOKUP(1,($A$2=Wholesale_DistributionZone)*($T$46=Wholesale_CustomerType)*(AE$45=Wholesale_TariffType)*("Total"=Wholesale_Description),Wholesale_FY_VarFees)*1.1/10</f>
        <v>5.3824508751137579</v>
      </c>
      <c r="AF52" s="232"/>
      <c r="AG52" s="232"/>
      <c r="AI52" s="197"/>
      <c r="AJ52" s="232" cm="1">
        <f t="array" ref="AJ52">_xlfn.XLOOKUP(1,($A$2=Wholesale_DistributionZone)*($AJ$46=Wholesale_CustomerType)*(AJ$50=Wholesale_TariffType)*("Total"=Wholesale_Description),Wholesale_PY_FixedFees)*1.1/365*100</f>
        <v>4.1695256295746885</v>
      </c>
      <c r="AK52" s="232" cm="1">
        <f t="array" ref="AK52">_xlfn.XLOOKUP(1,($A$2=Wholesale_DistributionZone)*($AJ$46=Wholesale_CustomerType)*(AK$50=Wholesale_TariffType)*("Total"=Wholesale_Description),Wholesale_PY_VarFees)*1.1/10</f>
        <v>20.066166223539984</v>
      </c>
      <c r="AL52" s="232"/>
      <c r="AM52" s="233"/>
      <c r="AN52" s="232" cm="1">
        <f t="array" ref="AN52">_xlfn.XLOOKUP(1,($A$2=Wholesale_DistributionZone)*($AJ$46=Wholesale_CustomerType)*(AN$50=Wholesale_TariffType)*("Total"=Wholesale_Description),Wholesale_FY_FixedFees)*1.1/365*100</f>
        <v>3.9556</v>
      </c>
      <c r="AO52" s="232" cm="1">
        <f t="array" ref="AO52">_xlfn.XLOOKUP(1,($A$2=Wholesale_DistributionZone)*($AJ$46=Wholesale_CustomerType)*(AO$50=Wholesale_TariffType)*("Total"=Wholesale_Description),Wholesale_FY_VarFees)*1.1/10</f>
        <v>17.514086328347055</v>
      </c>
      <c r="AP52" s="232" cm="1">
        <f t="array" ref="AP52">_xlfn.XLOOKUP(1,($A$2=Wholesale_DistributionZone)*($AJ$46=Wholesale_CustomerType)*(AJ$47=Wholesale_TariffType)*("Total"=Wholesale_Description),Wholesale_FY_VarFees)*1.1/10</f>
        <v>17.514086328347055</v>
      </c>
      <c r="AR52" s="198"/>
      <c r="AS52" s="197"/>
      <c r="AT52" s="666" cm="1">
        <f t="array" ref="AT52">_xlfn.XLOOKUP(1,($A$2=Wholesale_DistributionZone)*($AT$46=Wholesale_CustomerType)*(AT$50=Wholesale_TariffType)*("Total"=Wholesale_Description),Wholesale_PY_FixedFees)*1.1/365*100</f>
        <v>0</v>
      </c>
      <c r="AU52" s="666" cm="1">
        <f t="array" ref="AU52">_xlfn.XLOOKUP(1,($A$2=Wholesale_DistributionZone)*($AT$46=Wholesale_CustomerType)*(AU$45=Wholesale_TariffType)*("Total"=Wholesale_Description),Wholesale_PY_VarFees)*1.1/10</f>
        <v>0</v>
      </c>
      <c r="AV52" s="666" cm="1">
        <f t="array" ref="AV52">_xlfn.XLOOKUP(1,($A$2=Wholesale_DistributionZone)*($AT$46=Wholesale_CustomerType)*(AV$45=Wholesale_TariffType)*("Total"=Wholesale_Description),Wholesale_PY_VarFees)*1.1/10</f>
        <v>0</v>
      </c>
      <c r="AW52" s="666" cm="1">
        <f t="array" ref="AW52">_xlfn.XLOOKUP(1,($A$2=Wholesale_DistributionZone)*($AT$46=Wholesale_CustomerType)*(AW$45=Wholesale_TariffType)*("Total"=Wholesale_Description),Wholesale_PY_VarFees)*1.1/10</f>
        <v>0</v>
      </c>
      <c r="AX52" s="666" cm="1">
        <f t="array" ref="AX52">_xlfn.XLOOKUP(1,($A$2=Wholesale_DistributionZone)*($AT$46=Wholesale_CustomerType)*(AX$45=Wholesale_TariffType)*("Total"=Wholesale_Description),Wholesale_PY_VarFees)*1.1/10</f>
        <v>0</v>
      </c>
      <c r="AY52" s="286"/>
      <c r="AZ52" s="235"/>
      <c r="BA52" s="232" cm="1">
        <f t="array" ref="BA52">_xlfn.XLOOKUP(1,($A$2=Wholesale_DistributionZone)*($AT$46=Wholesale_CustomerType)*(BA$50=Wholesale_TariffType)*("Total"=Wholesale_Description),Wholesale_FY_FixedFees)*1.1/365*100</f>
        <v>3.9556</v>
      </c>
      <c r="BB52" s="232" cm="1">
        <f t="array" ref="BB52">_xlfn.XLOOKUP(1,($A$2=Wholesale_DistributionZone)*($AT$46=Wholesale_CustomerType)*(BB$45=Wholesale_TariffType)*("Total"=Wholesale_Description),Wholesale_FY_VarFees)*1.1/10</f>
        <v>17.785793801744873</v>
      </c>
      <c r="BC52" s="232" cm="1">
        <f t="array" ref="BC52">_xlfn.XLOOKUP(1,($A$2=Wholesale_DistributionZone)*($AT$46=Wholesale_CustomerType)*(BC$45=Wholesale_TariffType)*("Total"=Wholesale_Description),Wholesale_FY_VarFees)*1.1/10</f>
        <v>27.385057057532386</v>
      </c>
      <c r="BD52" s="232" cm="1">
        <f t="array" ref="BD52">_xlfn.XLOOKUP(1,($A$2=Wholesale_DistributionZone)*($AT$46=Wholesale_CustomerType)*(BD$45=Wholesale_TariffType)*("Total"=Wholesale_Description),Wholesale_FY_VarFees)*1.1/10</f>
        <v>20.441845150399256</v>
      </c>
      <c r="BE52" s="232" cm="1">
        <f t="array" ref="BE52">_xlfn.XLOOKUP(1,($A$2=Wholesale_DistributionZone)*($AT$46=Wholesale_CustomerType)*(BE$45=Wholesale_TariffType)*("Total"=Wholesale_Description),Wholesale_FY_VarFees)*1.1/10</f>
        <v>6.4176810109866507</v>
      </c>
      <c r="BF52" s="232"/>
      <c r="BG52" s="198"/>
      <c r="BI52" s="552" t="s">
        <v>63</v>
      </c>
      <c r="BJ52" s="232"/>
      <c r="BK52" s="232" cm="1">
        <f t="array" ref="BK52">_xlfn.XLOOKUP(1,($A$2=Wholesale_DistributionZone)*($T$46=Wholesale_CustomerType)*($T$47=Wholesale_TariffType)*("Total"=Wholesale_Description),Wholesale_FY_FixedFees)*1.1/365*100</f>
        <v>3.9556</v>
      </c>
      <c r="BL52" s="231">
        <f>AB52*('Network cost'!$F$76/SUM('Network cost'!$F$76:$F$77))+AC52*('Network cost'!$F$77/SUM('Network cost'!$F$76:$F$77))</f>
        <v>22.464410841935976</v>
      </c>
      <c r="BM52" s="232" cm="1">
        <f t="array" ref="BM52">_xlfn.XLOOKUP(1,($A$2=Wholesale_DistributionZone)*($BK$46=Wholesale_CustomerType)*(BM$45=Wholesale_TariffType)*("Total"=Wholesale_Description),Wholesale_FY_VarFees)*1.1/10</f>
        <v>19.406615014526363</v>
      </c>
      <c r="BN52" s="232" cm="1">
        <f t="array" ref="BN52">_xlfn.XLOOKUP(1,($A$2=Wholesale_DistributionZone)*($BK$46=Wholesale_CustomerType)*(BN$45=Wholesale_TariffType)*("Total"=Wholesale_Description),Wholesale_FY_VarFees)*1.1/10</f>
        <v>5.3824508751137579</v>
      </c>
      <c r="BT52" s="232"/>
    </row>
    <row r="53" spans="1:72" ht="17.149999999999999" customHeight="1" x14ac:dyDescent="0.35">
      <c r="H53" s="201" t="s">
        <v>62</v>
      </c>
      <c r="I53" s="201"/>
      <c r="J53" s="197"/>
      <c r="K53" s="231" cm="1">
        <f t="array" ref="K53">(_xlfn.XLOOKUP(1,($A$2=Network_DistributionZone)*($K$46=Network_CustomerType)*($K$47=Network_TariffType)*("Total"=Network_Description),Network_PY_FixedFees)*1.1/365)*100</f>
        <v>69.439700000000002</v>
      </c>
      <c r="L53" s="231" cm="1">
        <f t="array" ref="L53">_xlfn.XLOOKUP(1,($A$2=Network_DistributionZone)*($K$46=Network_CustomerType)*($K$47=Network_TariffType)*("Total"=Network_Description),Network_PY_VarFees)*1.1/10</f>
        <v>11.89903</v>
      </c>
      <c r="M53" s="231"/>
      <c r="N53" s="243"/>
      <c r="O53" s="231" cm="1">
        <f t="array" ref="O53">(_xlfn.XLOOKUP(1,($A$2=Network_DistributionZone)*($K$46=Network_CustomerType)*("Blended"=Network_TariffType)*("Total"=Network_Description),Network_FY_FixedFees)*1.1/365)*100</f>
        <v>77.211310000000012</v>
      </c>
      <c r="P53" s="231" cm="1">
        <f t="array" ref="P53">_xlfn.XLOOKUP(1,($A$2=Network_DistributionZone)*($K$46=Network_CustomerType)*("Blended"=Network_TariffType)*("Total"=Network_Description),Network_FY_VarFees)*1.1/10</f>
        <v>12.9543790061739</v>
      </c>
      <c r="Q53" s="198"/>
      <c r="S53" s="197"/>
      <c r="T53" s="666" cm="1">
        <f t="array" ref="T53">_xlfn.XLOOKUP(1,($A$2=Network_DistributionZone)*($T$46=Network_CustomerType)*($T$47=Network_TariffType)*("Total"=Network_Description),Network_PY_FixedFees)*1.1/365*100</f>
        <v>0</v>
      </c>
      <c r="U53" s="666" cm="1">
        <f t="array" ref="U53">_xlfn.XLOOKUP(1,($A$2=Network_DistributionZone)*($T$46=Network_CustomerType)*(U$45=Network_TariffType),Network_PY_VarFees)*1.1/10</f>
        <v>0</v>
      </c>
      <c r="V53" s="666" cm="1">
        <f t="array" ref="V53">_xlfn.XLOOKUP(1,($A$2=Network_DistributionZone)*($T$46=Network_CustomerType)*(V$45=Network_TariffType),Network_PY_VarFees)*1.1/10</f>
        <v>0</v>
      </c>
      <c r="W53" s="666" cm="1">
        <f t="array" ref="W53">_xlfn.XLOOKUP(1,($A$2=Network_DistributionZone)*($T$46=Network_CustomerType)*(W$45=Network_TariffType),Network_PY_VarFees)*1.1/10</f>
        <v>0</v>
      </c>
      <c r="X53" s="666" cm="1">
        <f t="array" ref="X53">_xlfn.XLOOKUP(1,($A$2=Network_DistributionZone)*($T$46=Network_CustomerType)*(X$45=Network_TariffType),Network_PY_VarFees)*1.1/10</f>
        <v>0</v>
      </c>
      <c r="Y53" s="666" cm="1">
        <f t="array" ref="Y53">_xlfn.XLOOKUP(1,($A$2=Network_DistributionZone)*($T$46=Network_CustomerType)*(Y$45=Network_TariffType),Network_PY_VarFees)*1.1/10</f>
        <v>0</v>
      </c>
      <c r="Z53" s="234"/>
      <c r="AA53" s="232" cm="1">
        <f t="array" ref="AA53">_xlfn.XLOOKUP(1,($A$2=Network_DistributionZone)*($T$46=Network_CustomerType)*($T$47=Network_TariffType)*("Total"=Network_Description),Network_FY_FixedFees)*1.1/365*100</f>
        <v>77.211309999999983</v>
      </c>
      <c r="AB53" s="232" cm="1">
        <f t="array" ref="AB53">_xlfn.XLOOKUP(1,($A$2=Network_DistributionZone)*($T$46=Network_CustomerType)*(AB$45=Network_TariffType),Network_FY_VarFees)*1.1/10</f>
        <v>25.791810000000005</v>
      </c>
      <c r="AC53" s="232" cm="1">
        <f t="array" ref="AC53">_xlfn.XLOOKUP(1,($A$2=Network_DistributionZone)*($T$46=Network_CustomerType)*(AC$45=Network_TariffType),Network_FY_VarFees)*1.1/10</f>
        <v>16.724620000000002</v>
      </c>
      <c r="AD53" s="232" cm="1">
        <f t="array" ref="AD53">_xlfn.XLOOKUP(1,($A$2=Network_DistributionZone)*($T$46=Network_CustomerType)*(AD$45=Network_TariffType),Network_FY_VarFees)*1.1/10</f>
        <v>12.907400000000001</v>
      </c>
      <c r="AE53" s="232" cm="1">
        <f t="array" ref="AE53">_xlfn.XLOOKUP(1,($A$2=Network_DistributionZone)*($T$46=Network_CustomerType)*(AE$45=Network_TariffType),Network_FY_VarFees)*1.1/10</f>
        <v>4.9890500000000007</v>
      </c>
      <c r="AF53" s="232"/>
      <c r="AG53" s="232"/>
      <c r="AI53" s="197"/>
      <c r="AJ53" s="232" cm="1">
        <f t="array" ref="AJ53">_xlfn.XLOOKUP(1,($A$2=Network_DistributionZone)*($AJ$46=Network_CustomerType)*(AJ$50=Network_TariffType)*("Total"=Network_Description),Network_PY_FixedFees)*1.1/365*100</f>
        <v>97.731699999999989</v>
      </c>
      <c r="AK53" s="232" cm="1">
        <f t="array" ref="AK53">_xlfn.XLOOKUP(1,($A$2=Network_DistributionZone)*($AJ$46=Network_CustomerType)*(AK$50=Network_TariffType)*("Total"=Network_Description),Network_PY_VarFees)*1.1/10</f>
        <v>12.408330000000001</v>
      </c>
      <c r="AL53" s="232"/>
      <c r="AM53" s="233"/>
      <c r="AN53" s="232" cm="1">
        <f t="array" ref="AN53">_xlfn.XLOOKUP(1,($A$2=Network_DistributionZone)*($AJ$46=Network_CustomerType)*("Blended"=Network_TariffType)*("Total"=Network_Description),Network_FY_FixedFees)*1.1/365*100</f>
        <v>108.77030999999999</v>
      </c>
      <c r="AO53" s="232" cm="1">
        <f t="array" ref="AO53">_xlfn.XLOOKUP(1,($A$2=Network_DistributionZone)*($AJ$46=Network_CustomerType)*("Blended"=Network_TariffType)*("Total"=Network_Description),Network_FY_VarFees)*1.1/10</f>
        <v>13.699269446084026</v>
      </c>
      <c r="AP53" s="232" cm="1">
        <f t="array" ref="AP53">_xlfn.XLOOKUP(1,($A$2=Network_DistributionZone)*($AJ$46=Network_CustomerType)*("Blended"=Network_TariffL2)*($AP$50=Network_TariffType)*("Total"=Network_Description),Network_FY_VarFees)*1.1/10</f>
        <v>15.16301340965315</v>
      </c>
      <c r="AR53" s="198"/>
      <c r="AS53" s="197"/>
      <c r="AT53" s="666" cm="1">
        <f t="array" ref="AT53">_xlfn.XLOOKUP(1,($A$2=Network_DistributionZone)*($AT$46=Network_CustomerType)*(AT$50=Network_TariffType)*("Total"=Network_Description),Network_PY_FixedFees)*1.1/365*100</f>
        <v>0</v>
      </c>
      <c r="AU53" s="666" cm="1">
        <f t="array" ref="AU53">_xlfn.XLOOKUP(1,($A$2=Network_DistributionZone)*($AT$46=Network_CustomerType)*(AU$45=Network_TariffType),Network_PY_VarFees)*1.1/10</f>
        <v>0</v>
      </c>
      <c r="AV53" s="666" cm="1">
        <f t="array" ref="AV53">_xlfn.XLOOKUP(1,($A$2=Network_DistributionZone)*($AT$46=Network_CustomerType)*(AV$45=Network_TariffType),Network_PY_VarFees)*1.1/10</f>
        <v>0</v>
      </c>
      <c r="AW53" s="666" cm="1">
        <f t="array" ref="AW53">_xlfn.XLOOKUP(1,($A$2=Network_DistributionZone)*($AT$46=Network_CustomerType)*(AW$45=Network_TariffType),Network_PY_VarFees)*1.1/10</f>
        <v>0</v>
      </c>
      <c r="AX53" s="666" cm="1">
        <f t="array" ref="AX53">_xlfn.XLOOKUP(1,($A$2=Network_DistributionZone)*($AT$46=Network_CustomerType)*(AX$45=Network_TariffType),Network_PY_VarFees)*1.1/10</f>
        <v>0</v>
      </c>
      <c r="AY53" s="286"/>
      <c r="AZ53" s="235"/>
      <c r="BA53" s="232" cm="1">
        <f t="array" ref="BA53">_xlfn.XLOOKUP(1,($A$2=Network_DistributionZone)*($AT$46=Network_CustomerType)*(BA$50=Network_TariffType)*("Total"=Network_Description),Network_FY_FixedFees)*1.1/365*100</f>
        <v>108.77030999999999</v>
      </c>
      <c r="BB53" s="232" cm="1">
        <f t="array" ref="BB53">_xlfn.XLOOKUP(1,($A$2=Network_DistributionZone)*($AT$46=Network_CustomerType)*(BB$45=Network_TariffType),Network_FY_VarFees)*1.1/10</f>
        <v>27.670720000000006</v>
      </c>
      <c r="BC53" s="232" cm="1">
        <f t="array" ref="BC53">_xlfn.XLOOKUP(1,($A$2=Network_DistributionZone)*($AT$46=Network_CustomerType)*(BC$45=Network_TariffType),Network_FY_VarFees)*1.1/10</f>
        <v>18.603529999999999</v>
      </c>
      <c r="BD53" s="232" cm="1">
        <f t="array" ref="BD53">_xlfn.XLOOKUP(1,($A$2=Network_DistributionZone)*($AT$46=Network_CustomerType)*(BD$45=Network_TariffType),Network_FY_VarFees)*1.1/10</f>
        <v>14.78631</v>
      </c>
      <c r="BE53" s="232" cm="1">
        <f t="array" ref="BE53">_xlfn.XLOOKUP(1,($A$2=Network_DistributionZone)*($AT$46=Network_CustomerType)*(BE$45=Network_TariffType),Network_FY_VarFees)*1.1/10</f>
        <v>5.6865600000000001</v>
      </c>
      <c r="BF53" s="232"/>
      <c r="BG53" s="198"/>
      <c r="BI53" s="552" t="s">
        <v>62</v>
      </c>
      <c r="BJ53" s="232"/>
      <c r="BK53" s="232" cm="1">
        <f t="array" ref="BK53">_xlfn.XLOOKUP(1,($A$2=Network_DistributionZone)*($T$46=Network_CustomerType)*($T$47=Network_TariffType)*("Total"=Network_Description),Network_FY_FixedFees)*1.1/365*100</f>
        <v>77.211309999999983</v>
      </c>
      <c r="BL53" s="231">
        <f>AB53*('Network cost'!$F$76/SUM('Network cost'!$F$76:$F$77))+AC53*('Network cost'!$F$77/SUM('Network cost'!$F$76:$F$77))</f>
        <v>20.394673095238097</v>
      </c>
      <c r="BM53" s="232" cm="1">
        <f t="array" ref="BM53">_xlfn.XLOOKUP(1,($A$2=Network_DistributionZone)*($BK$46=Network_CustomerType)*(BM$45=Network_TariffType),Network_FY_VarFees)*1.1/10</f>
        <v>12.907400000000001</v>
      </c>
      <c r="BN53" s="232" cm="1">
        <f t="array" ref="BN53">_xlfn.XLOOKUP(1,($A$2=Network_DistributionZone)*($BK$46=Network_CustomerType)*(BN$45=Network_TariffType),Network_FY_VarFees)*1.1/10</f>
        <v>4.9890500000000007</v>
      </c>
      <c r="BT53" s="232"/>
    </row>
    <row r="54" spans="1:72" ht="17.149999999999999" customHeight="1" x14ac:dyDescent="0.35">
      <c r="H54" s="201" t="s">
        <v>64</v>
      </c>
      <c r="I54" s="201"/>
      <c r="J54" s="197"/>
      <c r="K54" s="231" cm="1">
        <f t="array" ref="K54">(_xlfn.XLOOKUP(1,($A$2=Enviro_DistributionZone)*($K$46=Enviro_CustomerType)*($K$47=Enviro_TariffType)*("Total"=Enviro_Description),Enviro_PY_FixedFees)*1.1/365)*100</f>
        <v>0</v>
      </c>
      <c r="L54" s="231" cm="1">
        <f t="array" ref="L54">_xlfn.XLOOKUP(1,($A$2=Enviro_DistributionZone)*($K$46=Enviro_CustomerType)*($K$47=Enviro_TariffType)*("Total"=Enviro_Description),Enviro_PY_VarFees)*1.1/10</f>
        <v>1.7838229594380433</v>
      </c>
      <c r="M54" s="231"/>
      <c r="N54" s="243"/>
      <c r="O54" s="231" cm="1">
        <f t="array" ref="O54">(_xlfn.XLOOKUP(1,($A$2=Enviro_DistributionZone)*($K$46=Enviro_CustomerType)*($K$47=Enviro_TariffType)*("Total"=Enviro_Description),Enviro_FY_FixedFees)*1.1/365)*100</f>
        <v>0</v>
      </c>
      <c r="P54" s="231" cm="1">
        <f t="array" ref="P54">_xlfn.XLOOKUP(1,($A$2=Enviro_DistributionZone)*($K$46=Enviro_CustomerType)*($K$47=Enviro_TariffType)*("Total"=Enviro_Description),Enviro_FY_VarFees)*1.1/10</f>
        <v>1.2352209638553817</v>
      </c>
      <c r="Q54" s="198"/>
      <c r="S54" s="197"/>
      <c r="T54" s="666" cm="1">
        <f t="array" ref="T54">_xlfn.IFNA(_xlfn.XLOOKUP(1,($A$2=Enviro_DistributionZone)*($T$46=Enviro_CustomerType)*($T$47=Enviro_TariffType)*("Total"=Enviro_Description),Enviro_PY_FixedFees),0)*1.1/365*100</f>
        <v>0</v>
      </c>
      <c r="U54" s="666" cm="1">
        <f t="array" ref="U54">_xlfn.IFNA(_xlfn.XLOOKUP(1,($A$2=Enviro_DistributionZone)*($T$46=Enviro_CustomerType)*(U$45=Enviro_TariffType)*("Total"=Enviro_Description),Enviro_PY_VarFees),0)*1.1/10</f>
        <v>0</v>
      </c>
      <c r="V54" s="666" cm="1">
        <f t="array" ref="V54">_xlfn.IFNA(_xlfn.XLOOKUP(1,($A$2=Enviro_DistributionZone)*($T$46=Enviro_CustomerType)*(V$45=Enviro_TariffType)*("Total"=Enviro_Description),Enviro_PY_VarFees),0)*1.1/10</f>
        <v>0</v>
      </c>
      <c r="W54" s="666" cm="1">
        <f t="array" ref="W54">_xlfn.IFNA(_xlfn.XLOOKUP(1,($A$2=Enviro_DistributionZone)*($T$46=Enviro_CustomerType)*(W$45=Enviro_TariffType)*("Total"=Enviro_Description),Enviro_PY_VarFees),0)*1.1/10</f>
        <v>0</v>
      </c>
      <c r="X54" s="666" cm="1">
        <f t="array" ref="X54">_xlfn.IFNA(_xlfn.XLOOKUP(1,($A$2=Enviro_DistributionZone)*($T$46=Enviro_CustomerType)*(X$45=Enviro_TariffType)*("Total"=Enviro_Description),Enviro_PY_VarFees),0)*1.1/10</f>
        <v>0</v>
      </c>
      <c r="Y54" s="666" cm="1">
        <f t="array" ref="Y54">_xlfn.IFNA(_xlfn.XLOOKUP(1,($A$2=Enviro_DistributionZone)*($T$46=Enviro_CustomerType)*(Y$45=Enviro_TariffType)*("Total"=Enviro_Description),Enviro_PY_VarFees),0)*1.1/10</f>
        <v>0</v>
      </c>
      <c r="Z54" s="234"/>
      <c r="AA54" s="232" cm="1">
        <f t="array" ref="AA54">_xlfn.IFNA(_xlfn.XLOOKUP(1,($A$2=Enviro_DistributionZone)*($T$46=Enviro_CustomerType)*($T$47=Enviro_TariffType)*("Total"=Enviro_Description),Enviro_FY_FixedFees),0)*1.1/365*100</f>
        <v>0</v>
      </c>
      <c r="AB54" s="232" cm="1">
        <f t="array" ref="AB54">_xlfn.IFNA(_xlfn.XLOOKUP(1,($A$2=Enviro_DistributionZone)*($T$46=Enviro_CustomerType)*(AB$45=Enviro_TariffType)*("Total"=Enviro_Description),Enviro_FY_VarFees),0)*1.1/10</f>
        <v>1.2352209638553817</v>
      </c>
      <c r="AC54" s="232" cm="1">
        <f t="array" ref="AC54">_xlfn.IFNA(_xlfn.XLOOKUP(1,($A$2=Enviro_DistributionZone)*($T$46=Enviro_CustomerType)*(AC$45=Enviro_TariffType)*("Total"=Enviro_Description),Enviro_FY_VarFees),0)*1.1/10</f>
        <v>1.2352209638553817</v>
      </c>
      <c r="AD54" s="232" cm="1">
        <f t="array" ref="AD54">_xlfn.IFNA(_xlfn.XLOOKUP(1,($A$2=Enviro_DistributionZone)*($T$46=Enviro_CustomerType)*(AD$45=Enviro_TariffType)*("Total"=Enviro_Description),Enviro_FY_VarFees),0)*1.1/10</f>
        <v>1.2352209638553817</v>
      </c>
      <c r="AE54" s="232" cm="1">
        <f t="array" ref="AE54">_xlfn.IFNA(_xlfn.XLOOKUP(1,($A$2=Enviro_DistributionZone)*($T$46=Enviro_CustomerType)*(AE$45=Enviro_TariffType)*("Total"=Enviro_Description),Enviro_FY_VarFees),0)*1.1/10</f>
        <v>1.2352209638553817</v>
      </c>
      <c r="AF54" s="232"/>
      <c r="AG54" s="232"/>
      <c r="AI54" s="197"/>
      <c r="AJ54" s="232" cm="1">
        <f t="array" ref="AJ54">_xlfn.XLOOKUP(1,($A$2=Enviro_DistributionZone)*($AJ$46=Enviro_CustomerType)*(AJ$50=Enviro_TariffType)*("Total"=Enviro_Description),Enviro_PY_FixedFees)*1.1/365*100</f>
        <v>0</v>
      </c>
      <c r="AK54" s="232" cm="1">
        <f t="array" ref="AK54">_xlfn.XLOOKUP(1,($A$2=Enviro_DistributionZone)*($AJ$46=Enviro_CustomerType)*(AK$50=Enviro_TariffType)*("Total"=Enviro_Description),Enviro_PY_VarFees)*1.1/10</f>
        <v>1.7838229594380433</v>
      </c>
      <c r="AL54" s="232"/>
      <c r="AM54" s="233"/>
      <c r="AN54" s="232" cm="1">
        <f t="array" ref="AN54">_xlfn.XLOOKUP(1,($A$2=Enviro_DistributionZone)*($AJ$46=Enviro_CustomerType)*(AN$50=Enviro_TariffType)*("Total"=Enviro_Description),Enviro_FY_FixedFees)*1.1/365*100</f>
        <v>0</v>
      </c>
      <c r="AO54" s="232" cm="1">
        <f t="array" ref="AO54">_xlfn.XLOOKUP(1,($A$2=Enviro_DistributionZone)*($AJ$46=Enviro_CustomerType)*(AO$50=Enviro_TariffType)*("Total"=Enviro_Description),Enviro_FY_VarFees)*1.1/10</f>
        <v>1.2352209638553817</v>
      </c>
      <c r="AP54" s="232" cm="1">
        <f t="array" ref="AP54">_xlfn.XLOOKUP(1,($A$2=Enviro_DistributionZone)*($AJ$46=Enviro_CustomerType)*(AJ$47=Enviro_TariffType)*("Total"=Enviro_Description),Enviro_FY_VarFees)*1.1/10</f>
        <v>1.2352209638553817</v>
      </c>
      <c r="AR54" s="198"/>
      <c r="AS54" s="197"/>
      <c r="AT54" s="666" cm="1">
        <f t="array" ref="AT54">_xlfn.IFNA(_xlfn.XLOOKUP(1,($A$2=Enviro_DistributionZone)*($AT$46=Enviro_CustomerType)*(AT$50=Enviro_TariffType)*("Total"=Enviro_Description),Enviro_PY_FixedFees),0)*1.1/365*100</f>
        <v>0</v>
      </c>
      <c r="AU54" s="666" cm="1">
        <f t="array" ref="AU54">_xlfn.IFNA(_xlfn.XLOOKUP(1,($A$2=Enviro_DistributionZone)*($AT$46=Enviro_CustomerType)*(AU$45=Enviro_TariffType)*("Total"=Enviro_Description),Enviro_PY_VarFees),0)*1.1/10</f>
        <v>0</v>
      </c>
      <c r="AV54" s="666" cm="1">
        <f t="array" ref="AV54">_xlfn.IFNA(_xlfn.XLOOKUP(1,($A$2=Enviro_DistributionZone)*($AT$46=Enviro_CustomerType)*(AV$45=Enviro_TariffType)*("Total"=Enviro_Description),Enviro_PY_VarFees),0)*1.1/10</f>
        <v>0</v>
      </c>
      <c r="AW54" s="666" cm="1">
        <f t="array" ref="AW54">_xlfn.IFNA(_xlfn.XLOOKUP(1,($A$2=Enviro_DistributionZone)*($AT$46=Enviro_CustomerType)*(AW$45=Enviro_TariffType)*("Total"=Enviro_Description),Enviro_PY_VarFees),0)*1.1/10</f>
        <v>0</v>
      </c>
      <c r="AX54" s="666" cm="1">
        <f t="array" ref="AX54">_xlfn.IFNA(_xlfn.XLOOKUP(1,($A$2=Enviro_DistributionZone)*($AT$46=Enviro_CustomerType)*(AX$45=Enviro_TariffType)*("Total"=Enviro_Description),Enviro_PY_VarFees),0)*1.1/10</f>
        <v>0</v>
      </c>
      <c r="AY54" s="286"/>
      <c r="AZ54" s="235"/>
      <c r="BA54" s="232" cm="1">
        <f t="array" ref="BA54">_xlfn.IFNA(_xlfn.XLOOKUP(1,($A$2=Enviro_DistributionZone)*($AT$46=Enviro_CustomerType)*(BA$50=Enviro_TariffType)*("Total"=Enviro_Description),Enviro_FY_FixedFees),0)*1.1/365*100</f>
        <v>0</v>
      </c>
      <c r="BB54" s="232" cm="1">
        <f t="array" ref="BB54">_xlfn.IFNA(_xlfn.XLOOKUP(1,($A$2=Enviro_DistributionZone)*($AT$46=Enviro_CustomerType)*(BB$45=Enviro_TariffType)*("Total"=Enviro_Description),Enviro_FY_VarFees),0)*1.1/10</f>
        <v>1.2352209638553817</v>
      </c>
      <c r="BC54" s="232" cm="1">
        <f t="array" ref="BC54">_xlfn.IFNA(_xlfn.XLOOKUP(1,($A$2=Enviro_DistributionZone)*($AT$46=Enviro_CustomerType)*(BC$45=Enviro_TariffType)*("Total"=Enviro_Description),Enviro_FY_VarFees),0)*1.1/10</f>
        <v>1.2352209638553817</v>
      </c>
      <c r="BD54" s="232" cm="1">
        <f t="array" ref="BD54">_xlfn.IFNA(_xlfn.XLOOKUP(1,($A$2=Enviro_DistributionZone)*($AT$46=Enviro_CustomerType)*(BD$45=Enviro_TariffType)*("Total"=Enviro_Description),Enviro_FY_VarFees),0)*1.1/10</f>
        <v>1.2352209638553817</v>
      </c>
      <c r="BE54" s="232" cm="1">
        <f t="array" ref="BE54">_xlfn.IFNA(_xlfn.XLOOKUP(1,($A$2=Enviro_DistributionZone)*($AT$46=Enviro_CustomerType)*(BE$45=Enviro_TariffType)*("Total"=Enviro_Description),Enviro_FY_VarFees),0)*1.1/10</f>
        <v>1.2352209638553817</v>
      </c>
      <c r="BF54" s="232"/>
      <c r="BG54" s="198"/>
      <c r="BI54" s="552" t="s">
        <v>64</v>
      </c>
      <c r="BJ54" s="232"/>
      <c r="BK54" s="232" cm="1">
        <f t="array" ref="BK54">_xlfn.IFNA(_xlfn.XLOOKUP(1,($A$2=Enviro_DistributionZone)*($T$46=Enviro_CustomerType)*($T$47=Enviro_TariffType)*("Total"=Enviro_Description),Enviro_FY_FixedFees),0)*1.1/365*100</f>
        <v>0</v>
      </c>
      <c r="BL54" s="231">
        <f>AB54*('Network cost'!$F$76/SUM('Network cost'!$F$76:$F$77))+AC54*('Network cost'!$F$77/SUM('Network cost'!$F$76:$F$77))</f>
        <v>1.2352209638553817</v>
      </c>
      <c r="BM54" s="232" cm="1">
        <f t="array" ref="BM54">_xlfn.IFNA(_xlfn.XLOOKUP(1,($A$2=Enviro_DistributionZone)*($BK$46=Enviro_CustomerType)*(BM$45=Enviro_TariffType)*("Total"=Enviro_Description),Enviro_FY_VarFees),0)*1.1/10</f>
        <v>1.2352209638553817</v>
      </c>
      <c r="BN54" s="232" cm="1">
        <f t="array" ref="BN54">_xlfn.IFNA(_xlfn.XLOOKUP(1,($A$2=Enviro_DistributionZone)*($BK$46=Enviro_CustomerType)*(BN$45=Enviro_TariffType)*("Total"=Enviro_Description),Enviro_FY_VarFees),0)*1.1/10</f>
        <v>1.2352209638553817</v>
      </c>
      <c r="BT54" s="232"/>
    </row>
    <row r="55" spans="1:72" ht="17.149999999999999" customHeight="1" x14ac:dyDescent="0.35">
      <c r="H55" s="201" t="s">
        <v>159</v>
      </c>
      <c r="I55" s="201"/>
      <c r="J55" s="197"/>
      <c r="K55" s="231" cm="1">
        <f t="array" ref="K55">((_xlfn.XLOOKUP(1,($A$2=Retail_DistributionZone)*($K$46=Retail_CustomerType)*($K$47=Retail_TariffType)*("Total"=Retail_Description),Retail_PY_FixedFees)*(1+CPIPY))*1.1/365)*100</f>
        <v>94.330318141946037</v>
      </c>
      <c r="L55" s="231" cm="1">
        <f t="array" ref="L55">(_xlfn.XLOOKUP(1,($A$2=Retail_DistributionZone)*($K$46=Retail_CustomerType)*($K$47=Retail_TariffType)*("Total"=Retail_Description),Retail_PY_VarFees)*(1+CPIPY))*1.1/10</f>
        <v>0</v>
      </c>
      <c r="M55" s="231"/>
      <c r="N55" s="243"/>
      <c r="O55" s="231" cm="1">
        <f t="array" ref="O55">((_xlfn.XLOOKUP(1,($A$2=Retail_DistributionZone)*($K$46=Retail_CustomerType)*($K$47=Retail_TariffType)*("Total"=Retail_Description),Retail_FY_FixedFees)*(1+CPI))*1.1/365)*100</f>
        <v>92.86001561508354</v>
      </c>
      <c r="P55" s="231" cm="1">
        <f t="array" ref="P55">(_xlfn.XLOOKUP(1,($A$2=Retail_DistributionZone)*($K$46=Retail_CustomerType)*($K$47=Retail_TariffType)*("Total"=Retail_Description),Retail_FY_VarFees)*(1+CPI))*1.1/10</f>
        <v>0</v>
      </c>
      <c r="Q55" s="198"/>
      <c r="S55" s="197"/>
      <c r="T55" s="666" cm="1">
        <f t="array" ref="T55">(_xlfn.XLOOKUP(1,($A$2=Retail_DistributionZone)*($T$46=Retail_CustomerType)*($T$47=Retail_TariffType)*("Total"=Retail_Description),Retail_PY_FixedFees)*(1+CPIPY))*1.1/365*100</f>
        <v>0</v>
      </c>
      <c r="U55" s="666" cm="1">
        <f t="array" ref="U55">_xlfn.IFNA((_xlfn.XLOOKUP(1,($A$2=Retail_DistributionZone)*($T$46=Retail_CustomerType)*(U$45=Retail_TariffType)*("Total"=Retail_Description),Retail_PY_VarFees)*(1+CPIPY)),0)*1.1/10</f>
        <v>0</v>
      </c>
      <c r="V55" s="666" cm="1">
        <f t="array" ref="V55">_xlfn.IFNA((_xlfn.XLOOKUP(1,($A$2=Retail_DistributionZone)*($T$46=Retail_CustomerType)*(V$45=Retail_TariffType)*("Total"=Retail_Description),Retail_PY_VarFees)*(1+CPIPY)),0)*1.1/10</f>
        <v>0</v>
      </c>
      <c r="W55" s="666" cm="1">
        <f t="array" ref="W55">_xlfn.IFNA((_xlfn.XLOOKUP(1,($A$2=Retail_DistributionZone)*($T$46=Retail_CustomerType)*(W$45=Retail_TariffType)*("Total"=Retail_Description),Retail_PY_VarFees)*(1+CPIPY)),0)*1.1/10</f>
        <v>0</v>
      </c>
      <c r="X55" s="666" cm="1">
        <f t="array" ref="X55">_xlfn.IFNA((_xlfn.XLOOKUP(1,($A$2=Retail_DistributionZone)*($T$46=Retail_CustomerType)*(X$45=Retail_TariffType)*("Total"=Retail_Description),Retail_PY_VarFees)*(1+CPIPY)),0)*1.1/10</f>
        <v>0</v>
      </c>
      <c r="Y55" s="666" cm="1">
        <f t="array" ref="Y55">_xlfn.IFNA((_xlfn.XLOOKUP(1,($A$2=Retail_DistributionZone)*($T$46=Retail_CustomerType)*(Y$45=Retail_TariffType)*("Total"=Retail_Description),Retail_PY_VarFees)*(1+CPIPY)),0)*1.1/10</f>
        <v>0</v>
      </c>
      <c r="Z55" s="234"/>
      <c r="AA55" s="232" cm="1">
        <f t="array" ref="AA55">(_xlfn.XLOOKUP(1,($A$2=Retail_DistributionZone)*($T$46=Retail_CustomerType)*($T$47=Retail_TariffType)*("Total"=Retail_Description),Retail_FY_FixedFees)*(1+CPI))*1.1/365*100</f>
        <v>92.86001561508354</v>
      </c>
      <c r="AB55" s="232" cm="1">
        <f t="array" ref="AB55">(_xlfn.XLOOKUP(1,($A$2=Retail_DistributionZone)*($T$46=Retail_CustomerType)*($T$47=Retail_TariffType)*("Total"=Retail_Description),Retail_FY_VarFees)*(1+CPI))*1.1/10</f>
        <v>0</v>
      </c>
      <c r="AC55" s="232" cm="1">
        <f t="array" ref="AC55">(_xlfn.XLOOKUP(1,($A$2=Retail_DistributionZone)*($T$46=Retail_CustomerType)*($T$47=Retail_TariffType)*("Total"=Retail_Description),Retail_FY_VarFees)*(1+CPI))*1.1/10</f>
        <v>0</v>
      </c>
      <c r="AD55" s="232" cm="1">
        <f t="array" ref="AD55">(_xlfn.XLOOKUP(1,($A$2=Retail_DistributionZone)*($T$46=Retail_CustomerType)*($T$47=Retail_TariffType)*("Total"=Retail_Description),Retail_FY_VarFees)*(1+CPI))*1.1/10</f>
        <v>0</v>
      </c>
      <c r="AE55" s="232" cm="1">
        <f t="array" ref="AE55">(_xlfn.XLOOKUP(1,($A$2=Retail_DistributionZone)*($T$46=Retail_CustomerType)*($T$47=Retail_TariffType)*("Total"=Retail_Description),Retail_FY_VarFees)*(1+CPI))*1.1/10</f>
        <v>0</v>
      </c>
      <c r="AF55" s="232"/>
      <c r="AG55" s="232"/>
      <c r="AI55" s="197"/>
      <c r="AJ55" s="232" cm="1">
        <f t="array" ref="AJ55">(_xlfn.XLOOKUP(1,($A$2=Retail_DistributionZone)*($AJ$46=Retail_CustomerType)*(AJ$50=Retail_TariffType)*("Total"=Retail_Description),Retail_PY_FixedFees)*(1+CPIPY))*1.1/365*100</f>
        <v>123.88755691042672</v>
      </c>
      <c r="AK55" s="232" cm="1">
        <f t="array" ref="AK55">(_xlfn.XLOOKUP(1,($A$2=Retail_DistributionZone)*($AJ$46=Retail_CustomerType)*(AK$50=Retail_TariffType)*("Total"=Retail_Description),Retail_PY_VarFees)*(1+CPIPY))*1.1/10</f>
        <v>0</v>
      </c>
      <c r="AL55" s="232"/>
      <c r="AM55" s="233"/>
      <c r="AN55" s="232" cm="1">
        <f t="array" ref="AN55">(_xlfn.XLOOKUP(1,($A$2=Retail_DistributionZone)*($AJ$46=Retail_CustomerType)*(AN$50=Retail_TariffType)*("Total"=Retail_Description),Retail_FY_FixedFees)*(1+CPI))*1.1/365*100</f>
        <v>116.76332446056561</v>
      </c>
      <c r="AO55" s="232" cm="1">
        <f t="array" ref="AO55">(_xlfn.XLOOKUP(1,($A$2=Retail_DistributionZone)*($AJ$46=Retail_CustomerType)*(AO$50=Retail_TariffType)*("Total"=Retail_Description),Retail_FY_VarFees)*(1+CPI))*1.1/10</f>
        <v>0</v>
      </c>
      <c r="AP55" s="232" cm="1">
        <f t="array" ref="AP55">(_xlfn.XLOOKUP(1,($A$2=Retail_DistributionZone)*($AJ$46=Retail_CustomerType)*(AJ$47=Retail_TariffType)*("Total"=Retail_Description),Retail_FY_VarFees)*(1+CPI))*1.1/10</f>
        <v>0</v>
      </c>
      <c r="AR55" s="198"/>
      <c r="AS55" s="197"/>
      <c r="AT55" s="666" cm="1">
        <f t="array" ref="AT55">(_xlfn.XLOOKUP(1,($A$2=Retail_DistributionZone)*($AT$46=Retail_CustomerType)*(AT$50=Retail_TariffType)*("Total"=Retail_Description),Retail_PY_FixedFees)*(1+CPIPY))*1.1/365*100</f>
        <v>0</v>
      </c>
      <c r="AU55" s="666" cm="1">
        <f t="array" ref="AU55">(_xlfn.XLOOKUP(1,($A$2=Retail_DistributionZone)*($AT$46=Retail_CustomerType)*($AT$47=Retail_TariffType)*("Total"=Retail_Description),Retail_PY_VarFees)*(1+CPIPY))*1.1/10</f>
        <v>0</v>
      </c>
      <c r="AV55" s="666" cm="1">
        <f t="array" ref="AV55">(_xlfn.XLOOKUP(1,($A$2=Retail_DistributionZone)*($AT$46=Retail_CustomerType)*($AT$47=Retail_TariffType)*("Total"=Retail_Description),Retail_PY_VarFees)*(1+CPIPY))*1.1/10</f>
        <v>0</v>
      </c>
      <c r="AW55" s="666" cm="1">
        <f t="array" ref="AW55">(_xlfn.XLOOKUP(1,($A$2=Retail_DistributionZone)*($AT$46=Retail_CustomerType)*($AT$47=Retail_TariffType)*("Total"=Retail_Description),Retail_PY_VarFees)*(1+CPIPY))*1.1/10</f>
        <v>0</v>
      </c>
      <c r="AX55" s="666" cm="1">
        <f t="array" ref="AX55">(_xlfn.XLOOKUP(1,($A$2=Retail_DistributionZone)*($AT$46=Retail_CustomerType)*($AT$47=Retail_TariffType)*("Total"=Retail_Description),Retail_PY_VarFees)*(1+CPIPY))*1.1/10</f>
        <v>0</v>
      </c>
      <c r="AY55" s="286"/>
      <c r="AZ55" s="235"/>
      <c r="BA55" s="232" cm="1">
        <f t="array" ref="BA55">(_xlfn.XLOOKUP(1,($A$2=Retail_DistributionZone)*($AT$46=Retail_CustomerType)*(BA$50=Retail_TariffType)*("Total"=Retail_Description),Retail_FY_FixedFees)*(1+CPI))*1.1/365*100</f>
        <v>116.76332446056561</v>
      </c>
      <c r="BB55" s="232" cm="1">
        <f t="array" ref="BB55">_xlfn.IFNA((_xlfn.XLOOKUP(1,($A$2=Retail_DistributionZone)*($AT$46=Retail_CustomerType)*(BB$45=Retail_TariffType)*("Total"=Retail_Description),Retail_FY_VarFees)*(1+CPI)),0)*1.1/10</f>
        <v>0</v>
      </c>
      <c r="BC55" s="232" cm="1">
        <f t="array" ref="BC55">_xlfn.IFNA((_xlfn.XLOOKUP(1,($A$2=Retail_DistributionZone)*($AT$46=Retail_CustomerType)*(BC$45=Retail_TariffType)*("Total"=Retail_Description),Retail_FY_VarFees)*(1+CPI)),0)*1.1/10</f>
        <v>0</v>
      </c>
      <c r="BD55" s="232" cm="1">
        <f t="array" ref="BD55">_xlfn.IFNA((_xlfn.XLOOKUP(1,($A$2=Retail_DistributionZone)*($AT$46=Retail_CustomerType)*(BD$45=Retail_TariffType)*("Total"=Retail_Description),Retail_FY_VarFees)*(1+CPI)),0)*1.1/10</f>
        <v>0</v>
      </c>
      <c r="BE55" s="232" cm="1">
        <f t="array" ref="BE55">_xlfn.IFNA((_xlfn.XLOOKUP(1,($A$2=Retail_DistributionZone)*($AT$46=Retail_CustomerType)*(BE$45=Retail_TariffType)*("Total"=Retail_Description),Retail_FY_VarFees)*(1+CPI)),0)*1.1/10</f>
        <v>0</v>
      </c>
      <c r="BF55" s="232"/>
      <c r="BG55" s="198"/>
      <c r="BI55" s="552" t="s">
        <v>159</v>
      </c>
      <c r="BJ55" s="232"/>
      <c r="BK55" s="232" cm="1">
        <f t="array" ref="BK55">(_xlfn.XLOOKUP(1,($A$2=Retail_DistributionZone)*($T$46=Retail_CustomerType)*($T$47=Retail_TariffType)*("Total"=Retail_Description),Retail_FY_FixedFees)*(1+CPI))*1.1/365*100</f>
        <v>92.86001561508354</v>
      </c>
      <c r="BL55" s="231">
        <f>AB55*('Network cost'!$F$76/SUM('Network cost'!$F$76:$F$77))+AC55*('Network cost'!$F$77/SUM('Network cost'!$F$76:$F$77))</f>
        <v>0</v>
      </c>
      <c r="BM55" s="232" cm="1">
        <f t="array" ref="BM55">(_xlfn.XLOOKUP(1,($A$2=Retail_DistributionZone)*($BK$46=Retail_CustomerType)*($BK$45=Retail_TariffType)*("Total"=Retail_Description),Retail_FY_VarFees)*(1+CPI))*1.1/10</f>
        <v>0</v>
      </c>
      <c r="BN55" s="232" cm="1">
        <f t="array" ref="BN55">(_xlfn.XLOOKUP(1,($A$2=Retail_DistributionZone)*($BK$46=Retail_CustomerType)*($BK$45=Retail_TariffType)*("Total"=Retail_Description),Retail_FY_VarFees)*(1+CPI))*1.1/10</f>
        <v>0</v>
      </c>
      <c r="BT55" s="232"/>
    </row>
    <row r="56" spans="1:72" ht="17.149999999999999" customHeight="1" thickBot="1" x14ac:dyDescent="0.4">
      <c r="H56" s="201" t="s">
        <v>261</v>
      </c>
      <c r="I56" s="201"/>
      <c r="J56" s="197"/>
      <c r="K56" s="231">
        <f>(SUM(K52:K55)/(1-RetailMargin_RES)-SUM(K52:K55))</f>
        <v>10.719545347118355</v>
      </c>
      <c r="L56" s="231">
        <f>SUM(L52:L55)/(1-RetailMargin_RES)-SUM(L52:L55)</f>
        <v>2.1541927138071131</v>
      </c>
      <c r="M56" s="231"/>
      <c r="N56" s="243"/>
      <c r="O56" s="231">
        <f>SUM(O52:O55)/(1-RetailMargin_RES)-SUM(O52:O55)</f>
        <v>11.10810163500534</v>
      </c>
      <c r="P56" s="231">
        <f>SUM(P52:P55)/(1-RetailMargin_RES)-SUM(P52:P55)</f>
        <v>2.0236395509601905</v>
      </c>
      <c r="Q56" s="198"/>
      <c r="S56" s="197"/>
      <c r="T56" s="666">
        <f>SUM(T52:T55)/(1-RetailMargin_RES)-SUM(T52:T55)</f>
        <v>0</v>
      </c>
      <c r="U56" s="666">
        <f t="shared" ref="U56:Y56" si="12">SUM(U52:U55)/(1-RetailMargin_RES)-SUM(U52:U55)</f>
        <v>0</v>
      </c>
      <c r="V56" s="666">
        <f t="shared" si="12"/>
        <v>0</v>
      </c>
      <c r="W56" s="666">
        <f t="shared" si="12"/>
        <v>0</v>
      </c>
      <c r="X56" s="666">
        <f t="shared" si="12"/>
        <v>0</v>
      </c>
      <c r="Y56" s="666">
        <f t="shared" si="12"/>
        <v>0</v>
      </c>
      <c r="Z56" s="234"/>
      <c r="AA56" s="232">
        <f t="shared" ref="AA56:AE56" si="13">SUM(AA52:AA55)/(1-RetailMargin_RES)-SUM(AA52:AA55)</f>
        <v>11.10810163500534</v>
      </c>
      <c r="AB56" s="232">
        <f t="shared" si="13"/>
        <v>2.7943145508336613</v>
      </c>
      <c r="AC56" s="232">
        <f t="shared" si="13"/>
        <v>2.8282766735435061</v>
      </c>
      <c r="AD56" s="232">
        <f t="shared" si="13"/>
        <v>2.1414405943647949</v>
      </c>
      <c r="AE56" s="232">
        <f t="shared" si="13"/>
        <v>0.74085458546611527</v>
      </c>
      <c r="AF56" s="232"/>
      <c r="AG56" s="232"/>
      <c r="AI56" s="197"/>
      <c r="AJ56" s="232">
        <f>SUM(AJ52:AJ55)/(1-RetailMargin_PY_SB)-SUM(AJ52:AJ55)</f>
        <v>27.906478740899047</v>
      </c>
      <c r="AK56" s="232">
        <f>SUM(AK52:AK55)/(1-RetailMargin_PY_SB)-SUM(AK52:AK55)</f>
        <v>4.2341742810422289</v>
      </c>
      <c r="AL56" s="232"/>
      <c r="AM56" s="233"/>
      <c r="AN56" s="232">
        <f>SUM(AN52:AN55)/(1-RetailMargin_FY_SB)-SUM(AN52:AN55)</f>
        <v>14.648249008121212</v>
      </c>
      <c r="AO56" s="232">
        <f>SUM(AO52:AO55)/(1-RetailMargin_FY_SB)-SUM(AO52:AO55)</f>
        <v>2.0711857492523293</v>
      </c>
      <c r="AP56" s="232">
        <f>SUM(AP52:AP55)/(1-RetailMargin_FY_SB)-SUM(AP52:AP55)</f>
        <v>2.1646162150120603</v>
      </c>
      <c r="AR56" s="198"/>
      <c r="AS56" s="197"/>
      <c r="AT56" s="666">
        <f>SUM(AT52:AT55)/(1-RetailMargin_PY_SB)-SUM(AT52:AT55)</f>
        <v>0</v>
      </c>
      <c r="AU56" s="666">
        <f>SUM(AU52:AU55)/(1-RetailMargin_PY_SB)-SUM(AU52:AU55)</f>
        <v>0</v>
      </c>
      <c r="AV56" s="666">
        <f>SUM(AV52:AV55)/(1-RetailMargin_PY_SB)-SUM(AV52:AV55)</f>
        <v>0</v>
      </c>
      <c r="AW56" s="666">
        <f>SUM(AW52:AW55)/(1-RetailMargin_PY_SB)-SUM(AW52:AW55)</f>
        <v>0</v>
      </c>
      <c r="AX56" s="666">
        <f>SUM(AX52:AX55)/(1-RetailMargin_PY_SB)-SUM(AX52:AX55)</f>
        <v>0</v>
      </c>
      <c r="AY56" s="286"/>
      <c r="AZ56" s="235"/>
      <c r="BA56" s="232">
        <f t="shared" ref="BA56:BE56" si="14">SUM(BA52:BA55)/(1-RetailMargin_FY_SB)-SUM(BA52:BA55)</f>
        <v>14.648249008121212</v>
      </c>
      <c r="BB56" s="232">
        <f t="shared" si="14"/>
        <v>2.9803234956766147</v>
      </c>
      <c r="BC56" s="232">
        <f t="shared" si="14"/>
        <v>3.0142856183864595</v>
      </c>
      <c r="BD56" s="232">
        <f t="shared" si="14"/>
        <v>2.3274495392077483</v>
      </c>
      <c r="BE56" s="232">
        <f t="shared" si="14"/>
        <v>0.85145501967076953</v>
      </c>
      <c r="BF56" s="232"/>
      <c r="BG56" s="198"/>
      <c r="BI56" s="201" t="s">
        <v>261</v>
      </c>
      <c r="BJ56" s="232"/>
      <c r="BK56" s="232">
        <f t="shared" ref="BK56:BS56" si="15">SUM(BK52:BK55)/(1-RetailMargin_RES)-SUM(BK52:BK55)</f>
        <v>11.10810163500534</v>
      </c>
      <c r="BL56" s="232">
        <f t="shared" si="15"/>
        <v>2.8145301000657099</v>
      </c>
      <c r="BM56" s="232">
        <f t="shared" si="15"/>
        <v>2.1414405943647949</v>
      </c>
      <c r="BN56" s="232">
        <f t="shared" si="15"/>
        <v>0.74085458546611527</v>
      </c>
      <c r="BO56" s="232">
        <f t="shared" si="15"/>
        <v>0</v>
      </c>
      <c r="BP56" s="232">
        <f t="shared" si="15"/>
        <v>0</v>
      </c>
      <c r="BQ56" s="232">
        <f t="shared" si="15"/>
        <v>0</v>
      </c>
      <c r="BR56" s="232">
        <f t="shared" si="15"/>
        <v>0</v>
      </c>
      <c r="BS56" s="232">
        <f t="shared" si="15"/>
        <v>0</v>
      </c>
      <c r="BT56" s="232"/>
    </row>
    <row r="57" spans="1:72" s="296" customFormat="1" ht="17.149999999999999" customHeight="1" thickTop="1" thickBot="1" x14ac:dyDescent="0.4">
      <c r="H57" s="294" t="s">
        <v>287</v>
      </c>
      <c r="I57" s="294"/>
      <c r="J57" s="295"/>
      <c r="K57" s="236">
        <f>SUM(K52:K56)</f>
        <v>178.65908911863909</v>
      </c>
      <c r="L57" s="236">
        <f>SUM(L52:L56)</f>
        <v>35.903211896785137</v>
      </c>
      <c r="M57" s="236"/>
      <c r="N57" s="243"/>
      <c r="O57" s="236">
        <f>SUM(O52:O56)</f>
        <v>185.13502725008888</v>
      </c>
      <c r="P57" s="236">
        <f>SUM(P52:P56)</f>
        <v>33.72732584933653</v>
      </c>
      <c r="Q57" s="295"/>
      <c r="S57" s="295"/>
      <c r="T57" s="667">
        <f t="shared" ref="T57:Y57" si="16">SUM(T52:T56)</f>
        <v>0</v>
      </c>
      <c r="U57" s="667">
        <f t="shared" si="16"/>
        <v>0</v>
      </c>
      <c r="V57" s="667">
        <f t="shared" si="16"/>
        <v>0</v>
      </c>
      <c r="W57" s="667">
        <f t="shared" si="16"/>
        <v>0</v>
      </c>
      <c r="X57" s="667">
        <f t="shared" si="16"/>
        <v>0</v>
      </c>
      <c r="Y57" s="667">
        <f t="shared" si="16"/>
        <v>0</v>
      </c>
      <c r="Z57" s="295"/>
      <c r="AA57" s="236">
        <f t="shared" ref="AA57:AE57" si="17">SUM(AA52:AA56)</f>
        <v>185.13502725008888</v>
      </c>
      <c r="AB57" s="236">
        <f t="shared" si="17"/>
        <v>46.571909180561036</v>
      </c>
      <c r="AC57" s="236">
        <f t="shared" si="17"/>
        <v>47.137944559058383</v>
      </c>
      <c r="AD57" s="236">
        <f t="shared" si="17"/>
        <v>35.69067657274654</v>
      </c>
      <c r="AE57" s="236">
        <f t="shared" si="17"/>
        <v>12.347576424435255</v>
      </c>
      <c r="AF57" s="236"/>
      <c r="AG57" s="298"/>
      <c r="AI57" s="295"/>
      <c r="AJ57" s="236">
        <f>SUM(AJ52:AJ56)</f>
        <v>253.69526128090047</v>
      </c>
      <c r="AK57" s="236">
        <f>SUM(AK52:AK56)</f>
        <v>38.492493464020257</v>
      </c>
      <c r="AL57" s="298"/>
      <c r="AM57" s="299"/>
      <c r="AN57" s="236">
        <f>SUM(AN52:AN56)</f>
        <v>244.13748346868684</v>
      </c>
      <c r="AO57" s="236">
        <f>SUM(AO52:AO56)</f>
        <v>34.519762487538792</v>
      </c>
      <c r="AP57" s="236">
        <f>SUM(AP52:AP56)</f>
        <v>36.076936916867652</v>
      </c>
      <c r="AR57" s="295"/>
      <c r="AS57" s="295"/>
      <c r="AT57" s="667">
        <f t="shared" ref="AT57:AX57" si="18">SUM(AT52:AT56)</f>
        <v>0</v>
      </c>
      <c r="AU57" s="667">
        <f t="shared" si="18"/>
        <v>0</v>
      </c>
      <c r="AV57" s="667">
        <f t="shared" si="18"/>
        <v>0</v>
      </c>
      <c r="AW57" s="667">
        <f t="shared" si="18"/>
        <v>0</v>
      </c>
      <c r="AX57" s="667">
        <f t="shared" si="18"/>
        <v>0</v>
      </c>
      <c r="AY57" s="297"/>
      <c r="AZ57" s="298"/>
      <c r="BA57" s="236">
        <f t="shared" ref="BA57:BE57" si="19">SUM(BA52:BA56)</f>
        <v>244.13748346868684</v>
      </c>
      <c r="BB57" s="236">
        <f t="shared" si="19"/>
        <v>49.672058261276874</v>
      </c>
      <c r="BC57" s="236">
        <f t="shared" si="19"/>
        <v>50.238093639774227</v>
      </c>
      <c r="BD57" s="236">
        <f t="shared" si="19"/>
        <v>38.790825653462392</v>
      </c>
      <c r="BE57" s="236">
        <f t="shared" si="19"/>
        <v>14.190916994512802</v>
      </c>
      <c r="BF57" s="236"/>
      <c r="BG57" s="295"/>
      <c r="BI57" s="553" t="s">
        <v>339</v>
      </c>
      <c r="BJ57" s="551"/>
      <c r="BK57" s="554" t="s">
        <v>247</v>
      </c>
      <c r="BL57" s="551">
        <f>SSO!$J$15/10</f>
        <v>1.8393263675460794</v>
      </c>
      <c r="BM57" s="551">
        <f>SSO!$J$14/10</f>
        <v>1.8393263675460798</v>
      </c>
      <c r="BN57" s="551">
        <f>SSO!$J$16/10</f>
        <v>1.8393263675460798</v>
      </c>
      <c r="BT57" s="551"/>
    </row>
    <row r="58" spans="1:72" ht="15" thickTop="1" thickBot="1" x14ac:dyDescent="0.4">
      <c r="H58" s="205"/>
      <c r="I58" s="205"/>
      <c r="J58" s="206"/>
      <c r="K58" s="237"/>
      <c r="L58" s="237"/>
      <c r="M58" s="207"/>
      <c r="N58" s="207"/>
      <c r="O58" s="237"/>
      <c r="P58" s="237"/>
      <c r="Q58" s="207"/>
      <c r="S58" s="206"/>
      <c r="T58" s="237"/>
      <c r="U58" s="237"/>
      <c r="V58" s="237"/>
      <c r="W58" s="207"/>
      <c r="X58" s="207"/>
      <c r="Y58" s="207"/>
      <c r="Z58" s="237"/>
      <c r="AA58" s="237"/>
      <c r="AB58" s="237"/>
      <c r="AC58" s="207"/>
      <c r="AD58" s="207"/>
      <c r="AE58" s="207"/>
      <c r="AF58" s="207"/>
      <c r="AG58" s="207"/>
      <c r="AI58" s="207"/>
      <c r="AJ58" s="207"/>
      <c r="AK58" s="207"/>
      <c r="AL58" s="207"/>
      <c r="AM58" s="207"/>
      <c r="AN58" s="207"/>
      <c r="AO58" s="206"/>
      <c r="AP58" s="237"/>
      <c r="AR58" s="206"/>
      <c r="AS58" s="206"/>
      <c r="AT58" s="206"/>
      <c r="AU58" s="206"/>
      <c r="AV58" s="206"/>
      <c r="AW58" s="206"/>
      <c r="AX58" s="206"/>
      <c r="AY58" s="206"/>
      <c r="AZ58" s="206"/>
      <c r="BA58" s="206"/>
      <c r="BB58" s="206"/>
      <c r="BC58" s="207"/>
      <c r="BD58" s="207"/>
      <c r="BE58" s="207"/>
      <c r="BF58" s="207"/>
      <c r="BG58" s="206"/>
      <c r="BI58" s="206" t="s">
        <v>55</v>
      </c>
      <c r="BJ58" s="206"/>
      <c r="BK58" s="812">
        <f>SUM(BK52:BK57)</f>
        <v>185.13502725008888</v>
      </c>
      <c r="BL58" s="812">
        <f>SUM(BL52:BL57)</f>
        <v>48.748161368641249</v>
      </c>
      <c r="BM58" s="812">
        <f>SUM(BM52:BM57)</f>
        <v>37.530002940292619</v>
      </c>
      <c r="BN58" s="812">
        <f>SUM(BN52:BN57)</f>
        <v>14.186902791981336</v>
      </c>
      <c r="BT58" s="206"/>
    </row>
    <row r="59" spans="1:72" s="66" customFormat="1" ht="14.5" thickTop="1" x14ac:dyDescent="0.35">
      <c r="A59" s="658" t="s">
        <v>380</v>
      </c>
      <c r="B59" s="160"/>
      <c r="C59" s="160"/>
      <c r="D59" s="160"/>
      <c r="E59" s="160"/>
      <c r="F59" s="160"/>
      <c r="G59" s="160"/>
      <c r="H59" s="160">
        <v>1</v>
      </c>
      <c r="I59" s="160">
        <v>2</v>
      </c>
      <c r="J59" s="160">
        <v>3</v>
      </c>
      <c r="K59" s="160">
        <v>4</v>
      </c>
      <c r="L59" s="160">
        <v>5</v>
      </c>
      <c r="M59" s="160">
        <f>L59+1</f>
        <v>6</v>
      </c>
      <c r="N59" s="160">
        <f t="shared" ref="N59:AE59" si="20">M59+1</f>
        <v>7</v>
      </c>
      <c r="O59" s="160">
        <f t="shared" si="20"/>
        <v>8</v>
      </c>
      <c r="P59" s="160">
        <f t="shared" si="20"/>
        <v>9</v>
      </c>
      <c r="Q59" s="160">
        <f t="shared" si="20"/>
        <v>10</v>
      </c>
      <c r="R59" s="160">
        <f t="shared" si="20"/>
        <v>11</v>
      </c>
      <c r="S59" s="160">
        <f t="shared" si="20"/>
        <v>12</v>
      </c>
      <c r="T59" s="160">
        <f t="shared" si="20"/>
        <v>13</v>
      </c>
      <c r="U59" s="160">
        <f t="shared" si="20"/>
        <v>14</v>
      </c>
      <c r="V59" s="160">
        <f t="shared" si="20"/>
        <v>15</v>
      </c>
      <c r="W59" s="160">
        <f t="shared" si="20"/>
        <v>16</v>
      </c>
      <c r="X59" s="160">
        <f t="shared" si="20"/>
        <v>17</v>
      </c>
      <c r="Y59" s="160">
        <f t="shared" si="20"/>
        <v>18</v>
      </c>
      <c r="Z59" s="160">
        <f t="shared" si="20"/>
        <v>19</v>
      </c>
      <c r="AA59" s="160">
        <f t="shared" si="20"/>
        <v>20</v>
      </c>
      <c r="AB59" s="160">
        <f t="shared" si="20"/>
        <v>21</v>
      </c>
      <c r="AC59" s="160">
        <f t="shared" si="20"/>
        <v>22</v>
      </c>
      <c r="AD59" s="160">
        <f t="shared" si="20"/>
        <v>23</v>
      </c>
      <c r="AE59" s="160">
        <f t="shared" si="20"/>
        <v>24</v>
      </c>
      <c r="AF59" s="160">
        <f t="shared" ref="AF59" si="21">AE59+1</f>
        <v>25</v>
      </c>
      <c r="AG59" s="160">
        <f t="shared" ref="AG59" si="22">AF59+1</f>
        <v>26</v>
      </c>
      <c r="AH59" s="160">
        <f t="shared" ref="AH59" si="23">AG59+1</f>
        <v>27</v>
      </c>
      <c r="AI59" s="160">
        <f t="shared" ref="AI59" si="24">AH59+1</f>
        <v>28</v>
      </c>
      <c r="AJ59" s="160">
        <f t="shared" ref="AJ59" si="25">AI59+1</f>
        <v>29</v>
      </c>
      <c r="AK59" s="160">
        <f t="shared" ref="AK59" si="26">AJ59+1</f>
        <v>30</v>
      </c>
      <c r="AL59" s="160">
        <f t="shared" ref="AL59" si="27">AK59+1</f>
        <v>31</v>
      </c>
      <c r="AM59" s="160">
        <f t="shared" ref="AM59" si="28">AL59+1</f>
        <v>32</v>
      </c>
      <c r="AN59" s="160">
        <f t="shared" ref="AN59" si="29">AM59+1</f>
        <v>33</v>
      </c>
      <c r="AO59" s="160">
        <f t="shared" ref="AO59" si="30">AN59+1</f>
        <v>34</v>
      </c>
      <c r="AP59" s="160">
        <f t="shared" ref="AP59" si="31">AO59+1</f>
        <v>35</v>
      </c>
      <c r="AQ59" s="160">
        <f t="shared" ref="AQ59" si="32">AP59+1</f>
        <v>36</v>
      </c>
      <c r="AR59" s="160">
        <f t="shared" ref="AR59" si="33">AQ59+1</f>
        <v>37</v>
      </c>
      <c r="AS59" s="160">
        <f t="shared" ref="AS59" si="34">AR59+1</f>
        <v>38</v>
      </c>
      <c r="AT59" s="160">
        <f t="shared" ref="AT59" si="35">AS59+1</f>
        <v>39</v>
      </c>
      <c r="AU59" s="160">
        <f t="shared" ref="AU59" si="36">AT59+1</f>
        <v>40</v>
      </c>
      <c r="AV59" s="160">
        <f t="shared" ref="AV59" si="37">AU59+1</f>
        <v>41</v>
      </c>
      <c r="AW59" s="160">
        <f t="shared" ref="AW59" si="38">AV59+1</f>
        <v>42</v>
      </c>
      <c r="AX59" s="160">
        <f t="shared" ref="AX59" si="39">AW59+1</f>
        <v>43</v>
      </c>
      <c r="AY59" s="160">
        <f t="shared" ref="AY59" si="40">AX59+1</f>
        <v>44</v>
      </c>
      <c r="AZ59" s="160">
        <f t="shared" ref="AZ59" si="41">AY59+1</f>
        <v>45</v>
      </c>
      <c r="BA59" s="160">
        <f t="shared" ref="BA59" si="42">AZ59+1</f>
        <v>46</v>
      </c>
      <c r="BB59" s="160">
        <f t="shared" ref="BB59" si="43">BA59+1</f>
        <v>47</v>
      </c>
      <c r="BC59" s="160">
        <f t="shared" ref="BC59" si="44">BB59+1</f>
        <v>48</v>
      </c>
      <c r="BD59" s="160">
        <f t="shared" ref="BD59" si="45">BC59+1</f>
        <v>49</v>
      </c>
      <c r="BE59" s="160">
        <f t="shared" ref="BE59" si="46">BD59+1</f>
        <v>50</v>
      </c>
      <c r="BF59" s="160">
        <f t="shared" ref="BF59" si="47">BE59+1</f>
        <v>51</v>
      </c>
      <c r="BG59" s="160">
        <f t="shared" ref="BG59" si="48">BF59+1</f>
        <v>52</v>
      </c>
      <c r="BH59" s="160"/>
      <c r="BI59" s="160"/>
      <c r="BJ59" s="160"/>
      <c r="BK59" s="160"/>
      <c r="BL59" s="160"/>
      <c r="BM59" s="160"/>
      <c r="BN59" s="160"/>
      <c r="BO59" s="160"/>
      <c r="BP59" s="160"/>
      <c r="BQ59" s="160"/>
      <c r="BR59" s="160"/>
      <c r="BS59" s="160"/>
      <c r="BT59" s="160"/>
    </row>
    <row r="60" spans="1:72" s="66" customFormat="1" x14ac:dyDescent="0.35">
      <c r="A60" s="658" t="s">
        <v>380</v>
      </c>
      <c r="B60" s="160"/>
      <c r="C60" s="160"/>
      <c r="D60" s="160"/>
      <c r="E60" s="160"/>
      <c r="F60" s="160"/>
      <c r="G60" s="160"/>
      <c r="H60" s="160"/>
      <c r="I60" s="160"/>
      <c r="J60" s="160" t="s">
        <v>275</v>
      </c>
      <c r="K60" s="160"/>
      <c r="L60" s="160" cm="1">
        <f t="array" ref="L60">_xlfn.XLOOKUP(1,($A$2=Wholesale_DistributionZone)*($T$46=Wholesale_CustomerType)*(L$45=Wholesale_TariffType),Wholesale_Usage)</f>
        <v>4900</v>
      </c>
      <c r="M60" s="160"/>
      <c r="N60" s="160"/>
      <c r="O60" s="160"/>
      <c r="P60" s="160" cm="1">
        <f t="array" ref="P60">_xlfn.XLOOKUP(1,($A$2=Wholesale_DistributionZone)*($T$46=Wholesale_CustomerType)*(P$45=Wholesale_TariffType),Wholesale_Usage)</f>
        <v>4900</v>
      </c>
      <c r="Q60" s="160"/>
      <c r="R60" s="160"/>
      <c r="S60" s="160" t="s">
        <v>275</v>
      </c>
      <c r="T60" s="160"/>
      <c r="U60" s="160" cm="1">
        <f t="array" ref="U60">_xlfn.XLOOKUP(1,($A$2=Wholesale_DistributionZone)*($T$46=Wholesale_CustomerType)*(U$45=Wholesale_TariffType),Wholesale_Usage)</f>
        <v>327.11329612094818</v>
      </c>
      <c r="V60" s="160" cm="1">
        <f t="array" ref="V60">_xlfn.XLOOKUP(1,($A$2=Wholesale_DistributionZone)*($T$46=Wholesale_CustomerType)*(V$45=Wholesale_TariffType),Wholesale_Usage)</f>
        <v>481.04896488374737</v>
      </c>
      <c r="W60" s="160" cm="1">
        <f t="array" ref="W60">_xlfn.XLOOKUP(1,($A$2=Wholesale_DistributionZone)*($T$46=Wholesale_CustomerType)*(W$45=Wholesale_TariffType),Wholesale_Usage)</f>
        <v>3254.3760390086245</v>
      </c>
      <c r="X60" s="160" cm="1">
        <f t="array" ref="X60">_xlfn.XLOOKUP(1,($A$2=Wholesale_DistributionZone)*($T$46=Wholesale_CustomerType)*(X$45=Wholesale_TariffType),Wholesale_Usage)</f>
        <v>837.46169998667972</v>
      </c>
      <c r="Y60" s="160" cm="1">
        <f t="array" ref="Y60">_xlfn.XLOOKUP(1,($A$2=Wholesale_DistributionZone)*($T$46=Wholesale_CustomerType)*(Y$45=Wholesale_TariffType),Wholesale_Usage)</f>
        <v>4900</v>
      </c>
      <c r="Z60" s="160"/>
      <c r="AA60" s="160"/>
      <c r="AB60" s="160" cm="1">
        <f t="array" ref="AB60">_xlfn.XLOOKUP(1,($A$2=Wholesale_DistributionZone)*($T$46=Wholesale_CustomerType)*(AB$45=Wholesale_TariffType),Wholesale_Usage)</f>
        <v>327.11329612094818</v>
      </c>
      <c r="AC60" s="160" cm="1">
        <f t="array" ref="AC60">_xlfn.XLOOKUP(1,($A$2=Wholesale_DistributionZone)*($T$46=Wholesale_CustomerType)*(AC$45=Wholesale_TariffType),Wholesale_Usage)</f>
        <v>481.04896488374737</v>
      </c>
      <c r="AD60" s="160" cm="1">
        <f t="array" ref="AD60">_xlfn.XLOOKUP(1,($A$2=Wholesale_DistributionZone)*($T$46=Wholesale_CustomerType)*(AD$45=Wholesale_TariffType),Wholesale_Usage)</f>
        <v>3254.3760390086245</v>
      </c>
      <c r="AE60" s="160" cm="1">
        <f t="array" ref="AE60">_xlfn.XLOOKUP(1,($A$2=Wholesale_DistributionZone)*($T$46=Wholesale_CustomerType)*(AE$45=Wholesale_TariffType),Wholesale_Usage)</f>
        <v>837.46169998667972</v>
      </c>
      <c r="AF60" s="160"/>
      <c r="AG60" s="160"/>
      <c r="AH60" s="160"/>
      <c r="AI60" s="160" t="s">
        <v>275</v>
      </c>
      <c r="AJ60" s="160"/>
      <c r="AK60" s="160" cm="1">
        <f t="array" ref="AK60">_xlfn.XLOOKUP(1,($A$2=Wholesale_DistributionZone)*($AJ$46=Wholesale_CustomerType)*(AK$50=Wholesale_TariffType),Wholesale_Usage)</f>
        <v>10000</v>
      </c>
      <c r="AL60" s="160"/>
      <c r="AM60" s="160"/>
      <c r="AN60" s="160"/>
      <c r="AO60" s="160" cm="1">
        <f t="array" ref="AO60">_xlfn.XLOOKUP(1,($A$2=Wholesale_DistributionZone)*($AJ$46=Wholesale_CustomerType)*(AO$50=Wholesale_TariffType),Wholesale_Usage)</f>
        <v>10000</v>
      </c>
      <c r="AP60" s="160"/>
      <c r="AQ60" s="160"/>
      <c r="AR60" s="160"/>
      <c r="AS60" s="160" t="s">
        <v>275</v>
      </c>
      <c r="AT60" s="160"/>
      <c r="AU60" s="160" cm="1">
        <f t="array" ref="AU60">_xlfn.XLOOKUP(1,($A$2=Wholesale_DistributionZone)*(AT46=Wholesale_CustomerType)*(AU$45=Wholesale_TariffType),Wholesale_Usage)</f>
        <v>479.35429346441191</v>
      </c>
      <c r="AV60" s="160" cm="1">
        <f t="array" ref="AV60">_xlfn.XLOOKUP(1,($A$2=Wholesale_DistributionZone)*($AT$46=Wholesale_CustomerType)*(AV$45=Wholesale_TariffType),Wholesale_Usage)</f>
        <v>704.93278450648802</v>
      </c>
      <c r="AW60" s="160" cm="1">
        <f t="array" ref="AW60">_xlfn.XLOOKUP(1,($A$2=Wholesale_DistributionZone)*($AT$46=Wholesale_CustomerType)*(AW$45=Wholesale_TariffType),Wholesale_Usage)</f>
        <v>6469.8407560338619</v>
      </c>
      <c r="AX60" s="160" cm="1">
        <f t="array" ref="AX60">_xlfn.XLOOKUP(1,($A$2=Wholesale_DistributionZone)*($AT$46=Wholesale_CustomerType)*(AX$45=Wholesale_TariffType),Wholesale_Usage)</f>
        <v>2345.8721659952375</v>
      </c>
      <c r="AY60" s="160" cm="1">
        <f t="array" ref="AY60">_xlfn.XLOOKUP(1,($A$2=Wholesale_DistributionZone)*($AT$46=Wholesale_CustomerType)*(AY$45=Wholesale_TariffType),Wholesale_Usage)</f>
        <v>10000</v>
      </c>
      <c r="AZ60" s="160"/>
      <c r="BA60" s="160"/>
      <c r="BB60" s="160" cm="1">
        <f t="array" ref="BB60">_xlfn.XLOOKUP(1,($A$2=Wholesale_DistributionZone)*($AT$46=Wholesale_CustomerType)*(BB$45=Wholesale_TariffType),Wholesale_Usage)</f>
        <v>479.35429346441191</v>
      </c>
      <c r="BC60" s="160" cm="1">
        <f t="array" ref="BC60">_xlfn.XLOOKUP(1,($A$2=Wholesale_DistributionZone)*($AT$46=Wholesale_CustomerType)*(BC$45=Wholesale_TariffType),Wholesale_Usage)</f>
        <v>704.93278450648802</v>
      </c>
      <c r="BD60" s="160" cm="1">
        <f t="array" ref="BD60">_xlfn.XLOOKUP(1,($A$2=Wholesale_DistributionZone)*($AT$46=Wholesale_CustomerType)*(BD$45=Wholesale_TariffType),Wholesale_Usage)</f>
        <v>6469.8407560338619</v>
      </c>
      <c r="BE60" s="160" cm="1">
        <f t="array" ref="BE60">_xlfn.XLOOKUP(1,($A$2=Wholesale_DistributionZone)*($AT$46=Wholesale_CustomerType)*(BE$45=Wholesale_TariffType),Wholesale_Usage)</f>
        <v>2345.8721659952375</v>
      </c>
      <c r="BF60" s="160" cm="1">
        <f t="array" ref="BF60">_xlfn.XLOOKUP(1,($A$2=Wholesale_DistributionZone)*($AT$46=Wholesale_CustomerType)*(BF$45=Wholesale_TariffType),Wholesale_Usage)</f>
        <v>10000</v>
      </c>
      <c r="BG60" s="160"/>
      <c r="BH60" s="160"/>
      <c r="BI60" s="160"/>
      <c r="BJ60" s="160"/>
      <c r="BK60" s="160"/>
      <c r="BL60" s="160"/>
      <c r="BM60" s="160"/>
      <c r="BN60" s="160"/>
      <c r="BO60" s="160"/>
      <c r="BP60" s="160"/>
      <c r="BQ60" s="160"/>
      <c r="BR60" s="160"/>
      <c r="BS60" s="160"/>
      <c r="BT60" s="160"/>
    </row>
    <row r="61" spans="1:72" s="66" customFormat="1" x14ac:dyDescent="0.35">
      <c r="A61" s="658" t="s">
        <v>380</v>
      </c>
      <c r="B61" s="160"/>
      <c r="C61" s="160"/>
      <c r="D61" s="160"/>
      <c r="E61" s="160"/>
      <c r="F61" s="160"/>
      <c r="G61" s="160"/>
      <c r="H61" s="160"/>
      <c r="I61" s="160"/>
      <c r="J61" s="160" t="s">
        <v>273</v>
      </c>
      <c r="K61" s="160">
        <f>K57*365</f>
        <v>65210.567528303269</v>
      </c>
      <c r="L61" s="160">
        <f>L57*L60</f>
        <v>175925.73829424716</v>
      </c>
      <c r="M61" s="160"/>
      <c r="N61" s="160"/>
      <c r="O61" s="160">
        <f>O57*365</f>
        <v>67574.284946282438</v>
      </c>
      <c r="P61" s="160">
        <f>P57*P60</f>
        <v>165263.89666174899</v>
      </c>
      <c r="Q61" s="160"/>
      <c r="R61" s="160"/>
      <c r="S61" s="160" t="s">
        <v>273</v>
      </c>
      <c r="T61" s="160">
        <f>T57*365</f>
        <v>0</v>
      </c>
      <c r="U61" s="160">
        <f>U57*U60</f>
        <v>0</v>
      </c>
      <c r="V61" s="160">
        <f>V57*V60</f>
        <v>0</v>
      </c>
      <c r="W61" s="160">
        <f>W57*W60</f>
        <v>0</v>
      </c>
      <c r="X61" s="160">
        <f>X57*X60</f>
        <v>0</v>
      </c>
      <c r="Y61" s="160">
        <f>Y57*Y60</f>
        <v>0</v>
      </c>
      <c r="Z61" s="160"/>
      <c r="AA61" s="160">
        <f>AA57*365</f>
        <v>67574.284946282438</v>
      </c>
      <c r="AB61" s="160">
        <f>AB57*AB60</f>
        <v>15234.290718698767</v>
      </c>
      <c r="AC61" s="160">
        <f>AC57*AC60</f>
        <v>22675.659436882506</v>
      </c>
      <c r="AD61" s="160">
        <f>AD57*AD60</f>
        <v>116150.8826543528</v>
      </c>
      <c r="AE61" s="160">
        <f>AE57*AE60</f>
        <v>10340.622343122997</v>
      </c>
      <c r="AF61" s="160"/>
      <c r="AG61" s="160"/>
      <c r="AH61" s="160"/>
      <c r="AI61" s="160" t="s">
        <v>273</v>
      </c>
      <c r="AJ61" s="160">
        <f>AJ57*365</f>
        <v>92598.770367528676</v>
      </c>
      <c r="AK61" s="160">
        <f>AK57*AK60</f>
        <v>384924.93464020255</v>
      </c>
      <c r="AL61" s="160"/>
      <c r="AM61" s="160"/>
      <c r="AN61" s="160">
        <f>AN57*365</f>
        <v>89110.181466070702</v>
      </c>
      <c r="AO61" s="160">
        <f>AO57*AO60</f>
        <v>345197.62487538793</v>
      </c>
      <c r="AP61" s="160"/>
      <c r="AQ61" s="160"/>
      <c r="AR61" s="160"/>
      <c r="AS61" s="160" t="s">
        <v>273</v>
      </c>
      <c r="AT61" s="160">
        <f>AT57*365</f>
        <v>0</v>
      </c>
      <c r="AU61" s="160">
        <f>AU57*AU60</f>
        <v>0</v>
      </c>
      <c r="AV61" s="160">
        <f>AV57*AV60</f>
        <v>0</v>
      </c>
      <c r="AW61" s="160">
        <f>AW57*AW60</f>
        <v>0</v>
      </c>
      <c r="AX61" s="160">
        <f>AX57*AX60</f>
        <v>0</v>
      </c>
      <c r="AY61" s="160">
        <f>AY57*AY60</f>
        <v>0</v>
      </c>
      <c r="AZ61" s="160"/>
      <c r="BA61" s="160">
        <f>BA57*365</f>
        <v>89110.181466070702</v>
      </c>
      <c r="BB61" s="160">
        <f>BB57*BB60</f>
        <v>23810.514392757479</v>
      </c>
      <c r="BC61" s="160">
        <f>BC57*BC60</f>
        <v>35414.479237783729</v>
      </c>
      <c r="BD61" s="160">
        <f>BD57*BD60</f>
        <v>250970.46477297484</v>
      </c>
      <c r="BE61" s="160">
        <f>BE57*BE60</f>
        <v>33290.077187376373</v>
      </c>
      <c r="BF61" s="160">
        <f>BF57*BF60</f>
        <v>0</v>
      </c>
      <c r="BG61" s="160"/>
      <c r="BH61" s="160"/>
      <c r="BI61" s="160"/>
      <c r="BJ61" s="160"/>
      <c r="BK61" s="160"/>
      <c r="BL61" s="160"/>
      <c r="BM61" s="160"/>
      <c r="BN61" s="160"/>
      <c r="BO61" s="160"/>
      <c r="BP61" s="160"/>
      <c r="BQ61" s="160"/>
      <c r="BR61" s="160"/>
      <c r="BS61" s="160"/>
      <c r="BT61" s="160"/>
    </row>
    <row r="62" spans="1:72" s="66" customFormat="1" x14ac:dyDescent="0.35">
      <c r="A62" s="658" t="s">
        <v>380</v>
      </c>
      <c r="B62" s="160"/>
      <c r="C62" s="160"/>
      <c r="D62" s="160"/>
      <c r="E62" s="160"/>
      <c r="F62" s="160"/>
      <c r="G62" s="160"/>
      <c r="H62" s="160"/>
      <c r="I62" s="160"/>
      <c r="J62" s="160" t="s">
        <v>274</v>
      </c>
      <c r="K62" s="160">
        <f>SUM(K61:L61)/100</f>
        <v>2411.3630582255046</v>
      </c>
      <c r="L62" s="160"/>
      <c r="M62" s="160"/>
      <c r="N62" s="160"/>
      <c r="O62" s="160">
        <f>SUM(O61:P61)/100</f>
        <v>2328.3818160803144</v>
      </c>
      <c r="P62" s="160"/>
      <c r="Q62" s="160"/>
      <c r="R62" s="160"/>
      <c r="S62" s="160" t="s">
        <v>274</v>
      </c>
      <c r="T62" s="160">
        <f>SUM(T61:Y61)/100</f>
        <v>0</v>
      </c>
      <c r="U62" s="160"/>
      <c r="V62" s="160"/>
      <c r="W62" s="160"/>
      <c r="X62" s="160"/>
      <c r="Y62" s="160"/>
      <c r="Z62" s="160"/>
      <c r="AA62" s="160">
        <f>SUM(AA61:AF61)/100</f>
        <v>2319.7574009933946</v>
      </c>
      <c r="AB62" s="160"/>
      <c r="AC62" s="160"/>
      <c r="AD62" s="160"/>
      <c r="AE62" s="160"/>
      <c r="AF62" s="160"/>
      <c r="AG62" s="160"/>
      <c r="AH62" s="160"/>
      <c r="AI62" s="160" t="s">
        <v>274</v>
      </c>
      <c r="AJ62" s="160">
        <f>SUM(AJ61:AK61)/100</f>
        <v>4775.2370500773122</v>
      </c>
      <c r="AK62" s="160"/>
      <c r="AL62" s="160"/>
      <c r="AM62" s="160"/>
      <c r="AN62" s="160">
        <f>SUM(AN61:AO61)/100</f>
        <v>4343.0780634145867</v>
      </c>
      <c r="AO62" s="160"/>
      <c r="AP62" s="160"/>
      <c r="AQ62" s="160"/>
      <c r="AR62" s="160"/>
      <c r="AS62" s="160" t="s">
        <v>274</v>
      </c>
      <c r="AT62" s="160">
        <f>SUM(AT61:AY61)/100</f>
        <v>0</v>
      </c>
      <c r="AU62" s="160"/>
      <c r="AV62" s="160"/>
      <c r="AW62" s="160"/>
      <c r="AX62" s="160"/>
      <c r="AY62" s="160"/>
      <c r="AZ62" s="160"/>
      <c r="BA62" s="160">
        <f>SUM(BA61:BF61)/100</f>
        <v>4325.9571705696317</v>
      </c>
      <c r="BB62" s="160"/>
      <c r="BC62" s="160"/>
      <c r="BD62" s="160"/>
      <c r="BE62" s="160"/>
      <c r="BF62" s="160"/>
      <c r="BG62" s="160"/>
      <c r="BH62" s="160"/>
      <c r="BI62" s="160"/>
      <c r="BJ62" s="160"/>
      <c r="BK62" s="160"/>
      <c r="BL62" s="160"/>
      <c r="BM62" s="160"/>
      <c r="BN62" s="160"/>
      <c r="BO62" s="160"/>
      <c r="BP62" s="160"/>
      <c r="BQ62" s="160"/>
      <c r="BR62" s="160"/>
      <c r="BS62" s="160"/>
      <c r="BT62" s="160"/>
    </row>
    <row r="63" spans="1:72" s="66" customFormat="1" x14ac:dyDescent="0.35"/>
    <row r="64" spans="1:72" s="66" customFormat="1" x14ac:dyDescent="0.35"/>
    <row r="65" spans="4:79" s="239" customFormat="1" x14ac:dyDescent="0.35">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row>
    <row r="66" spans="4:79" x14ac:dyDescent="0.35">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row>
    <row r="67" spans="4:79" s="585" customFormat="1" ht="18" customHeight="1" x14ac:dyDescent="0.35"/>
    <row r="68" spans="4:79" ht="18" customHeight="1" x14ac:dyDescent="0.35">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row>
    <row r="69" spans="4:79" ht="18" customHeight="1" x14ac:dyDescent="0.35">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row>
    <row r="70" spans="4:79" ht="18" customHeight="1" x14ac:dyDescent="0.35">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row>
    <row r="71" spans="4:79" ht="18" customHeight="1" x14ac:dyDescent="0.35">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row>
    <row r="72" spans="4:79" s="64" customFormat="1" ht="18" customHeight="1" x14ac:dyDescent="0.35">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row>
    <row r="73" spans="4:79" x14ac:dyDescent="0.35">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row>
    <row r="74" spans="4:79" x14ac:dyDescent="0.35">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row>
    <row r="75" spans="4:79" s="218" customFormat="1" x14ac:dyDescent="0.35">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row>
    <row r="76" spans="4:79" s="218" customFormat="1" x14ac:dyDescent="0.35">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row>
    <row r="77" spans="4:79" s="218" customFormat="1" x14ac:dyDescent="0.35"/>
  </sheetData>
  <sheetProtection algorithmName="SHA-256" hashValue="j4Lb8bH0EcDoGfmvlisWzuiMB27zuRf4krnIHB02YQU=" saltValue="OJjsDseDoYO2xR9VYxAivA==" spinCount="100000" sheet="1" autoFilter="0"/>
  <mergeCells count="43">
    <mergeCell ref="BA48:BF48"/>
    <mergeCell ref="BB49:BF49"/>
    <mergeCell ref="U49:Y49"/>
    <mergeCell ref="T46:AF46"/>
    <mergeCell ref="T47:AF47"/>
    <mergeCell ref="AA48:AF48"/>
    <mergeCell ref="AB49:AF49"/>
    <mergeCell ref="K47:P47"/>
    <mergeCell ref="AJ47:AO47"/>
    <mergeCell ref="K46:P46"/>
    <mergeCell ref="AJ46:AO46"/>
    <mergeCell ref="AJ48:AK48"/>
    <mergeCell ref="AN48:AO48"/>
    <mergeCell ref="K48:L48"/>
    <mergeCell ref="O48:P48"/>
    <mergeCell ref="T48:Y48"/>
    <mergeCell ref="T31:U31"/>
    <mergeCell ref="W31:Z31"/>
    <mergeCell ref="S29:Z29"/>
    <mergeCell ref="S30:Z30"/>
    <mergeCell ref="A1:B1"/>
    <mergeCell ref="B6:B7"/>
    <mergeCell ref="H29:H33"/>
    <mergeCell ref="J29:Q29"/>
    <mergeCell ref="N31:Q31"/>
    <mergeCell ref="J30:Q30"/>
    <mergeCell ref="K31:L31"/>
    <mergeCell ref="BL49:BP49"/>
    <mergeCell ref="BK46:BN46"/>
    <mergeCell ref="BK47:BN47"/>
    <mergeCell ref="BK48:BN48"/>
    <mergeCell ref="AB29:AI29"/>
    <mergeCell ref="AB30:AI30"/>
    <mergeCell ref="AC31:AD31"/>
    <mergeCell ref="AF31:AI31"/>
    <mergeCell ref="AK29:AR29"/>
    <mergeCell ref="AK30:AR30"/>
    <mergeCell ref="AL31:AM31"/>
    <mergeCell ref="AO31:AR31"/>
    <mergeCell ref="AU49:AY49"/>
    <mergeCell ref="AT46:BF46"/>
    <mergeCell ref="AT47:BF47"/>
    <mergeCell ref="AT48:AY48"/>
  </mergeCells>
  <conditionalFormatting sqref="H40:O40">
    <cfRule type="expression" dxfId="1268" priority="368">
      <formula>AND(MOD(ROW(),2)=0,H$32="Proportion",$H40="Overall change in costs (%)")</formula>
    </cfRule>
    <cfRule type="expression" dxfId="1267" priority="369">
      <formula>AND(MOD(ROW(),1)=0,H$32="Proportion",$H40="Overall change in costs (%)")</formula>
    </cfRule>
  </conditionalFormatting>
  <conditionalFormatting sqref="H58:P58 S51:W51 H51:Q57 X51:Y57 W52:W57 S52:U58">
    <cfRule type="expression" dxfId="1266" priority="196">
      <formula>AND(MOD(ROW(),2)=0,H$32="Proportion",$H51="Overall change in costs (%)")</formula>
    </cfRule>
  </conditionalFormatting>
  <conditionalFormatting sqref="H34:Z39 AB34:AI39 AK34:AR39 AA34:AA40 AJ34:AJ40 AB40:AG40 AK40:AP40">
    <cfRule type="expression" dxfId="1265" priority="269">
      <formula>AND(MOD(ROW(),1)=0,H$32="Proportion",$H34="Overall change in costs (%)")</formula>
    </cfRule>
  </conditionalFormatting>
  <conditionalFormatting sqref="H34:AR40 H51:Q58 AE51:AG58">
    <cfRule type="expression" dxfId="1264" priority="195">
      <formula>MOD(ROW(),2)=0</formula>
    </cfRule>
  </conditionalFormatting>
  <conditionalFormatting sqref="P40">
    <cfRule type="expression" dxfId="1263" priority="428">
      <formula>AND(MOD(ROW(),2)=0,#REF!="Proportion",$H40="Overall change in costs (%)")</formula>
    </cfRule>
    <cfRule type="expression" dxfId="1262" priority="429">
      <formula>AND(MOD(ROW(),1)=0,#REF!="Proportion",$H40="Overall change in costs (%)")</formula>
    </cfRule>
  </conditionalFormatting>
  <conditionalFormatting sqref="P58">
    <cfRule type="expression" dxfId="1261" priority="194">
      <formula>AND(MOD(ROW(),1)=0,#REF!="Proportion",$H58="Overall change in costs (%)")</formula>
    </cfRule>
    <cfRule type="expression" dxfId="1260" priority="193">
      <formula>AND(MOD(ROW(),2)=0,#REF!="Proportion",$H58="Overall change in costs (%)")</formula>
    </cfRule>
  </conditionalFormatting>
  <conditionalFormatting sqref="Q40 AI40 AR40 W58:Y58">
    <cfRule type="expression" dxfId="1259" priority="426">
      <formula>AND(MOD(ROW(),1)=0,P$32="Proportion",$H40="Overall change in costs (%)")</formula>
    </cfRule>
    <cfRule type="expression" dxfId="1258" priority="425">
      <formula>AND(MOD(ROW(),2)=0,P$32="Proportion",$H40="Overall change in costs (%)")</formula>
    </cfRule>
  </conditionalFormatting>
  <conditionalFormatting sqref="Q58">
    <cfRule type="expression" dxfId="1257" priority="199">
      <formula>AND(MOD(ROW(),1)=0,P$32="Proportion",$H58="Overall change in costs (%)")</formula>
    </cfRule>
    <cfRule type="expression" dxfId="1256" priority="198">
      <formula>AND(MOD(ROW(),2)=0,P$32="Proportion",$H58="Overall change in costs (%)")</formula>
    </cfRule>
  </conditionalFormatting>
  <conditionalFormatting sqref="R40:X40">
    <cfRule type="expression" dxfId="1255" priority="299">
      <formula>AND(MOD(ROW(),2)=0,R$32="Proportion",$H40="Overall change in costs (%)")</formula>
    </cfRule>
    <cfRule type="expression" dxfId="1254" priority="300">
      <formula>AND(MOD(ROW(),1)=0,R$32="Proportion",$H40="Overall change in costs (%)")</formula>
    </cfRule>
  </conditionalFormatting>
  <conditionalFormatting sqref="S40">
    <cfRule type="expression" dxfId="1253" priority="94">
      <formula>AND(MOD(ROW(),2)=0,S$32="Proportion",$H40="Overall change in costs (%)")</formula>
    </cfRule>
    <cfRule type="expression" dxfId="1252" priority="95">
      <formula>AND(MOD(ROW(),1)=0,S$32="Proportion",$H40="Overall change in costs (%)")</formula>
    </cfRule>
  </conditionalFormatting>
  <conditionalFormatting sqref="S51:W51 H51:Q57 X51:Y57 W52:W57 S52:U58 H58:P58">
    <cfRule type="expression" dxfId="1251" priority="197">
      <formula>AND(MOD(ROW(),1)=0,H$32="Proportion",$H51="Overall change in costs (%)")</formula>
    </cfRule>
  </conditionalFormatting>
  <conditionalFormatting sqref="S51:AD51">
    <cfRule type="expression" dxfId="1250" priority="182">
      <formula>MOD(ROW(),2)=0</formula>
    </cfRule>
  </conditionalFormatting>
  <conditionalFormatting sqref="W52:X57 V52:V58 X57:Y57">
    <cfRule type="expression" dxfId="1249" priority="201">
      <formula>AND(MOD(ROW(),1)=0,U$32="Proportion",$H52="Overall change in costs (%)")</formula>
    </cfRule>
  </conditionalFormatting>
  <conditionalFormatting sqref="W52:X57 X57:Y57 V52:V58">
    <cfRule type="expression" dxfId="1248" priority="200">
      <formula>AND(MOD(ROW(),2)=0,U$32="Proportion",$H52="Overall change in costs (%)")</formula>
    </cfRule>
  </conditionalFormatting>
  <conditionalFormatting sqref="X51:Y58 S52:W58 Z52:AD58">
    <cfRule type="expression" dxfId="1247" priority="248">
      <formula>MOD(ROW(),2)=0</formula>
    </cfRule>
  </conditionalFormatting>
  <conditionalFormatting sqref="Y40">
    <cfRule type="expression" dxfId="1246" priority="303">
      <formula>AND(MOD(ROW(),2)=0,#REF!="Proportion",$H40="Overall change in costs (%)")</formula>
    </cfRule>
    <cfRule type="expression" dxfId="1245" priority="304">
      <formula>AND(MOD(ROW(),1)=0,#REF!="Proportion",$H40="Overall change in costs (%)")</formula>
    </cfRule>
  </conditionalFormatting>
  <conditionalFormatting sqref="Z40">
    <cfRule type="expression" dxfId="1244" priority="302">
      <formula>AND(MOD(ROW(),1)=0,Y$32="Proportion",$H40="Overall change in costs (%)")</formula>
    </cfRule>
    <cfRule type="expression" dxfId="1243" priority="301">
      <formula>AND(MOD(ROW(),2)=0,Y$32="Proportion",$H40="Overall change in costs (%)")</formula>
    </cfRule>
  </conditionalFormatting>
  <conditionalFormatting sqref="Z51:Z57 Y52:Y57 AA51:AF51">
    <cfRule type="expression" dxfId="1242" priority="6437">
      <formula>AND(MOD(ROW(),1)=0,W$32="Proportion",$H51="Overall change in costs (%)")</formula>
    </cfRule>
  </conditionalFormatting>
  <conditionalFormatting sqref="Z52:Z57 Z58:AB58">
    <cfRule type="expression" dxfId="1241" priority="217">
      <formula>AND(MOD(ROW(),2)=0,W$32="Proportion",$H52="Overall change in costs (%)")</formula>
    </cfRule>
  </conditionalFormatting>
  <conditionalFormatting sqref="Z58:AB58 Z52:Z57">
    <cfRule type="expression" dxfId="1240" priority="216">
      <formula>AND(MOD(ROW(),1)=0,W$32="Proportion",$H52="Overall change in costs (%)")</formula>
    </cfRule>
  </conditionalFormatting>
  <conditionalFormatting sqref="AA52:AC57">
    <cfRule type="expression" dxfId="1239" priority="6499">
      <formula>AND(MOD(ROW(),1)=0,W$32="Proportion",$H52="Overall change in costs (%)")</formula>
    </cfRule>
    <cfRule type="expression" dxfId="1238" priority="6500">
      <formula>AND(MOD(ROW(),2)=0,W$32="Proportion",$H52="Overall change in costs (%)")</formula>
    </cfRule>
  </conditionalFormatting>
  <conditionalFormatting sqref="AA51:AF51 Z51:Z57 Y52:Y57">
    <cfRule type="expression" dxfId="1237" priority="6440">
      <formula>AND(MOD(ROW(),2)=0,W$32="Proportion",$H51="Overall change in costs (%)")</formula>
    </cfRule>
  </conditionalFormatting>
  <conditionalFormatting sqref="AB40">
    <cfRule type="expression" dxfId="1236" priority="92">
      <formula>AND(MOD(ROW(),2)=0,AB$32="Proportion",$H40="Overall change in costs (%)")</formula>
    </cfRule>
    <cfRule type="expression" dxfId="1235" priority="93">
      <formula>AND(MOD(ROW(),1)=0,AB$32="Proportion",$H40="Overall change in costs (%)")</formula>
    </cfRule>
    <cfRule type="expression" dxfId="1234" priority="90">
      <formula>AND(MOD(ROW(),2)=0,AB$32="Proportion",$H40="Overall change in costs (%)")</formula>
    </cfRule>
    <cfRule type="expression" dxfId="1233" priority="91">
      <formula>AND(MOD(ROW(),1)=0,AB$32="Proportion",$H40="Overall change in costs (%)")</formula>
    </cfRule>
  </conditionalFormatting>
  <conditionalFormatting sqref="AB58">
    <cfRule type="expression" dxfId="1232" priority="191">
      <formula>AND(MOD(ROW(),2)=0,#REF!="Proportion",$H58="Overall change in costs (%)")</formula>
    </cfRule>
    <cfRule type="expression" dxfId="1231" priority="208">
      <formula>AND(MOD(ROW(),2)=0,X$32="Proportion",$H58="Overall change in costs (%)")</formula>
    </cfRule>
    <cfRule type="expression" dxfId="1230" priority="209">
      <formula>AND(MOD(ROW(),1)=0,X$32="Proportion",$H58="Overall change in costs (%)")</formula>
    </cfRule>
  </conditionalFormatting>
  <conditionalFormatting sqref="AB58:AF58">
    <cfRule type="expression" dxfId="1229" priority="192">
      <formula>AND(MOD(ROW(),1)=0,#REF!="Proportion",$H58="Overall change in costs (%)")</formula>
    </cfRule>
  </conditionalFormatting>
  <conditionalFormatting sqref="AB40:AG40 AK40:AP40 H34:Z39 AB34:AI39 AK34:AR39 AA34:AA40 AJ34:AJ40">
    <cfRule type="expression" dxfId="1228" priority="268">
      <formula>AND(MOD(ROW(),2)=0,H$32="Proportion",$H34="Overall change in costs (%)")</formula>
    </cfRule>
  </conditionalFormatting>
  <conditionalFormatting sqref="AC52:AC57">
    <cfRule type="expression" dxfId="1227" priority="6259">
      <formula>AND(MOD(ROW(),1)=0,X$32="Proportion",$H52="Overall change in costs (%)")</formula>
    </cfRule>
    <cfRule type="expression" dxfId="1226" priority="6258">
      <formula>AND(MOD(ROW(),2)=0,X$32="Proportion",$H52="Overall change in costs (%)")</formula>
    </cfRule>
  </conditionalFormatting>
  <conditionalFormatting sqref="AD52:AF57 AO58:AP58 AR58:AX58">
    <cfRule type="expression" dxfId="1225" priority="7191">
      <formula>AND(MOD(ROW(),2)=0,#REF!="Proportion",$H52="Overall change in costs (%)")</formula>
    </cfRule>
    <cfRule type="expression" dxfId="1224" priority="7192">
      <formula>AND(MOD(ROW(),1)=0,#REF!="Proportion",$H52="Overall change in costs (%)")</formula>
    </cfRule>
  </conditionalFormatting>
  <conditionalFormatting sqref="AG51:AG58 AC58:AF58">
    <cfRule type="expression" dxfId="1223" priority="7188">
      <formula>AND(MOD(ROW(),2)=0,#REF!="Proportion",$H51="Overall change in costs (%)")</formula>
    </cfRule>
  </conditionalFormatting>
  <conditionalFormatting sqref="AG51:AG58">
    <cfRule type="expression" dxfId="1222" priority="7183">
      <formula>AND(MOD(ROW(),1)=0,#REF!="Proportion",$H51="Overall change in costs (%)")</formula>
    </cfRule>
  </conditionalFormatting>
  <conditionalFormatting sqref="AH40">
    <cfRule type="expression" dxfId="1221" priority="261">
      <formula>AND(MOD(ROW(),2)=0,#REF!="Proportion",$H40="Overall change in costs (%)")</formula>
    </cfRule>
    <cfRule type="expression" dxfId="1220" priority="262">
      <formula>AND(MOD(ROW(),1)=0,#REF!="Proportion",$H40="Overall change in costs (%)")</formula>
    </cfRule>
  </conditionalFormatting>
  <conditionalFormatting sqref="AI51 AL51:AM51 AI52:AP57 AI58:AN58">
    <cfRule type="expression" dxfId="1219" priority="211">
      <formula>AND(MOD(ROW(),2)=0,AD$32="Proportion",$H51="Overall change in costs (%)")</formula>
    </cfRule>
    <cfRule type="expression" dxfId="1218" priority="210">
      <formula>AND(MOD(ROW(),1)=0,AD$32="Proportion",$H51="Overall change in costs (%)")</formula>
    </cfRule>
  </conditionalFormatting>
  <conditionalFormatting sqref="AI51:AP58">
    <cfRule type="expression" dxfId="1217" priority="169">
      <formula>MOD(ROW(),2)=0</formula>
    </cfRule>
  </conditionalFormatting>
  <conditionalFormatting sqref="AJ51:AK51 AN51:AP51 AT51:AY51 BA51:BF51">
    <cfRule type="expression" dxfId="1216" priority="6525">
      <formula>AND(MOD(ROW(),1)=0,AM$32="Proportion",$H51="Overall change in costs (%)")</formula>
    </cfRule>
    <cfRule type="expression" dxfId="1215" priority="6527">
      <formula>AND(MOD(ROW(),2)=0,AM$32="Proportion",$H51="Overall change in costs (%)")</formula>
    </cfRule>
  </conditionalFormatting>
  <conditionalFormatting sqref="AK40">
    <cfRule type="expression" dxfId="1214" priority="86">
      <formula>AND(MOD(ROW(),2)=0,AK$32="Proportion",$H40="Overall change in costs (%)")</formula>
    </cfRule>
    <cfRule type="expression" dxfId="1213" priority="87">
      <formula>AND(MOD(ROW(),1)=0,AK$32="Proportion",$H40="Overall change in costs (%)")</formula>
    </cfRule>
    <cfRule type="expression" dxfId="1212" priority="88">
      <formula>AND(MOD(ROW(),2)=0,AK$32="Proportion",$H40="Overall change in costs (%)")</formula>
    </cfRule>
    <cfRule type="expression" dxfId="1211" priority="89">
      <formula>AND(MOD(ROW(),1)=0,AK$32="Proportion",$H40="Overall change in costs (%)")</formula>
    </cfRule>
  </conditionalFormatting>
  <conditionalFormatting sqref="AQ40">
    <cfRule type="expression" dxfId="1210" priority="245">
      <formula>AND(MOD(ROW(),1)=0,#REF!="Proportion",$H40="Overall change in costs (%)")</formula>
    </cfRule>
    <cfRule type="expression" dxfId="1209" priority="244">
      <formula>AND(MOD(ROW(),2)=0,#REF!="Proportion",$H40="Overall change in costs (%)")</formula>
    </cfRule>
  </conditionalFormatting>
  <conditionalFormatting sqref="AR51:AS51 AR52:AU57 AW52:AX57 AX57:AY57">
    <cfRule type="expression" dxfId="1208" priority="213">
      <formula>AND(MOD(ROW(),2)=0,AL$32="Proportion",$H51="Overall change in costs (%)")</formula>
    </cfRule>
  </conditionalFormatting>
  <conditionalFormatting sqref="AR51:BG58">
    <cfRule type="expression" dxfId="1207" priority="161">
      <formula>MOD(ROW(),2)=0</formula>
    </cfRule>
  </conditionalFormatting>
  <conditionalFormatting sqref="AV52:AY57">
    <cfRule type="expression" dxfId="1206" priority="118">
      <formula>AND(MOD(ROW(),2)=0,AO$32="Proportion",$H52="Overall change in costs (%)")</formula>
    </cfRule>
    <cfRule type="expression" dxfId="1205" priority="117">
      <formula>AND(MOD(ROW(),1)=0,AO$32="Proportion",$H52="Overall change in costs (%)")</formula>
    </cfRule>
  </conditionalFormatting>
  <conditionalFormatting sqref="AW52:AX57 AX57:AY57 AR51:AS51 AR52:AU57">
    <cfRule type="expression" dxfId="1204" priority="212">
      <formula>AND(MOD(ROW(),1)=0,AL$32="Proportion",$H51="Overall change in costs (%)")</formula>
    </cfRule>
  </conditionalFormatting>
  <conditionalFormatting sqref="AY58">
    <cfRule type="expression" dxfId="1203" priority="7303">
      <formula>AND(MOD(ROW(),1)=0,AA$32="Proportion",$H58="Overall change in costs (%)")</formula>
    </cfRule>
    <cfRule type="expression" dxfId="1202" priority="7302">
      <formula>AND(MOD(ROW(),2)=0,AA$32="Proportion",$H58="Overall change in costs (%)")</formula>
    </cfRule>
  </conditionalFormatting>
  <conditionalFormatting sqref="AZ51:AZ57 AY52:AY57">
    <cfRule type="expression" dxfId="1201" priority="96">
      <formula>AND(MOD(ROW(),1)=0,AQ$32="Proportion",$H51="Overall change in costs (%)")</formula>
    </cfRule>
    <cfRule type="expression" dxfId="1200" priority="97">
      <formula>AND(MOD(ROW(),2)=0,AQ$32="Proportion",$H51="Overall change in costs (%)")</formula>
    </cfRule>
  </conditionalFormatting>
  <conditionalFormatting sqref="AZ52:AZ57">
    <cfRule type="expression" dxfId="1199" priority="7309">
      <formula>AND(MOD(ROW(),2)=0,AQ$32="Proportion",$H52="Overall change in costs (%)")</formula>
    </cfRule>
    <cfRule type="expression" dxfId="1198" priority="7308">
      <formula>AND(MOD(ROW(),1)=0,AQ$32="Proportion",$H52="Overall change in costs (%)")</formula>
    </cfRule>
  </conditionalFormatting>
  <conditionalFormatting sqref="AZ58:BE58">
    <cfRule type="expression" dxfId="1197" priority="7316">
      <formula>AND(MOD(ROW(),2)=0,AA$32="Proportion",$H58="Overall change in costs (%)")</formula>
    </cfRule>
    <cfRule type="expression" dxfId="1196" priority="7317">
      <formula>AND(MOD(ROW(),1)=0,AA$32="Proportion",$H58="Overall change in costs (%)")</formula>
    </cfRule>
  </conditionalFormatting>
  <conditionalFormatting sqref="BA52:BC57">
    <cfRule type="expression" dxfId="1195" priority="136">
      <formula>AND(MOD(ROW(),1)=0,AQ$32="Proportion",$H52="Overall change in costs (%)")</formula>
    </cfRule>
    <cfRule type="expression" dxfId="1194" priority="137">
      <formula>AND(MOD(ROW(),2)=0,AQ$32="Proportion",$H52="Overall change in costs (%)")</formula>
    </cfRule>
  </conditionalFormatting>
  <conditionalFormatting sqref="BC52:BC57">
    <cfRule type="expression" dxfId="1193" priority="7339">
      <formula>AND(MOD(ROW(),1)=0,AR$32="Proportion",$H52="Overall change in costs (%)")</formula>
    </cfRule>
    <cfRule type="expression" dxfId="1192" priority="7338">
      <formula>AND(MOD(ROW(),2)=0,AR$32="Proportion",$H52="Overall change in costs (%)")</formula>
    </cfRule>
  </conditionalFormatting>
  <conditionalFormatting sqref="BD52:BE57 BE57:BF57">
    <cfRule type="expression" dxfId="1191" priority="7172">
      <formula>AND(MOD(ROW(),2)=0,AU$32="Proportion",$H52="Overall change in costs (%)")</formula>
    </cfRule>
    <cfRule type="expression" dxfId="1190" priority="7173">
      <formula>AND(MOD(ROW(),1)=0,AU$32="Proportion",$H52="Overall change in costs (%)")</formula>
    </cfRule>
  </conditionalFormatting>
  <conditionalFormatting sqref="BF58">
    <cfRule type="expression" dxfId="1189" priority="7328">
      <formula>AND(MOD(ROW(),2)=0,AF$32="Proportion",$H58="Overall change in costs (%)")</formula>
    </cfRule>
    <cfRule type="expression" dxfId="1188" priority="7329">
      <formula>AND(MOD(ROW(),1)=0,AF$32="Proportion",$H58="Overall change in costs (%)")</formula>
    </cfRule>
  </conditionalFormatting>
  <conditionalFormatting sqref="BF52:BG57 BG51">
    <cfRule type="expression" dxfId="1187" priority="7178">
      <formula>AND(MOD(ROW(),1)=0,AV$32="Proportion",$H51="Overall change in costs (%)")</formula>
    </cfRule>
  </conditionalFormatting>
  <conditionalFormatting sqref="BG51:BG57 BF52:BF57">
    <cfRule type="expression" dxfId="1186" priority="7180">
      <formula>AND(MOD(ROW(),2)=0,AV$32="Proportion",$H51="Overall change in costs (%)")</formula>
    </cfRule>
  </conditionalFormatting>
  <conditionalFormatting sqref="BG58">
    <cfRule type="expression" dxfId="1185" priority="7332">
      <formula>AND(MOD(ROW(),2)=0,AF$32="Proportion",$H58="Overall change in costs (%)")</formula>
    </cfRule>
    <cfRule type="expression" dxfId="1184" priority="7333">
      <formula>AND(MOD(ROW(),1)=0,AF$32="Proportion",$H58="Overall change in costs (%)")</formula>
    </cfRule>
  </conditionalFormatting>
  <conditionalFormatting sqref="BI56">
    <cfRule type="expression" dxfId="1183" priority="29">
      <formula>AND(MOD(ROW(),1)=0,BI$32="Proportion",$I56="Overall change in costs (%)")</formula>
    </cfRule>
    <cfRule type="expression" dxfId="1182" priority="28">
      <formula>AND(MOD(ROW(),2)=0,BI$32="Proportion",$I56="Overall change in costs (%)")</formula>
    </cfRule>
  </conditionalFormatting>
  <conditionalFormatting sqref="BI52:BJ55 BJ56">
    <cfRule type="expression" dxfId="1181" priority="32">
      <formula>AND(MOD(ROW(),2)=0,AV$32="Proportion",$I52="Overall change in costs (%)")</formula>
    </cfRule>
    <cfRule type="expression" dxfId="1180" priority="31">
      <formula>AND(MOD(ROW(),1)=0,AV$32="Proportion",$I52="Overall change in costs (%)")</formula>
    </cfRule>
  </conditionalFormatting>
  <conditionalFormatting sqref="BI52:BJ57">
    <cfRule type="expression" dxfId="1179" priority="27">
      <formula>MOD(ROW(),2)=0</formula>
    </cfRule>
  </conditionalFormatting>
  <conditionalFormatting sqref="BI57:BJ57">
    <cfRule type="expression" dxfId="1178" priority="44">
      <formula>AND(MOD(ROW(),1)=0,AV$32="Proportion",$I56="Overall change in costs (%)")</formula>
    </cfRule>
    <cfRule type="expression" dxfId="1177" priority="45">
      <formula>AND(MOD(ROW(),2)=0,AV$32="Proportion",$I56="Overall change in costs (%)")</formula>
    </cfRule>
  </conditionalFormatting>
  <conditionalFormatting sqref="BI58:BJ58">
    <cfRule type="expression" dxfId="1176" priority="37">
      <formula>AND(MOD(ROW(),2)=0,AG$32="Proportion",$I58="Overall change in costs (%)")</formula>
    </cfRule>
    <cfRule type="expression" dxfId="1175" priority="38">
      <formula>AND(MOD(ROW(),1)=0,AG$32="Proportion",$I58="Overall change in costs (%)")</formula>
    </cfRule>
  </conditionalFormatting>
  <conditionalFormatting sqref="BI51:BN51 BL57:BN58 BI58:BK58">
    <cfRule type="expression" dxfId="1174" priority="39">
      <formula>MOD(ROW(),2)=0</formula>
    </cfRule>
  </conditionalFormatting>
  <conditionalFormatting sqref="BI51:BN51">
    <cfRule type="expression" dxfId="1173" priority="41">
      <formula>AND(MOD(ROW(),1)=0,BI$32="Proportion",$I51="Overall change in costs (%)")</formula>
    </cfRule>
    <cfRule type="expression" dxfId="1172" priority="40">
      <formula>AND(MOD(ROW(),2)=0,BI$32="Proportion",$I51="Overall change in costs (%)")</formula>
    </cfRule>
  </conditionalFormatting>
  <conditionalFormatting sqref="BK52:BK56 BL56:BS56">
    <cfRule type="expression" dxfId="1171" priority="7">
      <formula>AND(MOD(ROW(),2)=0,BG$32="Proportion",$H52="Overall change in costs (%)")</formula>
    </cfRule>
    <cfRule type="expression" dxfId="1170" priority="6">
      <formula>AND(MOD(ROW(),1)=0,BG$32="Proportion",$H52="Overall change in costs (%)")</formula>
    </cfRule>
  </conditionalFormatting>
  <conditionalFormatting sqref="BK52:BN55 BK56:BS56">
    <cfRule type="expression" dxfId="1169" priority="1">
      <formula>MOD(ROW(),2)=0</formula>
    </cfRule>
  </conditionalFormatting>
  <conditionalFormatting sqref="BK58:BN58">
    <cfRule type="expression" dxfId="1168" priority="42">
      <formula>AND(MOD(ROW(),2)=0,AN$32="Proportion",$I58="Overall change in costs (%)")</formula>
    </cfRule>
    <cfRule type="expression" dxfId="1167" priority="43">
      <formula>AND(MOD(ROW(),1)=0,AN$32="Proportion",$I58="Overall change in costs (%)")</formula>
    </cfRule>
  </conditionalFormatting>
  <conditionalFormatting sqref="BL52:BL55">
    <cfRule type="expression" dxfId="1166" priority="19">
      <formula>AND(MOD(ROW(),2)=0,BL$32="Proportion",$I52="Overall change in costs (%)")</formula>
    </cfRule>
    <cfRule type="expression" dxfId="1165" priority="20">
      <formula>AND(MOD(ROW(),1)=0,BL$32="Proportion",$I52="Overall change in costs (%)")</formula>
    </cfRule>
  </conditionalFormatting>
  <conditionalFormatting sqref="BL57">
    <cfRule type="expression" dxfId="1164" priority="48">
      <formula>AND(MOD(ROW(),1)=0,BD$32="Proportion",$I56="Overall change in costs (%)")</formula>
    </cfRule>
    <cfRule type="expression" dxfId="1163" priority="51">
      <formula>AND(MOD(ROW(),1)=0,BC$32="Proportion",$I56="Overall change in costs (%)")</formula>
    </cfRule>
    <cfRule type="expression" dxfId="1162" priority="49">
      <formula>AND(MOD(ROW(),2)=0,BD$32="Proportion",$I56="Overall change in costs (%)")</formula>
    </cfRule>
    <cfRule type="expression" dxfId="1161" priority="50">
      <formula>AND(MOD(ROW(),2)=0,BC$32="Proportion",$I56="Overall change in costs (%)")</formula>
    </cfRule>
  </conditionalFormatting>
  <conditionalFormatting sqref="BM57">
    <cfRule type="expression" dxfId="1160" priority="47">
      <formula>AND(MOD(ROW(),1)=0,BF$32="Proportion",$I56="Overall change in costs (%)")</formula>
    </cfRule>
    <cfRule type="expression" dxfId="1159" priority="46">
      <formula>AND(MOD(ROW(),2)=0,BF$32="Proportion",$I56="Overall change in costs (%)")</formula>
    </cfRule>
  </conditionalFormatting>
  <conditionalFormatting sqref="BM52:BN55">
    <cfRule type="expression" dxfId="1158" priority="4">
      <formula>AND(MOD(ROW(),1)=0,#REF!="Proportion",$H52="Overall change in costs (%)")</formula>
    </cfRule>
    <cfRule type="expression" dxfId="1157" priority="3">
      <formula>AND(MOD(ROW(),2)=0,#REF!="Proportion",$H52="Overall change in costs (%)")</formula>
    </cfRule>
  </conditionalFormatting>
  <conditionalFormatting sqref="BN57">
    <cfRule type="expression" dxfId="1156" priority="26">
      <formula>AND(MOD(ROW(),2)=0,BA$32="Proportion",$I56="Overall change in costs (%)")</formula>
    </cfRule>
    <cfRule type="expression" dxfId="1155" priority="25">
      <formula>AND(MOD(ROW(),1)=0,BA$32="Proportion",$I56="Overall change in costs (%)")</formula>
    </cfRule>
  </conditionalFormatting>
  <conditionalFormatting sqref="BN58">
    <cfRule type="expression" dxfId="1154" priority="23">
      <formula>AND(MOD(ROW(),2)=0,AL$32="Proportion",$I58="Overall change in costs (%)")</formula>
    </cfRule>
    <cfRule type="expression" dxfId="1153" priority="24">
      <formula>AND(MOD(ROW(),1)=0,AL$32="Proportion",$I58="Overall change in costs (%)")</formula>
    </cfRule>
  </conditionalFormatting>
  <conditionalFormatting sqref="BT51">
    <cfRule type="expression" dxfId="1152" priority="17">
      <formula>AND(MOD(ROW(),1)=0,BT$32="Proportion",$I51="Overall change in costs (%)")</formula>
    </cfRule>
    <cfRule type="expression" dxfId="1151" priority="16">
      <formula>AND(MOD(ROW(),2)=0,BT$32="Proportion",$I51="Overall change in costs (%)")</formula>
    </cfRule>
  </conditionalFormatting>
  <conditionalFormatting sqref="BT51:BT58">
    <cfRule type="expression" dxfId="1150" priority="14">
      <formula>MOD(ROW(),2)=0</formula>
    </cfRule>
  </conditionalFormatting>
  <conditionalFormatting sqref="BT52:BT56">
    <cfRule type="expression" dxfId="1149" priority="9">
      <formula>AND(MOD(ROW(),2)=0,BG$32="Proportion",$I52="Overall change in costs (%)")</formula>
    </cfRule>
    <cfRule type="expression" dxfId="1148" priority="8">
      <formula>AND(MOD(ROW(),1)=0,BG$32="Proportion",$I52="Overall change in costs (%)")</formula>
    </cfRule>
  </conditionalFormatting>
  <conditionalFormatting sqref="BT57">
    <cfRule type="expression" dxfId="1147" priority="12">
      <formula>AND(MOD(ROW(),1)=0,BG$32="Proportion",$I56="Overall change in costs (%)")</formula>
    </cfRule>
    <cfRule type="expression" dxfId="1146" priority="13">
      <formula>AND(MOD(ROW(),2)=0,BG$32="Proportion",$I56="Overall change in costs (%)")</formula>
    </cfRule>
  </conditionalFormatting>
  <conditionalFormatting sqref="BT58">
    <cfRule type="expression" dxfId="1145" priority="11">
      <formula>AND(MOD(ROW(),1)=0,AR$32="Proportion",$I58="Overall change in costs (%)")</formula>
    </cfRule>
    <cfRule type="expression" dxfId="1144" priority="10">
      <formula>AND(MOD(ROW(),2)=0,AR$32="Proportion",$I58="Overall change in costs (%)")</formula>
    </cfRule>
  </conditionalFormatting>
  <hyperlinks>
    <hyperlink ref="A1" location="Index!A1" display="&lt;&lt;Back to Index" xr:uid="{80715ACD-FC85-495D-B46D-11A28F2BBA22}"/>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5FEE7-FF41-464B-A11F-26390DB22B9A}">
  <sheetPr>
    <tabColor rgb="FF00B050"/>
  </sheetPr>
  <dimension ref="A1:BX64"/>
  <sheetViews>
    <sheetView showGridLines="0" zoomScale="85" zoomScaleNormal="85" workbookViewId="0">
      <selection activeCell="AB35" sqref="AB35"/>
    </sheetView>
  </sheetViews>
  <sheetFormatPr defaultColWidth="8.81640625" defaultRowHeight="14" x14ac:dyDescent="0.35"/>
  <cols>
    <col min="1" max="1" width="1.81640625" style="30" customWidth="1"/>
    <col min="2" max="2" width="42.54296875" style="30" bestFit="1" customWidth="1"/>
    <col min="3" max="4" width="14.1796875" style="30" customWidth="1"/>
    <col min="5" max="5" width="0.81640625" style="30" customWidth="1"/>
    <col min="6" max="7" width="16.54296875" style="30" customWidth="1"/>
    <col min="8" max="8" width="26.81640625" style="30" customWidth="1"/>
    <col min="9" max="9" width="5.81640625" style="30" customWidth="1"/>
    <col min="10" max="12" width="10.81640625" style="30" customWidth="1"/>
    <col min="13" max="13" width="1.81640625" style="30" customWidth="1"/>
    <col min="14" max="14" width="10.81640625" style="30" customWidth="1"/>
    <col min="15" max="15" width="12.453125" style="30" customWidth="1"/>
    <col min="16" max="16" width="13.1796875" style="30" customWidth="1"/>
    <col min="17" max="17" width="10.81640625" style="30" customWidth="1"/>
    <col min="18" max="18" width="8" style="30" customWidth="1"/>
    <col min="19" max="20" width="10.81640625" style="30" customWidth="1"/>
    <col min="21" max="21" width="12.453125" style="30" customWidth="1"/>
    <col min="22" max="22" width="7.54296875" style="30" customWidth="1"/>
    <col min="23" max="23" width="12.453125" style="30" customWidth="1"/>
    <col min="24" max="25" width="13.1796875" style="30" customWidth="1"/>
    <col min="26" max="26" width="23.81640625" style="30" customWidth="1"/>
    <col min="27" max="27" width="9.1796875" style="30" bestFit="1" customWidth="1"/>
    <col min="28" max="29" width="13.1796875" style="30" bestFit="1" customWidth="1"/>
    <col min="30" max="30" width="10.81640625" style="30" bestFit="1" customWidth="1"/>
    <col min="31" max="32" width="9.1796875" style="30" bestFit="1" customWidth="1"/>
    <col min="33" max="34" width="13.1796875" style="30" bestFit="1" customWidth="1"/>
    <col min="35" max="35" width="9.1796875" style="30" bestFit="1" customWidth="1"/>
    <col min="36" max="38" width="13.1796875" style="30" bestFit="1" customWidth="1"/>
    <col min="39" max="39" width="12.81640625" style="30" bestFit="1" customWidth="1"/>
    <col min="40" max="40" width="9.1796875" style="30" bestFit="1" customWidth="1"/>
    <col min="41" max="41" width="12.1796875" style="30" bestFit="1" customWidth="1"/>
    <col min="42" max="42" width="13.1796875" style="30" bestFit="1" customWidth="1"/>
    <col min="43" max="43" width="12.81640625" style="30" bestFit="1" customWidth="1"/>
    <col min="44" max="44" width="10.81640625" style="30" bestFit="1" customWidth="1"/>
    <col min="45" max="45" width="9.1796875" style="30" bestFit="1" customWidth="1"/>
    <col min="46" max="46" width="12.81640625" style="30" bestFit="1" customWidth="1"/>
    <col min="47" max="47" width="10.54296875" style="358" bestFit="1" customWidth="1"/>
    <col min="48" max="48" width="8.81640625" style="358" bestFit="1" customWidth="1"/>
    <col min="49" max="49" width="29.1796875" style="358" bestFit="1" customWidth="1"/>
    <col min="50" max="50" width="3.453125" style="358" customWidth="1"/>
    <col min="51" max="53" width="12.453125" style="358" customWidth="1"/>
    <col min="54" max="54" width="8.81640625" style="358"/>
    <col min="55" max="55" width="8.81640625" style="30" hidden="1" customWidth="1"/>
    <col min="56" max="56" width="11.81640625" style="30" hidden="1" customWidth="1"/>
    <col min="57" max="58" width="11.7265625" style="30" hidden="1" customWidth="1"/>
    <col min="59" max="59" width="9.1796875" style="30" hidden="1" customWidth="1"/>
    <col min="60" max="60" width="9.7265625" style="30" hidden="1" customWidth="1"/>
    <col min="61" max="61" width="0" style="30" hidden="1" customWidth="1"/>
    <col min="62" max="62" width="8.81640625" style="30"/>
    <col min="63" max="63" width="12.81640625" style="30" bestFit="1" customWidth="1"/>
    <col min="64" max="64" width="11.7265625" style="30" bestFit="1" customWidth="1"/>
    <col min="65" max="65" width="10.81640625" style="30" bestFit="1" customWidth="1"/>
    <col min="66" max="66" width="9.26953125" style="30" bestFit="1" customWidth="1"/>
    <col min="67" max="67" width="9.81640625" style="30" bestFit="1" customWidth="1"/>
    <col min="68" max="69" width="9.1796875" style="30" bestFit="1" customWidth="1"/>
    <col min="70" max="71" width="8.81640625" style="30"/>
    <col min="72" max="76" width="9.1796875" style="30" bestFit="1" customWidth="1"/>
    <col min="77" max="16384" width="8.81640625" style="30"/>
  </cols>
  <sheetData>
    <row r="1" spans="1:54" ht="10.4" customHeight="1" x14ac:dyDescent="0.35">
      <c r="A1" s="815" t="s">
        <v>18</v>
      </c>
      <c r="B1" s="816"/>
      <c r="C1" s="722" t="s">
        <v>380</v>
      </c>
      <c r="D1" s="722" t="s">
        <v>380</v>
      </c>
      <c r="E1" s="722" t="s">
        <v>380</v>
      </c>
      <c r="F1" s="722" t="s">
        <v>380</v>
      </c>
      <c r="G1" s="722" t="s">
        <v>380</v>
      </c>
    </row>
    <row r="2" spans="1:54" s="62" customFormat="1" ht="22.5" customHeight="1" x14ac:dyDescent="0.35">
      <c r="A2" s="61" t="s">
        <v>3</v>
      </c>
    </row>
    <row r="3" spans="1:54" s="160" customFormat="1" ht="14.5" thickBot="1" x14ac:dyDescent="0.4">
      <c r="C3" s="160" t="str">
        <f>$A$2&amp;" "&amp;C6&amp;" "&amp;C7</f>
        <v>Essential Residential Flat rate</v>
      </c>
      <c r="D3" s="160" t="str">
        <f>$A$2&amp;" "&amp;D6&amp;" "&amp;D7</f>
        <v>Essential Residential time of use</v>
      </c>
      <c r="F3" s="160" t="str">
        <f>$A$2&amp;" "&amp;F6&amp;" "&amp;F7</f>
        <v>Essential Small Business Flat rate</v>
      </c>
      <c r="G3" s="160" t="str">
        <f>$A$2&amp;" "&amp;G6&amp;" "&amp;G7</f>
        <v>Essential Small Business time of use</v>
      </c>
      <c r="H3" s="30"/>
      <c r="I3" s="30"/>
      <c r="J3" s="30"/>
      <c r="K3" s="30"/>
      <c r="L3" s="30"/>
      <c r="M3" s="30"/>
      <c r="N3" s="30"/>
      <c r="O3" s="30"/>
      <c r="P3" s="30"/>
      <c r="Q3" s="30"/>
      <c r="R3" s="30"/>
      <c r="S3" s="30"/>
      <c r="T3" s="30"/>
      <c r="U3" s="30"/>
      <c r="V3" s="30"/>
      <c r="W3" s="30"/>
      <c r="X3" s="30"/>
      <c r="Y3" s="30"/>
      <c r="Z3" s="30"/>
      <c r="AU3" s="520"/>
      <c r="AV3" s="520"/>
      <c r="AW3" s="520"/>
      <c r="AX3" s="520"/>
      <c r="AY3" s="520"/>
      <c r="AZ3" s="520"/>
      <c r="BA3" s="520"/>
      <c r="BB3" s="520"/>
    </row>
    <row r="4" spans="1:54" ht="15.5" x14ac:dyDescent="0.35">
      <c r="B4" s="33" t="s">
        <v>17</v>
      </c>
      <c r="C4" s="355" t="s">
        <v>19</v>
      </c>
      <c r="D4" s="355" t="s">
        <v>272</v>
      </c>
      <c r="E4" s="355"/>
      <c r="F4" s="355" t="s">
        <v>19</v>
      </c>
      <c r="G4" s="355" t="s">
        <v>272</v>
      </c>
      <c r="H4" s="33"/>
      <c r="I4" s="161" t="s">
        <v>89</v>
      </c>
      <c r="J4" s="162"/>
      <c r="K4" s="162"/>
      <c r="L4" s="162"/>
      <c r="M4" s="162"/>
      <c r="N4" s="162"/>
      <c r="O4" s="162"/>
      <c r="P4" s="162"/>
      <c r="Q4" s="162"/>
      <c r="R4" s="162"/>
      <c r="S4" s="162"/>
      <c r="T4" s="162"/>
      <c r="U4" s="162"/>
      <c r="V4" s="162"/>
      <c r="W4" s="162"/>
      <c r="X4" s="162"/>
      <c r="Y4" s="162"/>
      <c r="Z4" s="162"/>
      <c r="AA4" s="162"/>
      <c r="AB4" s="162"/>
      <c r="AC4" s="162"/>
      <c r="AD4" s="162"/>
      <c r="AE4" s="162"/>
      <c r="AF4" s="162"/>
      <c r="AG4" s="163"/>
      <c r="AH4" s="160"/>
      <c r="AI4" s="160"/>
      <c r="AJ4" s="160"/>
      <c r="AK4" s="160"/>
      <c r="AL4" s="160"/>
      <c r="AM4" s="160"/>
      <c r="AN4" s="160"/>
      <c r="AO4" s="160"/>
      <c r="AP4" s="160"/>
      <c r="AQ4" s="160"/>
      <c r="AR4" s="160"/>
      <c r="AS4" s="160"/>
      <c r="AT4" s="160"/>
    </row>
    <row r="5" spans="1:54" ht="5.15" customHeight="1" x14ac:dyDescent="0.35">
      <c r="B5" s="64"/>
      <c r="I5" s="164"/>
      <c r="J5" s="165"/>
      <c r="AG5" s="166"/>
      <c r="AH5" s="160"/>
      <c r="AI5" s="160"/>
      <c r="AJ5" s="160"/>
      <c r="AK5" s="160"/>
      <c r="AL5" s="160"/>
      <c r="AM5" s="160"/>
      <c r="AN5" s="160"/>
      <c r="AO5" s="160"/>
      <c r="AP5" s="160"/>
      <c r="AQ5" s="160"/>
      <c r="AR5" s="160"/>
      <c r="AS5" s="160"/>
      <c r="AT5" s="160"/>
    </row>
    <row r="6" spans="1:54" ht="20.149999999999999" customHeight="1" x14ac:dyDescent="0.3">
      <c r="B6" s="908" t="str">
        <f>A2</f>
        <v>Essential</v>
      </c>
      <c r="C6" s="167" t="s">
        <v>6</v>
      </c>
      <c r="D6" s="167" t="s">
        <v>6</v>
      </c>
      <c r="E6" s="167"/>
      <c r="F6" s="167" t="s">
        <v>76</v>
      </c>
      <c r="G6" s="167" t="s">
        <v>76</v>
      </c>
      <c r="I6" s="164"/>
      <c r="J6" s="165"/>
      <c r="AG6" s="166"/>
      <c r="AH6" s="160"/>
      <c r="AI6" s="160"/>
      <c r="AJ6" s="160"/>
      <c r="AK6" s="160"/>
      <c r="AL6" s="160"/>
      <c r="AM6" s="160"/>
      <c r="AN6" s="160"/>
      <c r="AO6" s="160"/>
      <c r="AP6" s="160"/>
      <c r="AQ6" s="160"/>
      <c r="AR6" s="160"/>
      <c r="AS6" s="160"/>
      <c r="AT6" s="160"/>
    </row>
    <row r="7" spans="1:54" ht="20.149999999999999" customHeight="1" x14ac:dyDescent="0.35">
      <c r="B7" s="908"/>
      <c r="C7" s="168" t="s">
        <v>19</v>
      </c>
      <c r="D7" s="168" t="s">
        <v>272</v>
      </c>
      <c r="E7" s="168"/>
      <c r="F7" s="168" t="s">
        <v>19</v>
      </c>
      <c r="G7" s="168" t="s">
        <v>272</v>
      </c>
      <c r="I7" s="164"/>
      <c r="AG7" s="166"/>
      <c r="AH7" s="160"/>
      <c r="AI7" s="160"/>
      <c r="AJ7" s="160"/>
      <c r="AK7" s="160"/>
      <c r="AL7" s="160"/>
      <c r="AM7" s="160"/>
      <c r="AN7" s="160"/>
      <c r="AO7" s="160"/>
      <c r="AP7" s="160"/>
      <c r="AQ7" s="160"/>
      <c r="AR7" s="160"/>
      <c r="AS7" s="160"/>
      <c r="AT7" s="160"/>
    </row>
    <row r="8" spans="1:54" ht="2.15" customHeight="1" x14ac:dyDescent="0.35">
      <c r="C8" s="65"/>
      <c r="D8" s="65"/>
      <c r="E8" s="65"/>
      <c r="F8" s="65"/>
      <c r="G8" s="65"/>
      <c r="I8" s="164"/>
      <c r="AG8" s="166"/>
      <c r="AH8" s="160"/>
      <c r="AI8" s="160"/>
      <c r="AJ8" s="160"/>
      <c r="AK8" s="160"/>
      <c r="AL8" s="160"/>
      <c r="AM8" s="160"/>
      <c r="AN8" s="160"/>
      <c r="AO8" s="160"/>
      <c r="AP8" s="160"/>
      <c r="AQ8" s="160"/>
      <c r="AR8" s="160"/>
      <c r="AS8" s="160"/>
      <c r="AT8" s="160"/>
    </row>
    <row r="9" spans="1:54" s="69" customFormat="1" ht="30" customHeight="1" x14ac:dyDescent="0.35">
      <c r="B9" s="51" t="str">
        <f>"DMO "&amp;FY&amp;" price ($ pa, inc GST)"</f>
        <v>DMO 2026-27 price ($ pa, inc GST)</v>
      </c>
      <c r="C9" s="169">
        <f>SUM(Essential_RESwoCL_FY_cost)</f>
        <v>2603.8394178256644</v>
      </c>
      <c r="D9" s="169">
        <f>SUM(Essential_REStou_FY_cost)</f>
        <v>2529.6479744055605</v>
      </c>
      <c r="E9" s="169"/>
      <c r="F9" s="169">
        <f>SUM(Essential_SBwoCL_FY_cost)</f>
        <v>5517.3043588757191</v>
      </c>
      <c r="G9" s="169">
        <f>SUM(Essential_SBtou_FY_cost)</f>
        <v>4918.7378111665939</v>
      </c>
      <c r="H9" s="30"/>
      <c r="I9" s="164"/>
      <c r="J9" s="30"/>
      <c r="K9" s="30"/>
      <c r="L9" s="30"/>
      <c r="M9" s="30"/>
      <c r="N9" s="30"/>
      <c r="O9" s="30"/>
      <c r="P9" s="30"/>
      <c r="Q9" s="30"/>
      <c r="R9" s="30"/>
      <c r="S9" s="30"/>
      <c r="T9" s="30"/>
      <c r="U9" s="30"/>
      <c r="V9" s="30"/>
      <c r="W9" s="30"/>
      <c r="X9" s="30"/>
      <c r="Y9" s="30"/>
      <c r="Z9" s="30"/>
      <c r="AA9" s="30"/>
      <c r="AB9" s="30"/>
      <c r="AC9" s="30"/>
      <c r="AD9" s="30"/>
      <c r="AE9" s="30"/>
      <c r="AF9" s="30"/>
      <c r="AG9" s="170"/>
      <c r="AH9" s="160"/>
      <c r="AI9" s="160"/>
      <c r="AJ9" s="160"/>
      <c r="AK9" s="160"/>
      <c r="AL9" s="160"/>
      <c r="AM9" s="160"/>
      <c r="AN9" s="160"/>
      <c r="AO9" s="160"/>
      <c r="AP9" s="160"/>
      <c r="AQ9" s="160"/>
      <c r="AR9" s="160"/>
      <c r="AS9" s="160"/>
      <c r="AT9" s="160"/>
      <c r="AU9" s="521"/>
      <c r="AV9" s="521"/>
      <c r="AW9" s="521"/>
      <c r="AX9" s="521"/>
      <c r="AY9" s="521"/>
      <c r="AZ9" s="521"/>
      <c r="BA9" s="521"/>
      <c r="BB9" s="521"/>
    </row>
    <row r="10" spans="1:54" ht="2.15" customHeight="1" x14ac:dyDescent="0.35">
      <c r="B10" s="56"/>
      <c r="C10" s="171"/>
      <c r="D10" s="171"/>
      <c r="E10" s="171"/>
      <c r="F10" s="171"/>
      <c r="G10" s="171"/>
      <c r="H10" s="69"/>
      <c r="I10" s="172"/>
      <c r="J10" s="69"/>
      <c r="K10" s="69"/>
      <c r="L10" s="69"/>
      <c r="M10" s="69"/>
      <c r="N10" s="69"/>
      <c r="O10" s="69"/>
      <c r="P10" s="69"/>
      <c r="Q10" s="69"/>
      <c r="R10" s="69"/>
      <c r="S10" s="69"/>
      <c r="T10" s="69"/>
      <c r="U10" s="69"/>
      <c r="V10" s="69"/>
      <c r="W10" s="69"/>
      <c r="X10" s="69"/>
      <c r="Y10" s="69"/>
      <c r="Z10" s="69"/>
      <c r="AA10" s="69"/>
      <c r="AB10" s="69"/>
      <c r="AC10" s="69"/>
      <c r="AD10" s="69"/>
      <c r="AE10" s="69"/>
      <c r="AF10" s="69"/>
      <c r="AG10" s="166"/>
      <c r="AH10" s="160"/>
      <c r="AI10" s="160"/>
      <c r="AJ10" s="160"/>
      <c r="AK10" s="160"/>
      <c r="AL10" s="160"/>
      <c r="AM10" s="160"/>
      <c r="AN10" s="160"/>
      <c r="AO10" s="160"/>
      <c r="AP10" s="160"/>
      <c r="AQ10" s="160"/>
      <c r="AR10" s="160"/>
      <c r="AS10" s="160"/>
      <c r="AT10" s="160"/>
    </row>
    <row r="11" spans="1:54" s="69" customFormat="1" ht="30" customHeight="1" x14ac:dyDescent="0.35">
      <c r="B11" s="173" t="str">
        <f>"DMO "&amp;PY&amp;" price ($ pa, inc GST)"</f>
        <v>DMO 2025-26 price ($ pa, inc GST)</v>
      </c>
      <c r="C11" s="174">
        <f>SUM(Essential_RESwoCL_PY_cost)</f>
        <v>2740.8138870475786</v>
      </c>
      <c r="D11" s="174">
        <f>SUM(Essential_RESwoCL_PY_cost)</f>
        <v>2740.8138870475786</v>
      </c>
      <c r="E11" s="174"/>
      <c r="F11" s="174">
        <f>SUM(Essential_SBwoCL_PY_cost)</f>
        <v>6222.0618242391993</v>
      </c>
      <c r="G11" s="174">
        <f>SUM(Essential_SBwoCL_PY_cost)</f>
        <v>6222.0618242391993</v>
      </c>
      <c r="H11" s="30"/>
      <c r="I11" s="164"/>
      <c r="J11" s="30"/>
      <c r="K11" s="30"/>
      <c r="L11" s="30"/>
      <c r="M11" s="30"/>
      <c r="N11" s="30"/>
      <c r="O11" s="30"/>
      <c r="P11" s="30"/>
      <c r="Q11" s="30"/>
      <c r="R11" s="30"/>
      <c r="S11" s="30"/>
      <c r="T11" s="30"/>
      <c r="U11" s="30"/>
      <c r="V11" s="30"/>
      <c r="W11" s="30"/>
      <c r="X11" s="30"/>
      <c r="Y11" s="30"/>
      <c r="Z11" s="30"/>
      <c r="AA11" s="30"/>
      <c r="AB11" s="30"/>
      <c r="AC11" s="30"/>
      <c r="AD11" s="30"/>
      <c r="AE11" s="30"/>
      <c r="AF11" s="30"/>
      <c r="AG11" s="170"/>
      <c r="AH11" s="160"/>
      <c r="AI11" s="160"/>
      <c r="AJ11" s="160"/>
      <c r="AK11" s="160"/>
      <c r="AL11" s="160"/>
      <c r="AM11" s="160"/>
      <c r="AN11" s="160"/>
      <c r="AO11" s="160"/>
      <c r="AP11" s="160"/>
      <c r="AQ11" s="160"/>
      <c r="AR11" s="160"/>
      <c r="AS11" s="160"/>
      <c r="AT11" s="160"/>
      <c r="AU11" s="521"/>
      <c r="AV11" s="521"/>
      <c r="AW11" s="521"/>
      <c r="AX11" s="521"/>
      <c r="AY11" s="521"/>
      <c r="AZ11" s="521"/>
      <c r="BA11" s="521"/>
      <c r="BB11" s="521"/>
    </row>
    <row r="12" spans="1:54" ht="2.15" customHeight="1" x14ac:dyDescent="0.35">
      <c r="B12" s="56"/>
      <c r="C12" s="171"/>
      <c r="D12" s="171"/>
      <c r="E12" s="171"/>
      <c r="F12" s="171"/>
      <c r="G12" s="171"/>
      <c r="H12" s="69"/>
      <c r="I12" s="172"/>
      <c r="J12" s="69"/>
      <c r="K12" s="69"/>
      <c r="L12" s="69"/>
      <c r="M12" s="69"/>
      <c r="N12" s="69"/>
      <c r="O12" s="69"/>
      <c r="P12" s="69"/>
      <c r="Q12" s="69"/>
      <c r="R12" s="69"/>
      <c r="S12" s="69"/>
      <c r="T12" s="69"/>
      <c r="U12" s="69"/>
      <c r="V12" s="69"/>
      <c r="W12" s="69"/>
      <c r="X12" s="69"/>
      <c r="Y12" s="69"/>
      <c r="Z12" s="69"/>
      <c r="AA12" s="69"/>
      <c r="AB12" s="69"/>
      <c r="AC12" s="69"/>
      <c r="AD12" s="69"/>
      <c r="AE12" s="69"/>
      <c r="AF12" s="69"/>
      <c r="AG12" s="166"/>
      <c r="AH12" s="160"/>
      <c r="AI12" s="160"/>
      <c r="AJ12" s="160"/>
      <c r="AK12" s="160"/>
      <c r="AL12" s="160"/>
      <c r="AM12" s="160"/>
      <c r="AN12" s="160"/>
      <c r="AO12" s="160"/>
      <c r="AP12" s="160"/>
      <c r="AQ12" s="160"/>
      <c r="AR12" s="160"/>
      <c r="AS12" s="160"/>
      <c r="AT12" s="160"/>
    </row>
    <row r="13" spans="1:54" ht="20.149999999999999" customHeight="1" x14ac:dyDescent="0.35">
      <c r="B13" s="175" t="s">
        <v>48</v>
      </c>
      <c r="C13" s="244">
        <f>SUM(C14:C15)</f>
        <v>4600</v>
      </c>
      <c r="D13" s="244">
        <f>SUM(D14:D15)</f>
        <v>4600</v>
      </c>
      <c r="E13" s="244"/>
      <c r="F13" s="244">
        <f>SUM(F14:F15)</f>
        <v>10000</v>
      </c>
      <c r="G13" s="244">
        <f>SUM(G14:G15)</f>
        <v>10000</v>
      </c>
      <c r="I13" s="164"/>
      <c r="AG13" s="166"/>
      <c r="AH13" s="160"/>
      <c r="AI13" s="160"/>
      <c r="AJ13" s="160"/>
      <c r="AK13" s="160"/>
      <c r="AL13" s="160"/>
      <c r="AM13" s="160"/>
      <c r="AN13" s="160"/>
      <c r="AO13" s="160"/>
      <c r="AP13" s="160"/>
      <c r="AQ13" s="160"/>
      <c r="AR13" s="160"/>
      <c r="AS13" s="160"/>
      <c r="AT13" s="160"/>
    </row>
    <row r="14" spans="1:54" ht="20.149999999999999" customHeight="1" x14ac:dyDescent="0.35">
      <c r="A14" s="160" t="s">
        <v>19</v>
      </c>
      <c r="B14" s="176" t="s">
        <v>52</v>
      </c>
      <c r="C14" s="177" cm="1">
        <f t="array" ref="C14">_xlfn.XLOOKUP(1,($B$6=DistributionZone)*(C$6=CustomerType)*(C$4=tariffType)*("Usage" = Description),valuesFY)</f>
        <v>4600</v>
      </c>
      <c r="D14" s="177" cm="1">
        <f t="array" ref="D14">_xlfn.XLOOKUP(1,($B$6=DistributionZone)*(D$6=CustomerType)*(D$4=tariffType)*("Usage" = Description),valuesFY)</f>
        <v>4600</v>
      </c>
      <c r="E14" s="177"/>
      <c r="F14" s="177" cm="1">
        <f t="array" ref="F14">_xlfn.XLOOKUP(1,($B$6=DistributionZone)*(F$6=CustomerType)*(F$4=tariffType)*("Usage" = Description),valuesFY)</f>
        <v>10000</v>
      </c>
      <c r="G14" s="177" cm="1">
        <f t="array" ref="G14">_xlfn.XLOOKUP(1,($B$6=DistributionZone)*(G$6=CustomerType)*(G$4=tariffType)*("Usage" = Description),valuesFY)</f>
        <v>10000</v>
      </c>
      <c r="I14" s="164"/>
      <c r="AG14" s="166"/>
      <c r="AH14" s="160"/>
      <c r="AI14" s="160"/>
      <c r="AJ14" s="160"/>
      <c r="AK14" s="160"/>
      <c r="AL14" s="160"/>
      <c r="AM14" s="160"/>
      <c r="AN14" s="160"/>
      <c r="AO14" s="160"/>
      <c r="AP14" s="160"/>
      <c r="AQ14" s="160"/>
      <c r="AR14" s="160"/>
      <c r="AS14" s="160"/>
      <c r="AT14" s="160"/>
    </row>
    <row r="15" spans="1:54" ht="20.149999999999999" customHeight="1" x14ac:dyDescent="0.35">
      <c r="A15" s="160" t="s">
        <v>16</v>
      </c>
      <c r="B15" s="176" t="s">
        <v>51</v>
      </c>
      <c r="C15" s="177"/>
      <c r="D15" s="177"/>
      <c r="E15" s="177"/>
      <c r="F15" s="177"/>
      <c r="G15" s="177"/>
      <c r="I15" s="164"/>
      <c r="AG15" s="166"/>
      <c r="AH15" s="160"/>
      <c r="AI15" s="160"/>
      <c r="AJ15" s="160"/>
      <c r="AK15" s="160"/>
      <c r="AL15" s="160"/>
      <c r="AM15" s="160"/>
      <c r="AN15" s="160"/>
      <c r="AO15" s="160"/>
      <c r="AP15" s="160"/>
      <c r="AQ15" s="160"/>
      <c r="AR15" s="160"/>
      <c r="AS15" s="160"/>
      <c r="AT15" s="160"/>
    </row>
    <row r="16" spans="1:54" ht="2.15" customHeight="1" x14ac:dyDescent="0.35">
      <c r="B16" s="101"/>
      <c r="C16" s="101"/>
      <c r="D16" s="101"/>
      <c r="E16" s="101"/>
      <c r="F16" s="101"/>
      <c r="G16" s="101"/>
      <c r="I16" s="164"/>
      <c r="AG16" s="166"/>
      <c r="AH16" s="160"/>
      <c r="AI16" s="160"/>
      <c r="AJ16" s="160"/>
      <c r="AK16" s="160"/>
      <c r="AL16" s="160"/>
      <c r="AM16" s="160"/>
      <c r="AN16" s="160"/>
      <c r="AO16" s="160"/>
      <c r="AP16" s="160"/>
      <c r="AQ16" s="160"/>
      <c r="AR16" s="160"/>
      <c r="AS16" s="160"/>
      <c r="AT16" s="160"/>
    </row>
    <row r="17" spans="1:54" ht="20.149999999999999" customHeight="1" x14ac:dyDescent="0.35">
      <c r="B17" s="176" t="str">
        <f>"Change from DMO "&amp;PY&amp; " price ($)"</f>
        <v>Change from DMO 2025-26 price ($)</v>
      </c>
      <c r="C17" s="178">
        <f>C9-C11</f>
        <v>-136.97446922191421</v>
      </c>
      <c r="D17" s="178">
        <f>D9-D11</f>
        <v>-211.16591264201816</v>
      </c>
      <c r="E17" s="178"/>
      <c r="F17" s="178">
        <f>F9-F11</f>
        <v>-704.75746536348015</v>
      </c>
      <c r="G17" s="178">
        <f>G9-G11</f>
        <v>-1303.3240130726053</v>
      </c>
      <c r="I17" s="164"/>
      <c r="AG17" s="166"/>
      <c r="AH17" s="160"/>
      <c r="AI17" s="160"/>
      <c r="AJ17" s="160"/>
      <c r="AK17" s="160"/>
      <c r="AL17" s="160"/>
      <c r="AM17" s="160"/>
      <c r="AN17" s="160"/>
      <c r="AO17" s="160"/>
      <c r="AP17" s="160"/>
      <c r="AQ17" s="160"/>
      <c r="AR17" s="160"/>
      <c r="AS17" s="160"/>
      <c r="AT17" s="160"/>
    </row>
    <row r="18" spans="1:54" ht="20.149999999999999" customHeight="1" thickBot="1" x14ac:dyDescent="0.4">
      <c r="B18" s="179" t="str">
        <f>"Change from DMO "&amp;PY&amp; " price (%)"</f>
        <v>Change from DMO 2025-26 price (%)</v>
      </c>
      <c r="C18" s="180">
        <f>C9/C11-1</f>
        <v>-4.9975837421585734E-2</v>
      </c>
      <c r="D18" s="180">
        <f>D9/D11-1</f>
        <v>-7.7044965964284229E-2</v>
      </c>
      <c r="E18" s="180"/>
      <c r="F18" s="180">
        <f>F9/F11-1</f>
        <v>-0.11326751248564682</v>
      </c>
      <c r="G18" s="180">
        <f>G9/G11-1</f>
        <v>-0.20946818753797403</v>
      </c>
      <c r="I18" s="164"/>
      <c r="AG18" s="166"/>
      <c r="AH18" s="160"/>
      <c r="AI18" s="160"/>
      <c r="AJ18" s="160"/>
      <c r="AK18" s="160"/>
      <c r="AL18" s="160"/>
      <c r="AM18" s="160"/>
      <c r="AN18" s="160"/>
      <c r="AO18" s="160"/>
      <c r="AP18" s="160"/>
      <c r="AQ18" s="160"/>
      <c r="AR18" s="160"/>
      <c r="AS18" s="160"/>
      <c r="AT18" s="160"/>
    </row>
    <row r="19" spans="1:54" ht="14.5" thickTop="1" x14ac:dyDescent="0.35">
      <c r="B19" s="181" t="s">
        <v>88</v>
      </c>
      <c r="I19" s="164"/>
      <c r="AG19" s="166"/>
      <c r="AH19" s="160"/>
      <c r="AI19" s="160"/>
      <c r="AJ19" s="160"/>
      <c r="AK19" s="160"/>
      <c r="AL19" s="160"/>
      <c r="AM19" s="160"/>
      <c r="AN19" s="160"/>
      <c r="AO19" s="160"/>
      <c r="AP19" s="160"/>
      <c r="AQ19" s="160"/>
      <c r="AR19" s="160"/>
      <c r="AS19" s="160"/>
      <c r="AT19" s="160"/>
    </row>
    <row r="20" spans="1:54" x14ac:dyDescent="0.35">
      <c r="A20" s="358"/>
      <c r="B20" s="523"/>
      <c r="C20" s="524"/>
      <c r="D20" s="524"/>
      <c r="E20" s="524"/>
      <c r="F20" s="524"/>
      <c r="G20" s="524"/>
      <c r="I20" s="164"/>
      <c r="AG20" s="166"/>
      <c r="AH20" s="160"/>
      <c r="AI20" s="160"/>
      <c r="AJ20" s="160"/>
      <c r="AK20" s="160"/>
      <c r="AL20" s="160"/>
      <c r="AM20" s="160"/>
      <c r="AN20" s="160"/>
      <c r="AO20" s="160"/>
      <c r="AP20" s="160"/>
      <c r="AQ20" s="160"/>
      <c r="AR20" s="160"/>
      <c r="AS20" s="160"/>
      <c r="AT20" s="160"/>
    </row>
    <row r="21" spans="1:54" x14ac:dyDescent="0.35">
      <c r="A21" s="358"/>
      <c r="B21" s="523"/>
      <c r="C21" s="524"/>
      <c r="D21" s="524"/>
      <c r="E21" s="524"/>
      <c r="F21" s="524"/>
      <c r="G21" s="524"/>
      <c r="I21" s="164"/>
      <c r="AG21" s="166"/>
      <c r="AH21" s="160"/>
      <c r="AI21" s="160"/>
      <c r="AJ21" s="160"/>
      <c r="AK21" s="160"/>
      <c r="AL21" s="160"/>
      <c r="AM21" s="160"/>
      <c r="AN21" s="160"/>
      <c r="AO21" s="160"/>
      <c r="AP21" s="160"/>
      <c r="AQ21" s="160"/>
      <c r="AR21" s="160"/>
      <c r="AS21" s="160"/>
      <c r="AT21" s="160"/>
    </row>
    <row r="22" spans="1:54" ht="15.5" x14ac:dyDescent="0.35">
      <c r="B22" s="33"/>
      <c r="I22" s="164"/>
      <c r="AG22" s="166"/>
      <c r="AH22" s="160"/>
      <c r="AI22" s="160"/>
      <c r="AJ22" s="160"/>
      <c r="AK22" s="160"/>
      <c r="AL22" s="160"/>
      <c r="AM22" s="160"/>
      <c r="AN22" s="160"/>
      <c r="AO22" s="160"/>
      <c r="AP22" s="160"/>
      <c r="AQ22" s="160"/>
      <c r="AR22" s="160"/>
      <c r="AS22" s="160"/>
      <c r="AT22" s="160"/>
    </row>
    <row r="23" spans="1:54" ht="15" customHeight="1" thickBot="1" x14ac:dyDescent="0.4">
      <c r="H23" s="33"/>
      <c r="I23" s="183"/>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5"/>
      <c r="AH23" s="160"/>
      <c r="AI23" s="160"/>
      <c r="AJ23" s="160"/>
      <c r="AK23" s="160"/>
      <c r="AL23" s="160"/>
      <c r="AM23" s="160"/>
      <c r="AN23" s="160"/>
      <c r="AO23" s="160"/>
      <c r="AP23" s="160"/>
      <c r="AQ23" s="160"/>
      <c r="AR23" s="160"/>
      <c r="AS23" s="160"/>
      <c r="AT23" s="160"/>
    </row>
    <row r="24" spans="1:54" s="186" customFormat="1" ht="15.5" x14ac:dyDescent="0.35">
      <c r="H24" s="33"/>
      <c r="I24" s="30"/>
      <c r="J24" s="30"/>
      <c r="K24" s="30"/>
      <c r="L24" s="30"/>
      <c r="M24" s="30"/>
      <c r="N24" s="30"/>
      <c r="O24" s="30"/>
      <c r="P24" s="30"/>
      <c r="Q24" s="30"/>
      <c r="R24" s="30"/>
      <c r="S24" s="30"/>
      <c r="T24" s="30"/>
      <c r="U24" s="30"/>
      <c r="V24" s="30"/>
      <c r="W24" s="30"/>
      <c r="X24" s="30"/>
      <c r="Y24" s="30"/>
      <c r="Z24" s="30"/>
      <c r="AH24" s="160"/>
      <c r="AI24" s="160"/>
      <c r="AJ24" s="160"/>
      <c r="AK24" s="160"/>
      <c r="AL24" s="160"/>
      <c r="AM24" s="160"/>
      <c r="AN24" s="160"/>
      <c r="AO24" s="160"/>
      <c r="AP24" s="160"/>
      <c r="AQ24" s="160"/>
      <c r="AR24" s="160"/>
      <c r="AS24" s="160"/>
      <c r="AT24" s="160"/>
      <c r="AU24" s="522"/>
      <c r="AV24" s="522"/>
      <c r="AW24" s="522"/>
      <c r="AX24" s="522"/>
      <c r="AY24" s="522"/>
      <c r="AZ24" s="522"/>
      <c r="BA24" s="522"/>
      <c r="BB24" s="522"/>
    </row>
    <row r="25" spans="1:54" s="160" customFormat="1" ht="15.5" x14ac:dyDescent="0.35">
      <c r="H25" s="670"/>
      <c r="J25" s="160" t="str">
        <f>$J$29</f>
        <v>Residential</v>
      </c>
      <c r="K25" s="160" t="str">
        <f>$J$29</f>
        <v>Residential</v>
      </c>
      <c r="L25" s="160" t="str">
        <f>$J$29</f>
        <v>Residential</v>
      </c>
      <c r="N25" s="160" t="str">
        <f>$J$29</f>
        <v>Residential</v>
      </c>
      <c r="O25" s="160" t="str">
        <f>$J$29</f>
        <v>Residential</v>
      </c>
      <c r="P25" s="160" t="str">
        <f>$J$29</f>
        <v>Residential</v>
      </c>
      <c r="Q25" s="160" t="str">
        <f>$J$29</f>
        <v>Residential</v>
      </c>
      <c r="S25" s="160" t="str">
        <f>$S$29</f>
        <v>Residential</v>
      </c>
      <c r="T25" s="160" t="str">
        <f>$S$29</f>
        <v>Residential</v>
      </c>
      <c r="U25" s="160" t="str">
        <f>$S$29</f>
        <v>Residential</v>
      </c>
      <c r="W25" s="160" t="str">
        <f>$S$29</f>
        <v>Residential</v>
      </c>
      <c r="X25" s="160" t="str">
        <f>$S$29</f>
        <v>Residential</v>
      </c>
      <c r="Y25" s="160" t="str">
        <f>$S$29</f>
        <v>Residential</v>
      </c>
      <c r="Z25" s="160" t="str">
        <f>$S$29</f>
        <v>Residential</v>
      </c>
      <c r="AU25" s="520"/>
      <c r="AV25" s="520"/>
      <c r="AW25" s="520"/>
      <c r="AX25" s="520"/>
      <c r="AY25" s="520"/>
      <c r="AZ25" s="520"/>
      <c r="BA25" s="520"/>
      <c r="BB25" s="520"/>
    </row>
    <row r="26" spans="1:54" s="160" customFormat="1" ht="15.5" x14ac:dyDescent="0.35">
      <c r="H26" s="670"/>
      <c r="J26" s="160" t="str">
        <f>$J$30</f>
        <v>Flat rate</v>
      </c>
      <c r="K26" s="160" t="str">
        <f>$J$30</f>
        <v>Flat rate</v>
      </c>
      <c r="L26" s="160" t="str">
        <f>$J$30</f>
        <v>Flat rate</v>
      </c>
      <c r="N26" s="160" t="str">
        <f>$J$30</f>
        <v>Flat rate</v>
      </c>
      <c r="O26" s="160" t="str">
        <f>$J$30</f>
        <v>Flat rate</v>
      </c>
      <c r="P26" s="160" t="str">
        <f>$J$30</f>
        <v>Flat rate</v>
      </c>
      <c r="Q26" s="160" t="str">
        <f>$J$30</f>
        <v>Flat rate</v>
      </c>
      <c r="S26" s="160" t="str">
        <f>$S$30</f>
        <v>time of use</v>
      </c>
      <c r="T26" s="160" t="str">
        <f>$S$30</f>
        <v>time of use</v>
      </c>
      <c r="U26" s="160" t="str">
        <f>$S$30</f>
        <v>time of use</v>
      </c>
      <c r="W26" s="160" t="str">
        <f>$S$30</f>
        <v>time of use</v>
      </c>
      <c r="X26" s="160" t="str">
        <f>$S$30</f>
        <v>time of use</v>
      </c>
      <c r="Y26" s="160" t="str">
        <f>$S$30</f>
        <v>time of use</v>
      </c>
      <c r="Z26" s="160" t="str">
        <f>$S$30</f>
        <v>time of use</v>
      </c>
      <c r="AU26" s="520"/>
      <c r="AV26" s="520"/>
      <c r="AW26" s="520"/>
      <c r="AX26" s="520"/>
      <c r="AY26" s="520"/>
      <c r="AZ26" s="520"/>
      <c r="BA26" s="520"/>
      <c r="BB26" s="520"/>
    </row>
    <row r="27" spans="1:54" s="160" customFormat="1" ht="15.5" x14ac:dyDescent="0.35">
      <c r="H27" s="670"/>
      <c r="K27" s="160" t="str">
        <f>$K$31</f>
        <v>2025-26</v>
      </c>
      <c r="L27" s="160" t="str">
        <f>$K$31</f>
        <v>2025-26</v>
      </c>
      <c r="N27" s="160" t="str">
        <f>$N$31</f>
        <v>2026-27</v>
      </c>
      <c r="O27" s="160" t="str">
        <f>$N$31</f>
        <v>2026-27</v>
      </c>
      <c r="P27" s="160" t="str">
        <f>$N$31</f>
        <v>2026-27</v>
      </c>
      <c r="Q27" s="160" t="str">
        <f>$N$31</f>
        <v>2026-27</v>
      </c>
      <c r="T27" s="160" t="str">
        <f>$T$31</f>
        <v>2025-26</v>
      </c>
      <c r="U27" s="160" t="str">
        <f>$T$31</f>
        <v>2025-26</v>
      </c>
      <c r="W27" s="160" t="str">
        <f>$W$31</f>
        <v>2026-27</v>
      </c>
      <c r="X27" s="160" t="str">
        <f>$W$31</f>
        <v>2026-27</v>
      </c>
      <c r="Y27" s="160" t="str">
        <f>$W$31</f>
        <v>2026-27</v>
      </c>
      <c r="Z27" s="160" t="str">
        <f>$W$31</f>
        <v>2026-27</v>
      </c>
      <c r="AU27" s="520"/>
      <c r="AV27" s="520"/>
      <c r="AW27" s="520"/>
      <c r="AX27" s="520"/>
      <c r="AY27" s="520"/>
      <c r="AZ27" s="520"/>
      <c r="BA27" s="520"/>
      <c r="BB27" s="520"/>
    </row>
    <row r="28" spans="1:54" s="186" customFormat="1" ht="15.5" x14ac:dyDescent="0.35">
      <c r="H28" s="33" t="s">
        <v>43</v>
      </c>
      <c r="I28" s="29" t="s">
        <v>125</v>
      </c>
      <c r="J28" s="30"/>
      <c r="K28" s="30"/>
      <c r="L28" s="30"/>
      <c r="M28" s="30"/>
      <c r="N28" s="30"/>
      <c r="O28" s="30"/>
      <c r="P28" s="30"/>
      <c r="Q28" s="30"/>
      <c r="R28" s="30"/>
      <c r="S28" s="30"/>
      <c r="T28" s="30"/>
      <c r="U28" s="30"/>
      <c r="V28" s="30"/>
      <c r="W28" s="30"/>
      <c r="X28" s="30"/>
      <c r="Y28" s="30"/>
      <c r="Z28" s="30"/>
      <c r="AU28" s="522"/>
      <c r="AV28" s="522"/>
      <c r="AW28" s="522"/>
      <c r="AX28" s="522"/>
      <c r="AY28" s="522"/>
      <c r="AZ28" s="522"/>
      <c r="BA28" s="522"/>
      <c r="BB28" s="522"/>
    </row>
    <row r="29" spans="1:54" s="186" customFormat="1" x14ac:dyDescent="0.35">
      <c r="H29" s="909" t="s">
        <v>32</v>
      </c>
      <c r="I29" s="241"/>
      <c r="J29" s="912" t="s">
        <v>6</v>
      </c>
      <c r="K29" s="912"/>
      <c r="L29" s="912"/>
      <c r="M29" s="912"/>
      <c r="N29" s="912"/>
      <c r="O29" s="912"/>
      <c r="P29" s="912"/>
      <c r="Q29" s="912"/>
      <c r="R29" s="192"/>
      <c r="S29" s="912" t="s">
        <v>6</v>
      </c>
      <c r="T29" s="912"/>
      <c r="U29" s="912"/>
      <c r="V29" s="912"/>
      <c r="W29" s="912"/>
      <c r="X29" s="912"/>
      <c r="Y29" s="912"/>
      <c r="Z29" s="912"/>
      <c r="AA29" s="192"/>
      <c r="AB29" s="912" t="s">
        <v>76</v>
      </c>
      <c r="AC29" s="912"/>
      <c r="AD29" s="912"/>
      <c r="AE29" s="912"/>
      <c r="AF29" s="912"/>
      <c r="AG29" s="912"/>
      <c r="AH29" s="912"/>
      <c r="AI29" s="912"/>
      <c r="AJ29" s="192"/>
      <c r="AK29" s="912" t="s">
        <v>76</v>
      </c>
      <c r="AL29" s="912"/>
      <c r="AM29" s="912"/>
      <c r="AN29" s="912"/>
      <c r="AO29" s="912"/>
      <c r="AP29" s="912"/>
      <c r="AQ29" s="912"/>
      <c r="AR29" s="912"/>
      <c r="AU29" s="522"/>
      <c r="AV29" s="522"/>
      <c r="AW29" s="522"/>
      <c r="AX29" s="522"/>
      <c r="AY29" s="522"/>
      <c r="AZ29" s="522"/>
      <c r="BA29" s="522"/>
      <c r="BB29" s="522"/>
    </row>
    <row r="30" spans="1:54" ht="14.5" thickBot="1" x14ac:dyDescent="0.4">
      <c r="H30" s="909"/>
      <c r="I30" s="241"/>
      <c r="J30" s="913" t="s">
        <v>19</v>
      </c>
      <c r="K30" s="913"/>
      <c r="L30" s="913"/>
      <c r="M30" s="913"/>
      <c r="N30" s="913"/>
      <c r="O30" s="913"/>
      <c r="P30" s="913"/>
      <c r="Q30" s="913"/>
      <c r="R30" s="192"/>
      <c r="S30" s="913" t="s">
        <v>272</v>
      </c>
      <c r="T30" s="913"/>
      <c r="U30" s="913"/>
      <c r="V30" s="913"/>
      <c r="W30" s="913"/>
      <c r="X30" s="913"/>
      <c r="Y30" s="913"/>
      <c r="Z30" s="913"/>
      <c r="AA30" s="192"/>
      <c r="AB30" s="913" t="s">
        <v>19</v>
      </c>
      <c r="AC30" s="913"/>
      <c r="AD30" s="913"/>
      <c r="AE30" s="913"/>
      <c r="AF30" s="913"/>
      <c r="AG30" s="913"/>
      <c r="AH30" s="913"/>
      <c r="AI30" s="913"/>
      <c r="AJ30" s="192"/>
      <c r="AK30" s="913" t="s">
        <v>272</v>
      </c>
      <c r="AL30" s="913"/>
      <c r="AM30" s="913"/>
      <c r="AN30" s="913"/>
      <c r="AO30" s="913"/>
      <c r="AP30" s="913"/>
      <c r="AQ30" s="913"/>
      <c r="AR30" s="913"/>
    </row>
    <row r="31" spans="1:54" ht="15" customHeight="1" thickTop="1" x14ac:dyDescent="0.35">
      <c r="H31" s="909"/>
      <c r="I31" s="191"/>
      <c r="J31" s="192" t="s">
        <v>67</v>
      </c>
      <c r="K31" s="904" t="str">
        <f>PY</f>
        <v>2025-26</v>
      </c>
      <c r="L31" s="904"/>
      <c r="M31" s="192"/>
      <c r="N31" s="904" t="str">
        <f>FY</f>
        <v>2026-27</v>
      </c>
      <c r="O31" s="904"/>
      <c r="P31" s="904"/>
      <c r="Q31" s="904"/>
      <c r="R31" s="192"/>
      <c r="S31" s="192" t="s">
        <v>67</v>
      </c>
      <c r="T31" s="904" t="str">
        <f>PY</f>
        <v>2025-26</v>
      </c>
      <c r="U31" s="904"/>
      <c r="V31" s="192"/>
      <c r="W31" s="904" t="str">
        <f>FY</f>
        <v>2026-27</v>
      </c>
      <c r="X31" s="904"/>
      <c r="Y31" s="904"/>
      <c r="Z31" s="904"/>
      <c r="AA31" s="192"/>
      <c r="AB31" s="192" t="s">
        <v>67</v>
      </c>
      <c r="AC31" s="904" t="str">
        <f>PY</f>
        <v>2025-26</v>
      </c>
      <c r="AD31" s="904"/>
      <c r="AE31" s="192"/>
      <c r="AF31" s="904" t="str">
        <f>FY</f>
        <v>2026-27</v>
      </c>
      <c r="AG31" s="904"/>
      <c r="AH31" s="904"/>
      <c r="AI31" s="904"/>
      <c r="AJ31" s="192"/>
      <c r="AK31" s="192" t="s">
        <v>67</v>
      </c>
      <c r="AL31" s="904" t="str">
        <f>PY</f>
        <v>2025-26</v>
      </c>
      <c r="AM31" s="904"/>
      <c r="AN31" s="192"/>
      <c r="AO31" s="904" t="str">
        <f>FY</f>
        <v>2026-27</v>
      </c>
      <c r="AP31" s="904"/>
      <c r="AQ31" s="904"/>
      <c r="AR31" s="904"/>
    </row>
    <row r="32" spans="1:54" ht="39" x14ac:dyDescent="0.35">
      <c r="H32" s="909"/>
      <c r="I32" s="191"/>
      <c r="J32" s="193"/>
      <c r="K32" s="194" t="s">
        <v>21</v>
      </c>
      <c r="L32" s="194" t="s">
        <v>23</v>
      </c>
      <c r="M32" s="194"/>
      <c r="N32" s="194" t="s">
        <v>20</v>
      </c>
      <c r="O32" s="195" t="s">
        <v>151</v>
      </c>
      <c r="P32" s="194" t="s">
        <v>21</v>
      </c>
      <c r="Q32" s="194" t="s">
        <v>23</v>
      </c>
      <c r="R32" s="194"/>
      <c r="S32" s="194"/>
      <c r="T32" s="194" t="s">
        <v>21</v>
      </c>
      <c r="U32" s="194" t="s">
        <v>23</v>
      </c>
      <c r="V32" s="194"/>
      <c r="W32" s="194" t="s">
        <v>20</v>
      </c>
      <c r="X32" s="195" t="s">
        <v>50</v>
      </c>
      <c r="Y32" s="194" t="s">
        <v>21</v>
      </c>
      <c r="Z32" s="194" t="s">
        <v>23</v>
      </c>
      <c r="AA32" s="194"/>
      <c r="AB32" s="194"/>
      <c r="AC32" s="194" t="s">
        <v>21</v>
      </c>
      <c r="AD32" s="194" t="s">
        <v>23</v>
      </c>
      <c r="AE32" s="194"/>
      <c r="AF32" s="194" t="s">
        <v>20</v>
      </c>
      <c r="AG32" s="195" t="s">
        <v>50</v>
      </c>
      <c r="AH32" s="194" t="s">
        <v>21</v>
      </c>
      <c r="AI32" s="194" t="s">
        <v>23</v>
      </c>
      <c r="AJ32" s="194"/>
      <c r="AK32" s="194"/>
      <c r="AL32" s="194" t="s">
        <v>21</v>
      </c>
      <c r="AM32" s="194" t="s">
        <v>23</v>
      </c>
      <c r="AN32" s="194"/>
      <c r="AO32" s="194" t="s">
        <v>20</v>
      </c>
      <c r="AP32" s="195" t="s">
        <v>50</v>
      </c>
      <c r="AQ32" s="194" t="s">
        <v>21</v>
      </c>
      <c r="AR32" s="194" t="s">
        <v>23</v>
      </c>
    </row>
    <row r="33" spans="2:63" ht="15" customHeight="1" x14ac:dyDescent="0.35">
      <c r="H33" s="909"/>
      <c r="I33" s="191"/>
      <c r="J33" s="194" t="s">
        <v>68</v>
      </c>
      <c r="K33" s="194" t="s">
        <v>45</v>
      </c>
      <c r="L33" s="194" t="s">
        <v>27</v>
      </c>
      <c r="M33" s="194"/>
      <c r="N33" s="194" t="s">
        <v>27</v>
      </c>
      <c r="O33" s="194" t="s">
        <v>27</v>
      </c>
      <c r="P33" s="194" t="s">
        <v>45</v>
      </c>
      <c r="Q33" s="194" t="s">
        <v>27</v>
      </c>
      <c r="R33" s="194"/>
      <c r="S33" s="194"/>
      <c r="T33" s="194" t="s">
        <v>45</v>
      </c>
      <c r="U33" s="194" t="s">
        <v>27</v>
      </c>
      <c r="V33" s="194"/>
      <c r="W33" s="194" t="s">
        <v>27</v>
      </c>
      <c r="X33" s="194" t="s">
        <v>27</v>
      </c>
      <c r="Y33" s="194" t="s">
        <v>45</v>
      </c>
      <c r="Z33" s="194" t="s">
        <v>27</v>
      </c>
      <c r="AA33" s="194"/>
      <c r="AB33" s="194"/>
      <c r="AC33" s="194" t="s">
        <v>45</v>
      </c>
      <c r="AD33" s="194" t="s">
        <v>27</v>
      </c>
      <c r="AE33" s="194"/>
      <c r="AF33" s="194" t="s">
        <v>27</v>
      </c>
      <c r="AG33" s="194" t="s">
        <v>27</v>
      </c>
      <c r="AH33" s="194" t="s">
        <v>45</v>
      </c>
      <c r="AI33" s="194" t="s">
        <v>27</v>
      </c>
      <c r="AJ33" s="194"/>
      <c r="AK33" s="194"/>
      <c r="AL33" s="194" t="s">
        <v>45</v>
      </c>
      <c r="AM33" s="194" t="s">
        <v>27</v>
      </c>
      <c r="AN33" s="194"/>
      <c r="AO33" s="194" t="s">
        <v>27</v>
      </c>
      <c r="AP33" s="194" t="s">
        <v>27</v>
      </c>
      <c r="AQ33" s="194" t="s">
        <v>45</v>
      </c>
      <c r="AR33" s="194" t="s">
        <v>27</v>
      </c>
    </row>
    <row r="34" spans="2:63" ht="15" customHeight="1" x14ac:dyDescent="0.35">
      <c r="H34" s="196" t="str">
        <f>"DMO "&amp;PY&amp;" price"</f>
        <v>DMO 2025-26 price</v>
      </c>
      <c r="I34" s="196"/>
      <c r="J34" s="197">
        <f>ROUND(SUM(Essential_RESwoCL_PY_cost),0)</f>
        <v>2741</v>
      </c>
      <c r="K34" s="198"/>
      <c r="L34" s="198"/>
      <c r="M34" s="198"/>
      <c r="N34" s="198"/>
      <c r="O34" s="198"/>
      <c r="P34" s="198"/>
      <c r="Q34" s="198"/>
      <c r="R34" s="198"/>
      <c r="S34" s="663">
        <f>SUM(Essential_REStou_PY_cost)</f>
        <v>0</v>
      </c>
      <c r="T34" s="663"/>
      <c r="U34" s="664"/>
      <c r="V34" s="199"/>
      <c r="W34" s="199"/>
      <c r="X34" s="198"/>
      <c r="Y34" s="200"/>
      <c r="Z34" s="198"/>
      <c r="AA34" s="200"/>
      <c r="AB34" s="197">
        <f>ROUND(SUM(Essential_SBwoCL_PY_cost),0)</f>
        <v>6222</v>
      </c>
      <c r="AC34" s="197"/>
      <c r="AD34" s="198"/>
      <c r="AE34" s="198"/>
      <c r="AF34" s="198"/>
      <c r="AG34" s="198"/>
      <c r="AH34" s="198"/>
      <c r="AI34" s="198"/>
      <c r="AJ34" s="200"/>
      <c r="AK34" s="663">
        <f>SUM(AL35:AL39)</f>
        <v>0</v>
      </c>
      <c r="AL34" s="663"/>
      <c r="AM34" s="664"/>
      <c r="AN34" s="199"/>
      <c r="AO34" s="199"/>
      <c r="AP34" s="198"/>
      <c r="AQ34" s="198"/>
      <c r="AR34" s="198"/>
    </row>
    <row r="35" spans="2:63" ht="15" customHeight="1" x14ac:dyDescent="0.35">
      <c r="H35" s="201" t="s">
        <v>63</v>
      </c>
      <c r="I35" s="201"/>
      <c r="J35" s="200"/>
      <c r="K35" s="197" cm="1">
        <f t="array" ref="K35">_xlfn.XLOOKUP(1,($B$6=Wholesale_DistributionZone)*(J$29=Wholesale_CustomerType)*(J$30=Wholesale_TariffL2)*("Total inc GST"=Wholesale_Description),Wholesale_PY_CostTotal)</f>
        <v>903.45227990993703</v>
      </c>
      <c r="L35" s="198">
        <f>K35/J$34</f>
        <v>0.32960681499815286</v>
      </c>
      <c r="M35" s="198"/>
      <c r="N35" s="202">
        <f>IF(OR(K35=0,P35=""),"",P35/K35-1)</f>
        <v>-0.1373937477486562</v>
      </c>
      <c r="O35" s="202">
        <f>(P35-K35)/J34</f>
        <v>-4.5285915596094212E-2</v>
      </c>
      <c r="P35" s="197" cm="1">
        <f t="array" ref="P35">_xlfn.XLOOKUP(1,($B$6=Wholesale_DistributionZone)*(J$29=Wholesale_CustomerType)*(J$30=Wholesale_TariffL2)*("Total inc GST"=Wholesale_Description),Wholesale_FY_CostTotal)</f>
        <v>779.32358526104281</v>
      </c>
      <c r="Q35" s="198">
        <f>P35/J$40</f>
        <v>0.29927941062252028</v>
      </c>
      <c r="R35" s="197"/>
      <c r="S35" s="664"/>
      <c r="T35" s="663" cm="1">
        <f t="array" ref="T35">_xlfn.XLOOKUP(1,($B$6=Wholesale_DistributionZone)*(S$29=Wholesale_CustomerType)*(S$30=Wholesale_TariffType)*("Total inc GST"=Wholesale_Description),Wholesale_PY_CostTotal)</f>
        <v>0</v>
      </c>
      <c r="U35" s="664" t="str">
        <f t="shared" ref="U35" si="0">IFERROR(T35/S$34,"")</f>
        <v/>
      </c>
      <c r="V35" s="199"/>
      <c r="W35" s="203" t="str">
        <f>IF(OR(T35=0,Y35=""),"",Y35/T35-1)</f>
        <v/>
      </c>
      <c r="X35" s="202" t="str">
        <f t="shared" ref="X35" si="1">IFERROR((Y35-T35)/S34,"")</f>
        <v/>
      </c>
      <c r="Y35" s="197" cm="1">
        <f t="array" ref="Y35">_xlfn.XLOOKUP(1,($B$6=Wholesale_DistributionZone)*(S$29=Wholesale_CustomerType)*(S$30=Wholesale_TariffType)*("Total inc GST"=Wholesale_Description),Wholesale_FY_CostTotal)</f>
        <v>779.32358526104292</v>
      </c>
      <c r="Z35" s="198">
        <f>Y35/S$40</f>
        <v>0.30803303765258616</v>
      </c>
      <c r="AA35" s="200"/>
      <c r="AB35" s="200"/>
      <c r="AC35" s="197" cm="1">
        <f t="array" ref="AC35">_xlfn.XLOOKUP(1,($B$6=Wholesale_DistributionZone)*(AB$29=Wholesale_CustomerType)*(AB$30=Wholesale_TariffL2)*("Total inc GST"=Wholesale_Description),Wholesale_PY_CostTotal)</f>
        <v>1946.1611845522723</v>
      </c>
      <c r="AD35" s="198">
        <f>AC35/AB$34</f>
        <v>0.31278707562717328</v>
      </c>
      <c r="AE35" s="198"/>
      <c r="AF35" s="202">
        <f>IF(OR(AC35=0,AH35=""),"",AH35/AC35-1)</f>
        <v>-0.13818401357741306</v>
      </c>
      <c r="AG35" s="202">
        <f>(AH35-AC35)/AB34</f>
        <v>-4.3222173505304655E-2</v>
      </c>
      <c r="AH35" s="197" cm="1">
        <f t="array" ref="AH35">_xlfn.XLOOKUP(1,($B$6=Wholesale_DistributionZone)*(AB$29=Wholesale_CustomerType)*(AB$30=Wholesale_TariffL2)*("Total inc GST"=Wholesale_Description),Wholesale_FY_CostTotal)</f>
        <v>1677.2328210022667</v>
      </c>
      <c r="AI35" s="198">
        <f>AH35/AB$40</f>
        <v>0.30401174932069364</v>
      </c>
      <c r="AJ35" s="200"/>
      <c r="AK35" s="665"/>
      <c r="AL35" s="663" cm="1">
        <f t="array" ref="AL35">_xlfn.XLOOKUP(1,($B$6=Wholesale_DistributionZone)*(AK$29=Wholesale_CustomerType)*(AK$30=Wholesale_TariffType)*("Total inc GST"=Wholesale_Description),Wholesale_PY_CostTotal)</f>
        <v>0</v>
      </c>
      <c r="AM35" s="664" t="str">
        <f t="shared" ref="AM35" si="2">IFERROR(AL35/AK$34,"")</f>
        <v/>
      </c>
      <c r="AN35" s="199"/>
      <c r="AO35" s="203" t="str">
        <f>IF(OR(AL35=0,AQ35=""),"",AQ35/AL35-1)</f>
        <v/>
      </c>
      <c r="AP35" s="202" t="str">
        <f t="shared" ref="AP35" si="3">IFERROR((AQ35-AL35)/AK34,"")</f>
        <v/>
      </c>
      <c r="AQ35" s="197" cm="1">
        <f t="array" ref="AQ35">_xlfn.XLOOKUP(1,($B$6=Wholesale_DistributionZone)*(AK$29=Wholesale_CustomerType)*(AK$30=Wholesale_TariffType)*("Total inc GST"=Wholesale_Description),Wholesale_FY_CostTotal)</f>
        <v>1677.232821002267</v>
      </c>
      <c r="AR35" s="198">
        <f>AQ35/AK$40</f>
        <v>0.34097028278151392</v>
      </c>
    </row>
    <row r="36" spans="2:63" ht="15" customHeight="1" x14ac:dyDescent="0.35">
      <c r="H36" s="201" t="s">
        <v>62</v>
      </c>
      <c r="I36" s="201"/>
      <c r="J36" s="200"/>
      <c r="K36" s="197" cm="1">
        <f t="array" ref="K36">_xlfn.XLOOKUP(1,($B$6=Network_DistributionZone)*(J$29=Network_CustomerType)*(J$30=Network_TariffL2)*("Total inc GST"=Network_Description),Network_PY_CostTotal)</f>
        <v>1248.9808649440904</v>
      </c>
      <c r="L36" s="198">
        <f>K36/J$34</f>
        <v>0.45566613095369951</v>
      </c>
      <c r="M36" s="198"/>
      <c r="N36" s="202">
        <f>IF(OR(K36=0,P36=""),"",P36/K36-1)</f>
        <v>2.725989743063395E-2</v>
      </c>
      <c r="O36" s="202">
        <f>(P36-K36)/J34</f>
        <v>1.2421411992411686E-2</v>
      </c>
      <c r="P36" s="197" cm="1">
        <f t="array" ref="P36">_xlfn.XLOOKUP(1,($B$6=Network_DistributionZone)*(J$29=Network_CustomerType)*(J$30=Network_TariffL2)*("Blended"=Network_TariffType)*("Total inc GST"=Network_Description),Network_FY_CostTotal)</f>
        <v>1283.0279552152908</v>
      </c>
      <c r="Q36" s="198">
        <f>P36/J$40</f>
        <v>0.4927142685158567</v>
      </c>
      <c r="R36" s="198"/>
      <c r="S36" s="664"/>
      <c r="T36" s="663" cm="1">
        <f t="array" ref="T36">_xlfn.XLOOKUP(1,($B$6=Network_DistributionZone)*(S$29=Network_CustomerType)*(S$30=Network_TariffType)*("Total inc GST"=Network_Description),Network_PY_CostTotal)</f>
        <v>0</v>
      </c>
      <c r="U36" s="664" t="str">
        <f>IFERROR(T36/S$34,"")</f>
        <v/>
      </c>
      <c r="V36" s="199"/>
      <c r="W36" s="203" t="str">
        <f>IF(OR(T36=0,Y36=""),"",Y36/T36-1)</f>
        <v/>
      </c>
      <c r="X36" s="202" t="str">
        <f>IFERROR((Y36-T36)/S35,"")</f>
        <v/>
      </c>
      <c r="Y36" s="197" cm="1">
        <f t="array" ref="Y36">_xlfn.XLOOKUP(1,($B$6=Network_DistributionZone)*(S$29=Network_CustomerType)*(S$30=Network_TariffType)*("Total inc GST"=Network_Description),Network_FY_CostTotal)</f>
        <v>1213.287998400393</v>
      </c>
      <c r="Z36" s="198">
        <f>Y36/S$40</f>
        <v>0.47956047367604465</v>
      </c>
      <c r="AA36" s="200"/>
      <c r="AB36" s="200"/>
      <c r="AC36" s="197" cm="1">
        <f t="array" ref="AC36">_xlfn.XLOOKUP(1,($B$6=Network_DistributionZone)*(AB$29=Network_CustomerType)*(AB$30=Network_TariffL2)*("Total inc GST"=Network_Description),Network_PY_CostTotal)</f>
        <v>2959.1444552068538</v>
      </c>
      <c r="AD36" s="198">
        <f>AC36/AB$34</f>
        <v>0.4755937729358492</v>
      </c>
      <c r="AE36" s="198"/>
      <c r="AF36" s="202">
        <f>IF(OR(AC36=0,AH36=""),"",AH36/AC36-1)</f>
        <v>1.8677714935790846E-3</v>
      </c>
      <c r="AG36" s="202">
        <f>(AH36-AC36)/AB34</f>
        <v>8.8830049161328683E-4</v>
      </c>
      <c r="AH36" s="197" cm="1">
        <f t="array" ref="AH36">_xlfn.XLOOKUP(1,($B$6=Network_DistributionZone)*(AB$29=Network_CustomerType)*(AB$30=Network_TariffL2)*("Blended"=Network_TariffType)*("Total inc GST"=Network_Description),Network_FY_CostTotal)</f>
        <v>2964.6714608656716</v>
      </c>
      <c r="AI36" s="198">
        <f>AH36/AB$40</f>
        <v>0.53737021222868797</v>
      </c>
      <c r="AJ36" s="200"/>
      <c r="AK36" s="665"/>
      <c r="AL36" s="663" cm="1">
        <f t="array" ref="AL36">_xlfn.XLOOKUP(1,($B$6=Network_DistributionZone)*(AK$29=Network_CustomerType)*(AK$30=Network_TariffType)*("Total inc GST"=Network_Description),Network_PY_CostTotal)</f>
        <v>0</v>
      </c>
      <c r="AM36" s="664" t="str">
        <f>IFERROR(AL36/AK$34,"")</f>
        <v/>
      </c>
      <c r="AN36" s="199"/>
      <c r="AO36" s="203" t="str">
        <f>IF(OR(AL36=0,AQ36=""),"",AQ36/AL36-1)</f>
        <v/>
      </c>
      <c r="AP36" s="202" t="str">
        <f>IFERROR((AQ36-AL36)/AK35,"")</f>
        <v/>
      </c>
      <c r="AQ36" s="197" cm="1">
        <f t="array" ref="AQ36">_xlfn.XLOOKUP(1,($B$6=Network_DistributionZone)*(AK$29=Network_CustomerType)*(AK$30=Network_TariffType)*("Total inc GST"=Network_Description),Network_FY_CostTotal)</f>
        <v>2402.0189060190924</v>
      </c>
      <c r="AR36" s="198">
        <f>AQ36/AK$40</f>
        <v>0.48831447571032577</v>
      </c>
    </row>
    <row r="37" spans="2:63" ht="15" customHeight="1" x14ac:dyDescent="0.35">
      <c r="H37" s="201" t="s">
        <v>64</v>
      </c>
      <c r="I37" s="201"/>
      <c r="J37" s="200"/>
      <c r="K37" s="197" cm="1">
        <f t="array" ref="K37">_xlfn.XLOOKUP(1,($B$6=Enviro_DistributionZone)*(J$29=Enviro_CustomerType)*(J$30=Enviro_TariffL2)*("Total inc GST"=Enviro_Description),Enviro_PY_CostTotal)</f>
        <v>80.170406567593488</v>
      </c>
      <c r="L37" s="198">
        <f>K37/J$34</f>
        <v>2.9248597799194996E-2</v>
      </c>
      <c r="M37" s="198"/>
      <c r="N37" s="202">
        <f>IF(OR(K37=0,P37=""),"",P37/K37-1)</f>
        <v>-0.30045020003564016</v>
      </c>
      <c r="O37" s="202">
        <f>(P37-K37)/J34</f>
        <v>-8.7877470595301207E-3</v>
      </c>
      <c r="P37" s="197" cm="1">
        <f t="array" ref="P37">_xlfn.XLOOKUP(1,($B$6=Enviro_DistributionZone)*(J$29=Enviro_CustomerType)*(J$30=Enviro_TariffL2)*("Total inc GST"=Enviro_Description),Enviro_FY_CostTotal)</f>
        <v>56.083191877421427</v>
      </c>
      <c r="Q37" s="198">
        <f>P37/J$40</f>
        <v>2.1537324069670287E-2</v>
      </c>
      <c r="R37" s="198"/>
      <c r="S37" s="664"/>
      <c r="T37" s="663" cm="1">
        <f t="array" ref="T37">_xlfn.XLOOKUP(1,($B$6=Enviro_DistributionZone)*(S$29=Enviro_CustomerType)*(S$30=Enviro_TariffType)*("Total inc GST"=Enviro_Description),Enviro_PY_CostTotal)</f>
        <v>0</v>
      </c>
      <c r="U37" s="664" t="str">
        <f t="shared" ref="U37:U39" si="4">IFERROR(T37/S$34,"")</f>
        <v/>
      </c>
      <c r="V37" s="199"/>
      <c r="W37" s="203" t="str">
        <f>IF(OR(T37=0,Y37=""),"",Y37/T37-1)</f>
        <v/>
      </c>
      <c r="X37" s="202" t="str">
        <f t="shared" ref="X37:X39" si="5">IFERROR((Y37-T37)/S36,"")</f>
        <v/>
      </c>
      <c r="Y37" s="197" cm="1">
        <f t="array" ref="Y37">_xlfn.XLOOKUP(1,($B$6=Enviro_DistributionZone)*(S$29=Enviro_CustomerType)*(S$30=Enviro_TariffType)*("Total inc GST"=Enviro_Description),Enviro_FY_CostTotal)</f>
        <v>56.083191877421427</v>
      </c>
      <c r="Z37" s="198">
        <f>Y37/S$40</f>
        <v>2.2167269516767361E-2</v>
      </c>
      <c r="AA37" s="200"/>
      <c r="AB37" s="200"/>
      <c r="AC37" s="197" cm="1">
        <f t="array" ref="AC37">_xlfn.XLOOKUP(1,($B$6=Enviro_DistributionZone)*(AB$29=Enviro_CustomerType)*(AB$30=Enviro_TariffL2)*("Total inc GST"=Enviro_Description),Enviro_PY_CostTotal)</f>
        <v>174.28349253824669</v>
      </c>
      <c r="AD37" s="198">
        <f>AC37/AB$34</f>
        <v>2.8010847402482591E-2</v>
      </c>
      <c r="AE37" s="198"/>
      <c r="AF37" s="202">
        <f>IF(OR(AC37=0,AH37=""),"",AH37/AC37-1)</f>
        <v>-0.30045020003564005</v>
      </c>
      <c r="AG37" s="202">
        <f>(AH37-AC37)/AB34</f>
        <v>-8.4158647052436832E-3</v>
      </c>
      <c r="AH37" s="197" cm="1">
        <f t="array" ref="AH37">_xlfn.XLOOKUP(1,($B$6=Enviro_DistributionZone)*(AB$29=Enviro_CustomerType)*(AB$30=Enviro_TariffL2)*("Total inc GST"=Enviro_Description),Enviro_FY_CostTotal)</f>
        <v>121.91998234222049</v>
      </c>
      <c r="AI37" s="198">
        <f>AH37/AB$40</f>
        <v>2.2098963629186241E-2</v>
      </c>
      <c r="AJ37" s="200"/>
      <c r="AK37" s="665"/>
      <c r="AL37" s="663" cm="1">
        <f t="array" ref="AL37">_xlfn.XLOOKUP(1,($B$6=Enviro_DistributionZone)*(AK$29=Enviro_CustomerType)*(AK$30=Enviro_TariffType)*("Total inc GST"=Enviro_Description),Enviro_PY_CostTotal)</f>
        <v>0</v>
      </c>
      <c r="AM37" s="664" t="str">
        <f t="shared" ref="AM37:AM39" si="6">IFERROR(AL37/AK$34,"")</f>
        <v/>
      </c>
      <c r="AN37" s="199"/>
      <c r="AO37" s="203" t="str">
        <f>IF(OR(AL37=0,AQ37=""),"",AQ37/AL37-1)</f>
        <v/>
      </c>
      <c r="AP37" s="202" t="str">
        <f t="shared" ref="AP37:AP39" si="7">IFERROR((AQ37-AL37)/AK36,"")</f>
        <v/>
      </c>
      <c r="AQ37" s="197" cm="1">
        <f t="array" ref="AQ37">_xlfn.XLOOKUP(1,($B$6=Enviro_DistributionZone)*(AK$29=Enviro_CustomerType)*(AK$30=Enviro_TariffType)*("Total inc GST"=Enviro_Description),Enviro_FY_CostTotal)</f>
        <v>121.91998234222049</v>
      </c>
      <c r="AR37" s="198">
        <f>AQ37/AK$40</f>
        <v>2.4785521923606526E-2</v>
      </c>
    </row>
    <row r="38" spans="2:63" ht="15" customHeight="1" x14ac:dyDescent="0.35">
      <c r="H38" s="201" t="s">
        <v>159</v>
      </c>
      <c r="I38" s="201"/>
      <c r="J38" s="200"/>
      <c r="K38" s="197" cm="1">
        <f t="array" ref="K38">_xlfn.XLOOKUP(1,($B$6=Retail_DistributionZone)*(J$29=Retail_CustomerType)*(J$30=Retail_TariffL2)*("Total inc GST"=Retail_Description),Retail_PY_CostTotal)</f>
        <v>343.7615024031029</v>
      </c>
      <c r="L38" s="198">
        <f>K38/J$34</f>
        <v>0.12541463057391569</v>
      </c>
      <c r="M38" s="198"/>
      <c r="N38" s="202">
        <f>IF(OR(K38=0,P38=""),"",P38/K38-1)</f>
        <v>-4.2434018640133964E-2</v>
      </c>
      <c r="O38" s="202">
        <f>(P38-K38)/J34</f>
        <v>-5.3218467715190508E-3</v>
      </c>
      <c r="P38" s="197" cm="1">
        <f t="array" ref="P38">_xlfn.XLOOKUP(1,($B$6=Retail_DistributionZone)*(J$29=Retail_CustomerType)*(J$30=Retail_TariffL2)*("Total inc GST"=Retail_Description),Retail_FY_CostTotal)</f>
        <v>329.17432040236918</v>
      </c>
      <c r="Q38" s="198">
        <f>P38/J$40</f>
        <v>0.12641102934038756</v>
      </c>
      <c r="R38" s="198"/>
      <c r="S38" s="664"/>
      <c r="T38" s="663" cm="1">
        <f t="array" ref="T38">_xlfn.XLOOKUP(1,($B$6=Retail_DistributionZone)*(S$29=Retail_CustomerType)*(S$30=Retail_TariffType)*("Total inc GST"=Retail_Description),Retail_PY_CostTotal)</f>
        <v>0</v>
      </c>
      <c r="U38" s="664" t="str">
        <f t="shared" si="4"/>
        <v/>
      </c>
      <c r="V38" s="199"/>
      <c r="W38" s="203" t="str">
        <f>IF(OR(T38=0,Y38=""),"",Y38/T38-1)</f>
        <v/>
      </c>
      <c r="X38" s="202" t="str">
        <f t="shared" si="5"/>
        <v/>
      </c>
      <c r="Y38" s="197" cm="1">
        <f t="array" ref="Y38">_xlfn.XLOOKUP(1,($B$6=Retail_DistributionZone)*(S$29=Retail_CustomerType)*(S$30=Retail_TariffType)*("Total inc GST"=Retail_Description),Retail_FY_CostTotal)</f>
        <v>329.17432040236918</v>
      </c>
      <c r="Z38" s="198">
        <f>Y38/S$40</f>
        <v>0.13010842703650954</v>
      </c>
      <c r="AA38" s="200"/>
      <c r="AB38" s="200"/>
      <c r="AC38" s="197" cm="1">
        <f t="array" ref="AC38">_xlfn.XLOOKUP(1,($B$6=Retail_DistributionZone)*(AB$29=Retail_CustomerType)*(AB$30=Retail_TariffL2)*("Total inc GST"=Retail_Description),Retail_PY_CostTotal)</f>
        <v>458.04589127551509</v>
      </c>
      <c r="AD38" s="198">
        <f>AC38/AB$34</f>
        <v>7.361714742454438E-2</v>
      </c>
      <c r="AE38" s="198"/>
      <c r="AF38" s="202">
        <f>IF(OR(AC38=0,AH38=""),"",AH38/AC38-1)</f>
        <v>-7.7730329691095612E-2</v>
      </c>
      <c r="AG38" s="202">
        <f>(AH38-AC38)/AB34</f>
        <v>-5.7222851402278264E-3</v>
      </c>
      <c r="AH38" s="197" cm="1">
        <f t="array" ref="AH38">_xlfn.XLOOKUP(1,($B$6=Retail_DistributionZone)*(AB$29=Retail_CustomerType)*(AB$30=Retail_TariffL2)*("Total inc GST"=Retail_Description),Retail_FY_CostTotal)</f>
        <v>422.44183313301755</v>
      </c>
      <c r="AI38" s="198">
        <f>AH38/AB$40</f>
        <v>7.6570932233644654E-2</v>
      </c>
      <c r="AJ38" s="200"/>
      <c r="AK38" s="665"/>
      <c r="AL38" s="663" cm="1">
        <f t="array" ref="AL38">_xlfn.XLOOKUP(1,($B$6=Retail_DistributionZone)*(AK$29=Retail_CustomerType)*(AK$30=Retail_TariffType)*("Total inc GST"=Retail_Description),Retail_PY_CostTotal)</f>
        <v>0</v>
      </c>
      <c r="AM38" s="664" t="str">
        <f t="shared" si="6"/>
        <v/>
      </c>
      <c r="AN38" s="199"/>
      <c r="AO38" s="203" t="str">
        <f>IF(OR(AL38=0,AQ38=""),"",AQ38/AL38-1)</f>
        <v/>
      </c>
      <c r="AP38" s="202" t="str">
        <f t="shared" si="7"/>
        <v/>
      </c>
      <c r="AQ38" s="197" cm="1">
        <f t="array" ref="AQ38">_xlfn.XLOOKUP(1,($B$6=Retail_DistributionZone)*(AK$29=Retail_CustomerType)*(AK$30=Retail_TariffType)*("Total inc GST"=Retail_Description),Retail_FY_CostTotal)</f>
        <v>422.44183313301755</v>
      </c>
      <c r="AR38" s="198">
        <f>AQ38/AK$40</f>
        <v>8.5879616412485774E-2</v>
      </c>
    </row>
    <row r="39" spans="2:63" ht="15" customHeight="1" x14ac:dyDescent="0.35">
      <c r="H39" s="201" t="s">
        <v>192</v>
      </c>
      <c r="I39" s="201"/>
      <c r="J39" s="200"/>
      <c r="K39" s="197">
        <f>SUM(K35:K38)/(1-RetailMargin_RES)-SUM(K35:K38)</f>
        <v>164.44883322285477</v>
      </c>
      <c r="L39" s="198">
        <f>K39/J$34</f>
        <v>5.999592602074235E-2</v>
      </c>
      <c r="M39" s="198"/>
      <c r="N39" s="202">
        <f>IF(OR(K39=0,P39=""),"",P39/K39-1)</f>
        <v>-4.9975837421586067E-2</v>
      </c>
      <c r="O39" s="202">
        <f>(P39-K39)/J34</f>
        <v>-2.9983466447701264E-3</v>
      </c>
      <c r="P39" s="197">
        <f>SUM(P35:P38)/(1-RetailMargin_RES)-SUM(P35:P38)</f>
        <v>156.23036506953986</v>
      </c>
      <c r="Q39" s="198">
        <f>P39/J$40</f>
        <v>5.9996299949900099E-2</v>
      </c>
      <c r="R39" s="198"/>
      <c r="S39" s="664"/>
      <c r="T39" s="663">
        <f>SUM(T35:T38)/(1-RetailMargin_RES)-SUM(T35:T38)</f>
        <v>0</v>
      </c>
      <c r="U39" s="664" t="str">
        <f t="shared" si="4"/>
        <v/>
      </c>
      <c r="V39" s="199"/>
      <c r="W39" s="203" t="str">
        <f>IF(OR(T39=0,Y39=""),"",Y39/T39-1)</f>
        <v/>
      </c>
      <c r="X39" s="202" t="str">
        <f t="shared" si="5"/>
        <v/>
      </c>
      <c r="Y39" s="197">
        <f>SUM(Y35:Y38)/(1-RetailMargin_RES)-SUM(Y35:Y38)</f>
        <v>151.77887846433396</v>
      </c>
      <c r="Z39" s="198">
        <f>Y39/S$40</f>
        <v>5.9991651566930419E-2</v>
      </c>
      <c r="AA39" s="200"/>
      <c r="AB39" s="200"/>
      <c r="AC39" s="197">
        <f>SUM(AC35:AC38)/(1-RetailMargin_PY_SB)-SUM(AC35:AC38)</f>
        <v>684.42680066631146</v>
      </c>
      <c r="AD39" s="198">
        <f>AC39/AB$34</f>
        <v>0.11000109300326445</v>
      </c>
      <c r="AE39" s="198"/>
      <c r="AF39" s="202">
        <f>IF(OR(AC39=0,AH39=""),"",AH39/AC39-1)</f>
        <v>-0.51632773408307941</v>
      </c>
      <c r="AG39" s="202">
        <f>(AH39-AC39)/AB34</f>
        <v>-5.6796615097037616E-2</v>
      </c>
      <c r="AH39" s="197">
        <f>SUM(AH35:AH38)/(1-RetailMargin_FY_SB)-SUM(AH35:AH38)</f>
        <v>331.0382615325434</v>
      </c>
      <c r="AI39" s="198">
        <f>AH39/AB$40</f>
        <v>6.0003310047588077E-2</v>
      </c>
      <c r="AJ39" s="200"/>
      <c r="AK39" s="665"/>
      <c r="AL39" s="663">
        <f>SUM(AL35:AL38)/(1-RetailMargin_FY_SB)-SUM(AL35:AL38)</f>
        <v>0</v>
      </c>
      <c r="AM39" s="664" t="str">
        <f t="shared" si="6"/>
        <v/>
      </c>
      <c r="AN39" s="199"/>
      <c r="AO39" s="203" t="str">
        <f>IF(OR(AL39=0,AQ39=""),"",AQ39/AL39-1)</f>
        <v/>
      </c>
      <c r="AP39" s="202" t="str">
        <f t="shared" si="7"/>
        <v/>
      </c>
      <c r="AQ39" s="197">
        <f>SUM(AQ35:AQ38)/(1-RetailMargin_FY_SB)-SUM(AQ35:AQ38)</f>
        <v>295.12426866999613</v>
      </c>
      <c r="AR39" s="198">
        <f>AQ39/AK$40</f>
        <v>5.9996801925187256E-2</v>
      </c>
    </row>
    <row r="40" spans="2:63" ht="14.5" thickBot="1" x14ac:dyDescent="0.4">
      <c r="B40" s="181"/>
      <c r="H40" s="205" t="str">
        <f>"DMO "&amp;FY&amp;" price"</f>
        <v>DMO 2026-27 price</v>
      </c>
      <c r="I40" s="205"/>
      <c r="J40" s="206">
        <f>ROUND(SUM(P35:P39),0)</f>
        <v>2604</v>
      </c>
      <c r="K40" s="207"/>
      <c r="L40" s="207"/>
      <c r="M40" s="207"/>
      <c r="N40" s="207">
        <f>J40/J34-1</f>
        <v>-4.9981758482305683E-2</v>
      </c>
      <c r="O40" s="207"/>
      <c r="P40" s="207"/>
      <c r="Q40" s="207"/>
      <c r="R40" s="207"/>
      <c r="S40" s="206">
        <f>ROUND(SUM(Y35:Y39),0)</f>
        <v>2530</v>
      </c>
      <c r="T40" s="206"/>
      <c r="U40" s="207"/>
      <c r="V40" s="207"/>
      <c r="W40" s="207" t="str">
        <f>IFERROR(S40/S34-1,"")</f>
        <v/>
      </c>
      <c r="X40" s="207"/>
      <c r="Y40" s="208"/>
      <c r="Z40" s="208"/>
      <c r="AA40" s="208"/>
      <c r="AB40" s="206">
        <f>ROUND(SUM(AH35:AH39),0)</f>
        <v>5517</v>
      </c>
      <c r="AC40" s="206"/>
      <c r="AD40" s="207"/>
      <c r="AE40" s="207"/>
      <c r="AF40" s="207">
        <f>AB40/AB34-1</f>
        <v>-0.11330761812921886</v>
      </c>
      <c r="AG40" s="207"/>
      <c r="AH40" s="207"/>
      <c r="AI40" s="207"/>
      <c r="AJ40" s="208"/>
      <c r="AK40" s="206">
        <f>ROUND(SUM(AQ35:AQ39),0)</f>
        <v>4919</v>
      </c>
      <c r="AL40" s="206"/>
      <c r="AM40" s="207"/>
      <c r="AN40" s="207"/>
      <c r="AO40" s="207" t="str">
        <f>IFERROR(AK40/AK34-1,"")</f>
        <v/>
      </c>
      <c r="AP40" s="207"/>
      <c r="AQ40" s="207"/>
      <c r="AR40" s="207"/>
    </row>
    <row r="41" spans="2:63" ht="14.5" thickTop="1" x14ac:dyDescent="0.35">
      <c r="H41" s="209"/>
    </row>
    <row r="42" spans="2:63" x14ac:dyDescent="0.35">
      <c r="H42" s="29"/>
      <c r="J42" s="210"/>
      <c r="O42" s="211"/>
      <c r="P42" s="210"/>
      <c r="R42" s="35"/>
      <c r="S42" s="210"/>
      <c r="Y42" s="210"/>
      <c r="Z42" s="242"/>
    </row>
    <row r="43" spans="2:63" x14ac:dyDescent="0.35">
      <c r="J43" s="210"/>
      <c r="K43" s="68"/>
      <c r="N43" s="215"/>
      <c r="O43" s="211"/>
      <c r="P43" s="216"/>
      <c r="Q43" s="216"/>
      <c r="R43" s="216"/>
      <c r="S43" s="216"/>
      <c r="T43" s="216"/>
      <c r="U43" s="216"/>
      <c r="V43" s="216"/>
      <c r="W43" s="216"/>
      <c r="X43" s="216"/>
      <c r="Y43" s="216"/>
      <c r="Z43" s="216"/>
    </row>
    <row r="44" spans="2:63" s="66" customFormat="1" x14ac:dyDescent="0.35"/>
    <row r="45" spans="2:63" s="160" customFormat="1" ht="14.5" x14ac:dyDescent="0.35">
      <c r="H45" s="217" t="s">
        <v>125</v>
      </c>
      <c r="U45" s="683" t="s">
        <v>278</v>
      </c>
      <c r="V45" s="683" t="s">
        <v>279</v>
      </c>
      <c r="X45" s="160" t="s">
        <v>272</v>
      </c>
      <c r="Y45" s="160" t="s">
        <v>278</v>
      </c>
      <c r="Z45" s="160" t="s">
        <v>279</v>
      </c>
      <c r="AL45" s="160" t="s">
        <v>278</v>
      </c>
      <c r="AM45" s="160" t="s">
        <v>279</v>
      </c>
      <c r="AN45" s="160" t="s">
        <v>272</v>
      </c>
      <c r="AQ45" s="160" t="s">
        <v>278</v>
      </c>
      <c r="AR45" s="160" t="s">
        <v>279</v>
      </c>
      <c r="AS45" s="160" t="s">
        <v>272</v>
      </c>
      <c r="AW45" s="217" t="s">
        <v>125</v>
      </c>
      <c r="AY45" s="160" t="s">
        <v>272</v>
      </c>
      <c r="AZ45" s="160" t="s">
        <v>278</v>
      </c>
      <c r="BA45" s="160" t="s">
        <v>279</v>
      </c>
    </row>
    <row r="46" spans="2:63" s="219" customFormat="1" x14ac:dyDescent="0.35">
      <c r="H46" s="220" t="s">
        <v>32</v>
      </c>
      <c r="I46" s="221"/>
      <c r="J46" s="220"/>
      <c r="K46" s="907" t="s">
        <v>6</v>
      </c>
      <c r="L46" s="907"/>
      <c r="M46" s="907"/>
      <c r="N46" s="907"/>
      <c r="O46" s="907"/>
      <c r="P46" s="907"/>
      <c r="Q46" s="223"/>
      <c r="R46" s="30"/>
      <c r="S46" s="220"/>
      <c r="T46" s="907" t="s">
        <v>6</v>
      </c>
      <c r="U46" s="907"/>
      <c r="V46" s="907"/>
      <c r="W46" s="907"/>
      <c r="X46" s="907"/>
      <c r="Y46" s="907"/>
      <c r="Z46" s="220"/>
      <c r="AA46" s="220"/>
      <c r="AB46" s="220"/>
      <c r="AC46" s="907" t="s">
        <v>76</v>
      </c>
      <c r="AD46" s="907"/>
      <c r="AE46" s="907"/>
      <c r="AF46" s="907"/>
      <c r="AG46" s="907"/>
      <c r="AH46" s="907"/>
      <c r="AI46" s="220"/>
      <c r="AJ46" s="220"/>
      <c r="AK46" s="907" t="s">
        <v>76</v>
      </c>
      <c r="AL46" s="907"/>
      <c r="AM46" s="907"/>
      <c r="AN46" s="907"/>
      <c r="AO46" s="907"/>
      <c r="AP46" s="907"/>
      <c r="AQ46" s="907"/>
      <c r="AR46" s="907"/>
      <c r="AS46" s="907"/>
      <c r="AT46" s="220"/>
      <c r="AU46" s="223"/>
      <c r="AV46" s="30"/>
      <c r="AW46" s="546" t="s">
        <v>32</v>
      </c>
      <c r="AX46" s="546"/>
      <c r="AY46" s="900" t="s">
        <v>6</v>
      </c>
      <c r="AZ46" s="900"/>
      <c r="BA46" s="900"/>
      <c r="BB46" s="546"/>
      <c r="BC46" s="220"/>
      <c r="BD46" s="220"/>
      <c r="BE46" s="220"/>
      <c r="BF46" s="220"/>
      <c r="BG46" s="220"/>
      <c r="BH46" s="222"/>
      <c r="BI46" s="30"/>
      <c r="BJ46" s="30"/>
      <c r="BK46" s="30"/>
    </row>
    <row r="47" spans="2:63" s="219" customFormat="1" ht="14.5" thickBot="1" x14ac:dyDescent="0.4">
      <c r="H47" s="220"/>
      <c r="I47" s="220"/>
      <c r="J47" s="220"/>
      <c r="K47" s="905" t="s">
        <v>19</v>
      </c>
      <c r="L47" s="905"/>
      <c r="M47" s="905"/>
      <c r="N47" s="905"/>
      <c r="O47" s="905"/>
      <c r="P47" s="905"/>
      <c r="Q47" s="223"/>
      <c r="R47" s="30"/>
      <c r="S47" s="515"/>
      <c r="T47" s="905" t="s">
        <v>257</v>
      </c>
      <c r="U47" s="905"/>
      <c r="V47" s="905"/>
      <c r="W47" s="905"/>
      <c r="X47" s="905"/>
      <c r="Y47" s="905"/>
      <c r="Z47" s="515"/>
      <c r="AA47" s="220"/>
      <c r="AB47" s="515"/>
      <c r="AC47" s="905" t="s">
        <v>19</v>
      </c>
      <c r="AD47" s="905"/>
      <c r="AE47" s="905"/>
      <c r="AF47" s="905"/>
      <c r="AG47" s="905"/>
      <c r="AH47" s="905"/>
      <c r="AI47" s="515"/>
      <c r="AJ47" s="220"/>
      <c r="AK47" s="905" t="s">
        <v>272</v>
      </c>
      <c r="AL47" s="905"/>
      <c r="AM47" s="905"/>
      <c r="AN47" s="905"/>
      <c r="AO47" s="905"/>
      <c r="AP47" s="905"/>
      <c r="AQ47" s="905"/>
      <c r="AR47" s="905"/>
      <c r="AS47" s="905"/>
      <c r="AT47" s="515"/>
      <c r="AU47" s="223"/>
      <c r="AV47" s="30"/>
      <c r="AW47" s="546"/>
      <c r="AX47" s="546"/>
      <c r="AY47" s="899" t="s">
        <v>300</v>
      </c>
      <c r="AZ47" s="899"/>
      <c r="BA47" s="899"/>
      <c r="BB47" s="546"/>
      <c r="BC47" s="515"/>
      <c r="BD47" s="515"/>
      <c r="BE47" s="515"/>
      <c r="BF47" s="515"/>
      <c r="BG47" s="515"/>
      <c r="BH47" s="222"/>
      <c r="BI47" s="30"/>
      <c r="BJ47" s="30"/>
      <c r="BK47" s="30"/>
    </row>
    <row r="48" spans="2:63" s="219" customFormat="1" ht="14.5" thickBot="1" x14ac:dyDescent="0.4">
      <c r="H48" s="220"/>
      <c r="I48" s="221"/>
      <c r="J48" s="222"/>
      <c r="K48" s="910" t="str">
        <f>PY</f>
        <v>2025-26</v>
      </c>
      <c r="L48" s="910"/>
      <c r="M48" s="222"/>
      <c r="N48" s="225"/>
      <c r="O48" s="910" t="str">
        <f>FY</f>
        <v>2026-27</v>
      </c>
      <c r="P48" s="910"/>
      <c r="Q48" s="223"/>
      <c r="R48" s="30"/>
      <c r="S48" s="517"/>
      <c r="T48" s="910" t="str">
        <f>PY</f>
        <v>2025-26</v>
      </c>
      <c r="U48" s="910"/>
      <c r="V48" s="222"/>
      <c r="W48" s="225"/>
      <c r="X48" s="910" t="str">
        <f>FY</f>
        <v>2026-27</v>
      </c>
      <c r="Y48" s="910"/>
      <c r="Z48" s="517"/>
      <c r="AA48" s="220"/>
      <c r="AB48" s="517"/>
      <c r="AC48" s="910" t="str">
        <f>PY</f>
        <v>2025-26</v>
      </c>
      <c r="AD48" s="910"/>
      <c r="AE48" s="222"/>
      <c r="AF48" s="225"/>
      <c r="AG48" s="910" t="str">
        <f>FY</f>
        <v>2026-27</v>
      </c>
      <c r="AH48" s="910"/>
      <c r="AI48" s="517"/>
      <c r="AJ48" s="220"/>
      <c r="AK48" s="905" t="str">
        <f>PY</f>
        <v>2025-26</v>
      </c>
      <c r="AL48" s="905"/>
      <c r="AM48" s="905"/>
      <c r="AN48" s="905"/>
      <c r="AO48" s="220"/>
      <c r="AP48" s="905" t="str">
        <f>FY</f>
        <v>2026-27</v>
      </c>
      <c r="AQ48" s="905"/>
      <c r="AR48" s="905"/>
      <c r="AS48" s="905"/>
      <c r="AT48" s="517"/>
      <c r="AU48" s="223"/>
      <c r="AV48" s="30"/>
      <c r="AW48" s="546"/>
      <c r="AX48" s="547"/>
      <c r="AY48" s="898" t="str">
        <f>FY</f>
        <v>2026-27</v>
      </c>
      <c r="AZ48" s="898"/>
      <c r="BA48" s="898"/>
      <c r="BB48" s="547"/>
      <c r="BC48" s="220"/>
      <c r="BD48" s="515"/>
      <c r="BE48" s="515"/>
      <c r="BF48" s="515"/>
      <c r="BG48" s="515"/>
      <c r="BH48" s="222"/>
      <c r="BI48" s="30"/>
      <c r="BJ48" s="30"/>
      <c r="BK48" s="30"/>
    </row>
    <row r="49" spans="1:76" s="228" customFormat="1" ht="27" customHeight="1" x14ac:dyDescent="0.35">
      <c r="H49" s="220"/>
      <c r="I49" s="226"/>
      <c r="J49" s="224"/>
      <c r="K49" s="225" t="s">
        <v>46</v>
      </c>
      <c r="L49" s="225" t="s">
        <v>47</v>
      </c>
      <c r="M49" s="225"/>
      <c r="N49" s="225"/>
      <c r="O49" s="225" t="s">
        <v>46</v>
      </c>
      <c r="P49" s="225" t="s">
        <v>47</v>
      </c>
      <c r="Q49" s="223"/>
      <c r="R49" s="30"/>
      <c r="S49" s="516"/>
      <c r="T49" s="225" t="s">
        <v>46</v>
      </c>
      <c r="U49" s="902" t="s">
        <v>47</v>
      </c>
      <c r="V49" s="902"/>
      <c r="W49" s="225"/>
      <c r="X49" s="225" t="s">
        <v>46</v>
      </c>
      <c r="Y49" s="902" t="s">
        <v>47</v>
      </c>
      <c r="Z49" s="902"/>
      <c r="AA49" s="220"/>
      <c r="AB49" s="306"/>
      <c r="AC49" s="225" t="s">
        <v>46</v>
      </c>
      <c r="AD49" s="225" t="s">
        <v>47</v>
      </c>
      <c r="AE49" s="225"/>
      <c r="AF49" s="225"/>
      <c r="AG49" s="225" t="s">
        <v>46</v>
      </c>
      <c r="AH49" s="225" t="s">
        <v>47</v>
      </c>
      <c r="AI49" s="227"/>
      <c r="AJ49" s="220"/>
      <c r="AK49" s="225" t="s">
        <v>46</v>
      </c>
      <c r="AL49" s="901" t="s">
        <v>47</v>
      </c>
      <c r="AM49" s="901"/>
      <c r="AN49" s="901"/>
      <c r="AO49" s="225"/>
      <c r="AP49" s="225" t="s">
        <v>46</v>
      </c>
      <c r="AQ49" s="901" t="s">
        <v>47</v>
      </c>
      <c r="AR49" s="901"/>
      <c r="AS49" s="901"/>
      <c r="AT49" s="225"/>
      <c r="AU49" s="223"/>
      <c r="AV49" s="30"/>
      <c r="AW49" s="546"/>
      <c r="AX49" s="549"/>
      <c r="AY49" s="548" t="s">
        <v>46</v>
      </c>
      <c r="AZ49" s="897" t="s">
        <v>47</v>
      </c>
      <c r="BA49" s="897"/>
      <c r="BB49" s="549"/>
      <c r="BC49" s="225"/>
      <c r="BD49" s="225"/>
      <c r="BE49" s="516"/>
      <c r="BF49" s="516"/>
      <c r="BG49" s="516"/>
      <c r="BH49" s="224"/>
      <c r="BI49" s="30"/>
      <c r="BJ49" s="30"/>
      <c r="BK49" s="30"/>
    </row>
    <row r="50" spans="1:76" s="228" customFormat="1" ht="25" x14ac:dyDescent="0.35">
      <c r="H50" s="220"/>
      <c r="I50" s="226"/>
      <c r="J50" s="223"/>
      <c r="K50" s="44" t="s">
        <v>262</v>
      </c>
      <c r="L50" s="44" t="s">
        <v>268</v>
      </c>
      <c r="M50" s="44"/>
      <c r="N50" s="44"/>
      <c r="O50" s="44" t="s">
        <v>262</v>
      </c>
      <c r="P50" s="44" t="s">
        <v>268</v>
      </c>
      <c r="Q50" s="223"/>
      <c r="R50" s="30"/>
      <c r="S50" s="44"/>
      <c r="T50" s="44" t="s">
        <v>262</v>
      </c>
      <c r="U50" s="44" t="s">
        <v>263</v>
      </c>
      <c r="V50" s="44" t="s">
        <v>264</v>
      </c>
      <c r="W50" s="44"/>
      <c r="X50" s="44" t="s">
        <v>262</v>
      </c>
      <c r="Y50" s="44" t="s">
        <v>263</v>
      </c>
      <c r="Z50" s="44" t="s">
        <v>264</v>
      </c>
      <c r="AA50" s="44"/>
      <c r="AB50" s="44"/>
      <c r="AC50" s="44" t="s">
        <v>262</v>
      </c>
      <c r="AD50" s="44" t="s">
        <v>268</v>
      </c>
      <c r="AE50" s="44"/>
      <c r="AF50" s="44"/>
      <c r="AG50" s="44" t="s">
        <v>262</v>
      </c>
      <c r="AH50" s="44" t="s">
        <v>268</v>
      </c>
      <c r="AI50" s="44"/>
      <c r="AJ50" s="44"/>
      <c r="AK50" s="44" t="s">
        <v>272</v>
      </c>
      <c r="AL50" s="44" t="s">
        <v>263</v>
      </c>
      <c r="AM50" s="44" t="s">
        <v>264</v>
      </c>
      <c r="AN50" s="44"/>
      <c r="AO50" s="44"/>
      <c r="AP50" s="44" t="s">
        <v>272</v>
      </c>
      <c r="AQ50" s="44" t="s">
        <v>263</v>
      </c>
      <c r="AR50" s="44" t="s">
        <v>264</v>
      </c>
      <c r="AS50" s="44"/>
      <c r="AT50" s="44"/>
      <c r="AU50" s="223"/>
      <c r="AV50" s="30"/>
      <c r="AW50" s="546"/>
      <c r="AX50" s="549"/>
      <c r="AY50" s="550" t="s">
        <v>262</v>
      </c>
      <c r="AZ50" s="550" t="s">
        <v>263</v>
      </c>
      <c r="BA50" s="550" t="s">
        <v>264</v>
      </c>
      <c r="BB50" s="549"/>
      <c r="BC50" s="44"/>
      <c r="BD50" s="44"/>
      <c r="BE50" s="44"/>
      <c r="BF50" s="44"/>
      <c r="BG50" s="44"/>
      <c r="BH50" s="223"/>
      <c r="BI50" s="30"/>
      <c r="BJ50" s="30"/>
      <c r="BK50" s="30"/>
    </row>
    <row r="51" spans="1:76" x14ac:dyDescent="0.35">
      <c r="H51" s="196"/>
      <c r="I51" s="196"/>
      <c r="J51" s="197"/>
      <c r="K51" s="229" t="s">
        <v>266</v>
      </c>
      <c r="L51" s="229" t="s">
        <v>246</v>
      </c>
      <c r="M51" s="229"/>
      <c r="N51" s="229"/>
      <c r="O51" s="229" t="s">
        <v>266</v>
      </c>
      <c r="P51" s="229" t="s">
        <v>246</v>
      </c>
      <c r="Q51" s="198"/>
      <c r="S51" s="229"/>
      <c r="T51" s="684" t="s">
        <v>266</v>
      </c>
      <c r="U51" s="684" t="s">
        <v>246</v>
      </c>
      <c r="V51" s="684" t="s">
        <v>246</v>
      </c>
      <c r="W51" s="229"/>
      <c r="X51" s="229" t="s">
        <v>266</v>
      </c>
      <c r="Y51" s="229" t="s">
        <v>246</v>
      </c>
      <c r="Z51" s="229" t="s">
        <v>246</v>
      </c>
      <c r="AA51" s="229"/>
      <c r="AB51" s="229"/>
      <c r="AC51" s="229" t="s">
        <v>266</v>
      </c>
      <c r="AD51" s="229" t="s">
        <v>246</v>
      </c>
      <c r="AE51" s="230"/>
      <c r="AF51" s="230"/>
      <c r="AG51" s="229" t="s">
        <v>266</v>
      </c>
      <c r="AH51" s="229" t="s">
        <v>246</v>
      </c>
      <c r="AI51" s="229"/>
      <c r="AJ51" s="229"/>
      <c r="AK51" s="229" t="s">
        <v>266</v>
      </c>
      <c r="AL51" s="229" t="s">
        <v>246</v>
      </c>
      <c r="AM51" s="229" t="s">
        <v>246</v>
      </c>
      <c r="AN51" s="229"/>
      <c r="AO51" s="230"/>
      <c r="AP51" s="229" t="s">
        <v>266</v>
      </c>
      <c r="AQ51" s="229" t="s">
        <v>246</v>
      </c>
      <c r="AR51" s="229" t="s">
        <v>246</v>
      </c>
      <c r="AS51" s="229"/>
      <c r="AT51" s="229"/>
      <c r="AU51" s="198"/>
      <c r="AV51" s="30"/>
      <c r="AW51" s="196"/>
      <c r="AX51" s="196"/>
      <c r="AY51" s="229" t="s">
        <v>266</v>
      </c>
      <c r="AZ51" s="229" t="s">
        <v>246</v>
      </c>
      <c r="BA51" s="198"/>
      <c r="BB51" s="196"/>
      <c r="BC51" s="230"/>
      <c r="BD51" s="229"/>
      <c r="BE51" s="229"/>
      <c r="BF51" s="229"/>
      <c r="BG51" s="229"/>
      <c r="BH51" s="198"/>
    </row>
    <row r="52" spans="1:76" x14ac:dyDescent="0.35">
      <c r="H52" s="201" t="s">
        <v>63</v>
      </c>
      <c r="I52" s="201"/>
      <c r="J52" s="197"/>
      <c r="K52" s="231" cm="1">
        <f t="array" ref="K52">(_xlfn.XLOOKUP(1,($A$2=Wholesale_DistributionZone)*($K$46=Wholesale_CustomerType)*($K$47=Wholesale_TariffType)*("Total"=Wholesale_Description),Wholesale_PY_FixedFees)*1.1/365)*100</f>
        <v>4.1695256295746885</v>
      </c>
      <c r="L52" s="231" cm="1">
        <f t="array" ref="L52">_xlfn.XLOOKUP(1,($A$2=Wholesale_DistributionZone)*($K$46=Wholesale_CustomerType)*($K$47=Wholesale_TariffType)*("Total"=Wholesale_Description),Wholesale_PY_VarFees)*1.1/10</f>
        <v>19.309424160043246</v>
      </c>
      <c r="M52" s="232"/>
      <c r="N52" s="233"/>
      <c r="O52" s="231" cm="1">
        <f t="array" ref="O52">(_xlfn.XLOOKUP(1,($A$2=Wholesale_DistributionZone)*($K$46=Wholesale_CustomerType)*($K$47=Wholesale_TariffType)*("Total"=Wholesale_Description),Wholesale_FY_FixedFees)*1.1/365)*100</f>
        <v>3.9556</v>
      </c>
      <c r="P52" s="231" cm="1">
        <f t="array" ref="P52">_xlfn.XLOOKUP(1,($A$2=Wholesale_DistributionZone)*($K$46=Wholesale_CustomerType)*($K$47=Wholesale_TariffType)*("Total"=Wholesale_Description),Wholesale_FY_VarFees)*1.1/10</f>
        <v>16.627948810022669</v>
      </c>
      <c r="Q52" s="198"/>
      <c r="S52" s="232"/>
      <c r="T52" s="685" cm="1">
        <f t="array" ref="T52">(_xlfn.XLOOKUP(1,($A$2=Wholesale_DistributionZone)*($T$46=Wholesale_CustomerType)*($T$47=Wholesale_TariffType)*("Total"=Wholesale_Description),Wholesale_PY_FixedFees)*1.1/365)*100</f>
        <v>0</v>
      </c>
      <c r="U52" s="685" cm="1">
        <f t="array" ref="U52">_xlfn.XLOOKUP(1,($A$2=Wholesale_DistributionZone)*($T$46=Wholesale_CustomerType)*($T$47=Wholesale_TariffType)*("Total"=Wholesale_Description),Wholesale_PY_VarFees)*1.1/10</f>
        <v>0</v>
      </c>
      <c r="V52" s="686" cm="1">
        <f t="array" ref="V52">_xlfn.XLOOKUP(1,($A$2=Wholesale_DistributionZone)*($T$46=Wholesale_CustomerType)*(V$45=Wholesale_TariffType)*("Total"=Wholesale_Description),Wholesale_PY_VarFees)*1.1/10</f>
        <v>0</v>
      </c>
      <c r="W52" s="233"/>
      <c r="X52" s="231" cm="1">
        <f t="array" ref="X52">(_xlfn.XLOOKUP(1,($A$2=Wholesale_DistributionZone)*($K$46=Wholesale_CustomerType)*($T$47=Wholesale_TariffType)*("Total"=Wholesale_Description),Wholesale_FY_FixedFees)*1.1/365)*100</f>
        <v>3.9556</v>
      </c>
      <c r="Y52" s="231" cm="1">
        <f t="array" ref="Y52">_xlfn.XLOOKUP(1,($A$2=Wholesale_DistributionZone)*($T$46=Wholesale_CustomerType)*($Y$45=Wholesale_TariffType)*("Total"=Wholesale_Description),Wholesale_FY_VarFees)*1.1/10</f>
        <v>18.620161160290369</v>
      </c>
      <c r="Z52" s="232" cm="1">
        <f t="array" ref="Z52">_xlfn.XLOOKUP(1,($A$2=Wholesale_DistributionZone)*($T$46=Wholesale_CustomerType)*(Z$45=Wholesale_TariffType)*("Total"=Wholesale_Description),Wholesale_FY_VarFees)*1.1/10</f>
        <v>14.51668894914069</v>
      </c>
      <c r="AA52" s="232"/>
      <c r="AB52" s="232"/>
      <c r="AC52" s="232" cm="1">
        <f t="array" ref="AC52">_xlfn.XLOOKUP(1,($A$2=Wholesale_DistributionZone)*($AC$46=Wholesale_CustomerType)*(AC$47=Wholesale_TariffType)*("Total"=Wholesale_Description),Wholesale_PY_FixedFees)*1.1/365*100</f>
        <v>4.1695256295746885</v>
      </c>
      <c r="AD52" s="232" cm="1">
        <f t="array" ref="AD52">_xlfn.XLOOKUP(1,($A$2=Wholesale_DistributionZone)*($AC$46=Wholesale_CustomerType)*(AC$47=Wholesale_TariffType)*("Total"=Wholesale_Description),Wholesale_PY_VarFees)*1.1/10</f>
        <v>19.309424160043246</v>
      </c>
      <c r="AE52" s="232"/>
      <c r="AF52" s="233"/>
      <c r="AG52" s="232" cm="1">
        <f t="array" ref="AG52">_xlfn.XLOOKUP(1,($A$2=Wholesale_DistributionZone)*($AC$46=Wholesale_CustomerType)*(AC$47=Wholesale_TariffType)*("Total"=Wholesale_Description),Wholesale_FY_FixedFees)*1.1/365*100</f>
        <v>3.9556</v>
      </c>
      <c r="AH52" s="232" cm="1">
        <f t="array" ref="AH52">_xlfn.XLOOKUP(1,($A$2=Wholesale_DistributionZone)*($AC$46=Wholesale_CustomerType)*(AC$47=Wholesale_TariffType)*("Total"=Wholesale_Description),Wholesale_FY_VarFees)*1.1/10</f>
        <v>16.627948810022669</v>
      </c>
      <c r="AI52" s="232"/>
      <c r="AJ52" s="232"/>
      <c r="AK52" s="666" cm="1">
        <f t="array" ref="AK52">_xlfn.XLOOKUP(1,($A$2=Wholesale_DistributionZone)*($AK$46=Wholesale_CustomerType)*(AK$50=Wholesale_TariffType)*("Total"=Wholesale_Description),Wholesale_PY_FixedFees)*1.1/365*100</f>
        <v>0</v>
      </c>
      <c r="AL52" s="666" cm="1">
        <f t="array" ref="AL52">_xlfn.XLOOKUP(1,($A$2=Wholesale_DistributionZone)*($AK$46=Wholesale_CustomerType)*(AL$45=Wholesale_TariffType)*("Total"=Wholesale_Description),Wholesale_PY_VarFees)*1.1/10</f>
        <v>0</v>
      </c>
      <c r="AM52" s="666" cm="1">
        <f t="array" ref="AM52">_xlfn.XLOOKUP(1,($A$2=Wholesale_DistributionZone)*($AK$46=Wholesale_CustomerType)*(AM$45=Wholesale_TariffType)*("Total"=Wholesale_Description),Wholesale_PY_VarFees)*1.1/10</f>
        <v>0</v>
      </c>
      <c r="AN52" s="286"/>
      <c r="AO52" s="235"/>
      <c r="AP52" s="232" cm="1">
        <f t="array" ref="AP52">_xlfn.XLOOKUP(1,($A$2=Wholesale_DistributionZone)*($AK$46=Wholesale_CustomerType)*(AP$50=Wholesale_TariffType)*("Total"=Wholesale_Description),Wholesale_FY_FixedFees)*1.1/365*100</f>
        <v>3.9556</v>
      </c>
      <c r="AQ52" s="232" cm="1">
        <f t="array" ref="AQ52">_xlfn.XLOOKUP(1,($A$2=Wholesale_DistributionZone)*($AK$46=Wholesale_CustomerType)*(AQ$45=Wholesale_TariffType)*("Total"=Wholesale_Description),Wholesale_FY_VarFees)*1.1/10</f>
        <v>18.929257450196488</v>
      </c>
      <c r="AR52" s="232" cm="1">
        <f t="array" ref="AR52">_xlfn.XLOOKUP(1,($A$2=Wholesale_DistributionZone)*($AK$46=Wholesale_CustomerType)*(AR$45=Wholesale_TariffType)*("Total"=Wholesale_Description),Wholesale_FY_VarFees)*1.1/10</f>
        <v>14.825785239046812</v>
      </c>
      <c r="AS52" s="232"/>
      <c r="AT52" s="232"/>
      <c r="AU52" s="198"/>
      <c r="AV52" s="30"/>
      <c r="AW52" s="552" t="s">
        <v>63</v>
      </c>
      <c r="AX52" s="232"/>
      <c r="AY52" s="231" cm="1">
        <f t="array" ref="AY52">(_xlfn.XLOOKUP(1,($A$2=Wholesale_DistributionZone)*($AY$46=Wholesale_CustomerType)*($AY$45=Wholesale_TariffType)*("Total"=Wholesale_Description),Wholesale_FY_FixedFees)*1.1/365)*100</f>
        <v>3.9556</v>
      </c>
      <c r="AZ52" s="231" cm="1">
        <f t="array" ref="AZ52">_xlfn.XLOOKUP(1,($A$2=Wholesale_DistributionZone)*($AY$46=Wholesale_CustomerType)*($AZ$45=Wholesale_TariffType)*("Total"=Wholesale_Description),Wholesale_FY_VarFees)*1.1/10</f>
        <v>18.620161160290369</v>
      </c>
      <c r="BA52" s="232" cm="1">
        <f t="array" ref="BA52">_xlfn.XLOOKUP(1,($A$2=Wholesale_DistributionZone)*($AY$46=Wholesale_CustomerType)*(BA$45=Wholesale_TariffType)*("Total"=Wholesale_Description),Wholesale_FY_VarFees)*1.1/10</f>
        <v>14.51668894914069</v>
      </c>
      <c r="BB52" s="232"/>
      <c r="BC52" s="235"/>
      <c r="BD52" s="232"/>
      <c r="BE52" s="232"/>
      <c r="BF52" s="232"/>
      <c r="BG52" s="232"/>
      <c r="BH52" s="198"/>
    </row>
    <row r="53" spans="1:76" x14ac:dyDescent="0.35">
      <c r="H53" s="201" t="s">
        <v>62</v>
      </c>
      <c r="I53" s="201"/>
      <c r="J53" s="197"/>
      <c r="K53" s="231" cm="1">
        <f t="array" ref="K53">(_xlfn.XLOOKUP(1,($A$2=Network_DistributionZone)*($K$46=Network_CustomerType)*($K$47=Network_TariffType)*("Total"=Network_Description),Network_PY_FixedFees)*1.1/365)*100</f>
        <v>151.53231819631267</v>
      </c>
      <c r="L53" s="231" cm="1">
        <f t="array" ref="L53">_xlfn.XLOOKUP(1,($A$2=Network_DistributionZone)*($K$46=Network_CustomerType)*($K$47=Network_TariffType)*("Total"=Network_Description),Network_PY_VarFees)*1.1/10</f>
        <v>15.12799790277281</v>
      </c>
      <c r="M53" s="232"/>
      <c r="N53" s="233"/>
      <c r="O53" s="231" cm="1">
        <f t="array" ref="O53">(_xlfn.XLOOKUP(1,($A$2=Network_DistributionZone)*($K$46=Network_CustomerType)*("Blended"=Network_TariffType)*("Total"=Network_Description),Network_FY_FixedFees)*1.1/365)*100</f>
        <v>161.74343139912989</v>
      </c>
      <c r="P53" s="231" cm="1">
        <f t="array" ref="P53">_xlfn.XLOOKUP(1,($A$2=Network_DistributionZone)*($K$46=Network_CustomerType)*("Blended"=Network_TariffType)*("Total"=Network_Description),Network_FY_VarFees)*1.1/10</f>
        <v>15.057922404531888</v>
      </c>
      <c r="Q53" s="198"/>
      <c r="S53" s="232"/>
      <c r="T53" s="685" cm="1">
        <f t="array" ref="T53">(_xlfn.XLOOKUP(1,($A$2=Network_DistributionZone)*($T$46=Network_CustomerType)*($T$47=Network_TariffType)*("Total"=Network_Description),Network_PY_FixedFees)*1.1/365)*100</f>
        <v>0</v>
      </c>
      <c r="U53" s="685" cm="1">
        <f t="array" ref="U53">_xlfn.XLOOKUP(1,($A$2=Network_DistributionZone)*($T$46=Network_CustomerType)*($T$47=Network_TariffType)*("Total"=Network_Description),Network_PY_VarFees)*1.1/10</f>
        <v>0</v>
      </c>
      <c r="V53" s="686" cm="1">
        <f t="array" ref="V53">_xlfn.XLOOKUP(1,($A$2=Network_DistributionZone)*($T$46=Network_CustomerType)*(V$45=Network_TariffType),Network_PY_VarFees)*1.1/10</f>
        <v>0</v>
      </c>
      <c r="W53" s="233"/>
      <c r="X53" s="231" cm="1">
        <f t="array" ref="X53">(_xlfn.XLOOKUP(1,($A$2=Network_DistributionZone)*($T$46=Network_CustomerType)*($T$47=Network_TariffType)*("Total"=Network_Description),Network_FY_FixedFees)*1.1/365)*100</f>
        <v>161.74343139912989</v>
      </c>
      <c r="Y53" s="231" cm="1">
        <f t="array" ref="Y53">(_xlfn.XLOOKUP(1,($A$2=Network_DistributionZone)*($AY$46=Network_CustomerType)*($Y$45=Network_TariffType),Network_FY_VarFees))*1.1/10</f>
        <v>19.752289691124872</v>
      </c>
      <c r="Z53" s="232" cm="1">
        <f t="array" ref="Z53">_xlfn.XLOOKUP(1,($A$2=Network_DistributionZone)*($T$46=Network_CustomerType)*(Z$45=Network_TariffType),Network_FY_VarFees)*1.1/10</f>
        <v>6.9602685245826477</v>
      </c>
      <c r="AA53" s="232"/>
      <c r="AB53" s="232"/>
      <c r="AC53" s="232" cm="1">
        <f t="array" ref="AC53">_xlfn.XLOOKUP(1,($A$2=Network_DistributionZone)*($AC$46=Network_CustomerType)*(AC$47=Network_TariffType)*("Total"=Network_Description),Network_PY_FixedFees)*1.1/365*100</f>
        <v>244.51725456022723</v>
      </c>
      <c r="AD53" s="232" cm="1">
        <f t="array" ref="AD53">_xlfn.XLOOKUP(1,($A$2=Network_DistributionZone)*($AC$46=Network_CustomerType)*(AC$47=Network_TariffType)*("Total"=Network_Description),Network_PY_VarFees)*1.1/10</f>
        <v>20.666564760620243</v>
      </c>
      <c r="AE53" s="232"/>
      <c r="AF53" s="233"/>
      <c r="AG53" s="232" cm="1">
        <f t="array" ref="AG53">_xlfn.XLOOKUP(1,($A$2=Network_DistributionZone)*($AC$46=Network_CustomerType)*("Blended"=Network_TariffType)*("Total"=Network_Description),Network_FY_FixedFees)*1.1/365*100</f>
        <v>261.62190638819465</v>
      </c>
      <c r="AH53" s="232" cm="1">
        <f t="array" ref="AH53">_xlfn.XLOOKUP(1,($A$2=Network_DistributionZone)*($AC$46=Network_CustomerType)*("Blended"=Network_TariffType)*("Total"=Network_Description),Network_FY_VarFees)*1.1/10</f>
        <v>20.097515025487617</v>
      </c>
      <c r="AI53" s="232"/>
      <c r="AJ53" s="232"/>
      <c r="AK53" s="666" cm="1">
        <f t="array" ref="AK53">_xlfn.XLOOKUP(1,($A$2=Network_DistributionZone)*($AK$46=Network_CustomerType)*(AK$50=Network_TariffType)*("Total"=Network_Description),Network_PY_FixedFees)*1.1/365*100</f>
        <v>0</v>
      </c>
      <c r="AL53" s="666" cm="1">
        <f t="array" ref="AL53">_xlfn.XLOOKUP(1,($A$2=Network_DistributionZone)*($AK$46=Network_CustomerType)*(AL$45=Network_TariffType),Network_PY_VarFees)*1.1/10</f>
        <v>0</v>
      </c>
      <c r="AM53" s="666" cm="1">
        <f t="array" ref="AM53">_xlfn.XLOOKUP(1,($A$2=Network_DistributionZone)*($AK$46=Network_CustomerType)*(AM$45=Network_TariffType),Network_PY_VarFees)*1.1/10</f>
        <v>0</v>
      </c>
      <c r="AN53" s="286"/>
      <c r="AO53" s="235"/>
      <c r="AP53" s="232" cm="1">
        <f t="array" ref="AP53">_xlfn.XLOOKUP(1,($A$2=Network_DistributionZone)*($AK$46=Network_CustomerType)*(AP$50=Network_TariffType)*("Total"=Network_Description),Network_FY_FixedFees)*1.1/365*100</f>
        <v>261.62190638819465</v>
      </c>
      <c r="AQ53" s="232" cm="1">
        <f t="array" ref="AQ53">_xlfn.XLOOKUP(1,($A$2=Network_DistributionZone)*($AK$46=Network_CustomerType)*(AQ$45=Network_TariffType),Network_FY_VarFees)*1.1/10</f>
        <v>20.871543690477374</v>
      </c>
      <c r="AR53" s="232" cm="1">
        <f t="array" ref="AR53">_xlfn.XLOOKUP(1,($A$2=Network_DistributionZone)*($AK$46=Network_CustomerType)*(AR$45=Network_TariffType),Network_FY_VarFees)*1.1/10</f>
        <v>9.4586910672464111</v>
      </c>
      <c r="AS53" s="232"/>
      <c r="AT53" s="232"/>
      <c r="AU53" s="198"/>
      <c r="AV53" s="30"/>
      <c r="AW53" s="552" t="s">
        <v>62</v>
      </c>
      <c r="AX53" s="232"/>
      <c r="AY53" s="231" cm="1">
        <f t="array" ref="AY53">(_xlfn.XLOOKUP(1,($A$2=Network_DistributionZone)*($AY$46=Network_CustomerType)*($AY$45=Network_TariffType)*("Total"=Network_Description),Network_FY_FixedFees)*1.1/365)*100</f>
        <v>161.74343139912989</v>
      </c>
      <c r="AZ53" s="231" cm="1">
        <f t="array" ref="AZ53">(_xlfn.XLOOKUP(1,($A$2=Network_DistributionZone)*($AY$46=Network_CustomerType)*($AZ$45=Network_TariffType),Network_FY_VarFees))*1.1/10</f>
        <v>19.752289691124872</v>
      </c>
      <c r="BA53" s="232" cm="1">
        <f t="array" ref="BA53">_xlfn.XLOOKUP(1,($A$2=Network_DistributionZone)*($AY$46=Network_CustomerType)*(BA$45=Network_TariffType),Network_FY_VarFees)*1.1/10</f>
        <v>6.9602685245826477</v>
      </c>
      <c r="BB53" s="232"/>
      <c r="BC53" s="235"/>
      <c r="BD53" s="232"/>
      <c r="BE53" s="232"/>
      <c r="BF53" s="232"/>
      <c r="BG53" s="232"/>
      <c r="BH53" s="198"/>
    </row>
    <row r="54" spans="1:76" x14ac:dyDescent="0.35">
      <c r="H54" s="201" t="s">
        <v>64</v>
      </c>
      <c r="I54" s="201"/>
      <c r="J54" s="197"/>
      <c r="K54" s="231" cm="1">
        <f t="array" ref="K54">(_xlfn.XLOOKUP(1,($A$2=Enviro_DistributionZone)*($K$46=Enviro_CustomerType)*($K$47=Enviro_TariffType)*("Total"=Enviro_Description),Enviro_PY_FixedFees)*1.1/365)*100</f>
        <v>0</v>
      </c>
      <c r="L54" s="231" cm="1">
        <f t="array" ref="L54">_xlfn.XLOOKUP(1,($A$2=Enviro_DistributionZone)*($K$46=Enviro_CustomerType)*($K$47=Enviro_TariffType)*("Total"=Enviro_Description),Enviro_PY_VarFees)*1.1/10</f>
        <v>1.7428349253824671</v>
      </c>
      <c r="M54" s="232"/>
      <c r="N54" s="233"/>
      <c r="O54" s="231" cm="1">
        <f t="array" ref="O54">(_xlfn.XLOOKUP(1,($A$2=Enviro_DistributionZone)*($K$46=Enviro_CustomerType)*($K$47=Enviro_TariffType)*("Total"=Enviro_Description),Enviro_FY_FixedFees)*1.1/365)*100</f>
        <v>0</v>
      </c>
      <c r="P54" s="231" cm="1">
        <f t="array" ref="P54">_xlfn.XLOOKUP(1,($A$2=Enviro_DistributionZone)*($K$46=Enviro_CustomerType)*($K$47=Enviro_TariffType)*("Total"=Enviro_Description),Enviro_FY_VarFees)*1.1/10</f>
        <v>1.219199823422205</v>
      </c>
      <c r="Q54" s="198"/>
      <c r="S54" s="232"/>
      <c r="T54" s="685" cm="1">
        <f t="array" ref="T54">_xlfn.IFNA((_xlfn.XLOOKUP(1,($A$2=Enviro_DistributionZone)*($T$46=Enviro_CustomerType)*($T$47=Enviro_TariffType)*("Total"=Enviro_Description),Enviro_PY_FixedFees)*1.1/365),0)*100</f>
        <v>0</v>
      </c>
      <c r="U54" s="685" cm="1">
        <f t="array" ref="U54">_xlfn.IFNA(_xlfn.XLOOKUP(1,($A$2=Enviro_DistributionZone)*($T$46=Enviro_CustomerType)*($T$47=Enviro_TariffType)*("Total"=Enviro_Description),Enviro_PY_VarFees),0)*1.1/10</f>
        <v>0</v>
      </c>
      <c r="V54" s="686" cm="1">
        <f t="array" ref="V54">_xlfn.XLOOKUP(1,($A$2=Enviro_DistributionZone)*($T$46=Enviro_CustomerType)*(V$45=Enviro_TariffType)*("Total"=Enviro_Description),Enviro_PY_VarFees)*1.1/10</f>
        <v>0</v>
      </c>
      <c r="W54" s="233"/>
      <c r="X54" s="231" cm="1">
        <f t="array" ref="X54">_xlfn.IFNA((_xlfn.XLOOKUP(1,($A$2=Enviro_DistributionZone)*($K$46=Enviro_CustomerType)*($T$47=Enviro_TariffType)*("Total"=Enviro_Description),Enviro_FY_FixedFees)*1.1/365),0)*100</f>
        <v>0</v>
      </c>
      <c r="Y54" s="231" cm="1">
        <f t="array" ref="Y54">_xlfn.IFNA(_xlfn.XLOOKUP(1,($A$2=Enviro_DistributionZone)*($T$46=Enviro_CustomerType)*($Y$45=Enviro_TariffType)*("Total"=Enviro_Description),Enviro_FY_VarFees),0)*1.1/10</f>
        <v>1.219199823422205</v>
      </c>
      <c r="Z54" s="232" cm="1">
        <f t="array" ref="Z54">_xlfn.XLOOKUP(1,($A$2=Enviro_DistributionZone)*($T$46=Enviro_CustomerType)*(Z$45=Enviro_TariffType)*("Total"=Enviro_Description),Enviro_FY_VarFees)*1.1/10</f>
        <v>1.219199823422205</v>
      </c>
      <c r="AA54" s="232"/>
      <c r="AB54" s="232"/>
      <c r="AC54" s="232" cm="1">
        <f t="array" ref="AC54">_xlfn.XLOOKUP(1,($A$2=Enviro_DistributionZone)*($AC$46=Enviro_CustomerType)*(AC$47=Enviro_TariffType)*("Total"=Enviro_Description),Enviro_PY_FixedFees)*1.1/365*100</f>
        <v>0</v>
      </c>
      <c r="AD54" s="232" cm="1">
        <f t="array" ref="AD54">_xlfn.XLOOKUP(1,($A$2=Enviro_DistributionZone)*($AC$46=Enviro_CustomerType)*(AC$47=Enviro_TariffType)*("Total"=Enviro_Description),Enviro_PY_VarFees)*1.1/10</f>
        <v>1.7428349253824671</v>
      </c>
      <c r="AE54" s="232"/>
      <c r="AF54" s="233"/>
      <c r="AG54" s="232" cm="1">
        <f t="array" ref="AG54">_xlfn.XLOOKUP(1,($A$2=Enviro_DistributionZone)*($AC$46=Enviro_CustomerType)*(AC$47=Enviro_TariffType)*("Total"=Enviro_Description),Enviro_FY_FixedFees)*1.1/365*100</f>
        <v>0</v>
      </c>
      <c r="AH54" s="232" cm="1">
        <f t="array" ref="AH54">_xlfn.XLOOKUP(1,($A$2=Enviro_DistributionZone)*($AC$46=Enviro_CustomerType)*(AC$47=Enviro_TariffType)*("Total"=Enviro_Description),Enviro_FY_VarFees)*1.1/10</f>
        <v>1.219199823422205</v>
      </c>
      <c r="AI54" s="232"/>
      <c r="AJ54" s="231"/>
      <c r="AK54" s="666" cm="1">
        <f t="array" ref="AK54">_xlfn.IFNA(_xlfn.XLOOKUP(1,($A$2=Enviro_DistributionZone)*($AK$46=Enviro_CustomerType)*(AK$50=Enviro_TariffType)*("Total"=Enviro_Description),Enviro_PY_FixedFees),0)*1.1/365*100</f>
        <v>0</v>
      </c>
      <c r="AL54" s="666" cm="1">
        <f t="array" ref="AL54">_xlfn.IFNA(_xlfn.XLOOKUP(1,($A$2=Enviro_DistributionZone)*($AK$46=Enviro_CustomerType)*(AL$45=Enviro_TariffType)*("Total"=Enviro_Description),Enviro_PY_VarFees),0)*1.1/10</f>
        <v>0</v>
      </c>
      <c r="AM54" s="666" cm="1">
        <f t="array" ref="AM54">_xlfn.IFNA(_xlfn.XLOOKUP(1,($A$2=Enviro_DistributionZone)*($AK$46=Enviro_CustomerType)*(AM$45=Enviro_TariffType)*("Total"=Enviro_Description),Enviro_PY_VarFees),0)*1.1/10</f>
        <v>0</v>
      </c>
      <c r="AN54" s="286"/>
      <c r="AO54" s="235"/>
      <c r="AP54" s="232" cm="1">
        <f t="array" ref="AP54">_xlfn.IFNA(_xlfn.XLOOKUP(1,($A$2=Enviro_DistributionZone)*($AK$46=Enviro_CustomerType)*($AP$50=Enviro_TariffType)*("Total"=Enviro_Description),Enviro_FY_FixedFees)*1.1/365,0)*100</f>
        <v>0</v>
      </c>
      <c r="AQ54" s="232" cm="1">
        <f t="array" ref="AQ54">_xlfn.XLOOKUP(1,($A$2=Enviro_DistributionZone)*($AK$46=Enviro_CustomerType)*(AQ$45=Enviro_TariffType)*("Total"=Enviro_Description),Enviro_FY_VarFees)*1.1/10</f>
        <v>1.219199823422205</v>
      </c>
      <c r="AR54" s="232" cm="1">
        <f t="array" ref="AR54">_xlfn.XLOOKUP(1,($A$2=Enviro_DistributionZone)*($AK$46=Enviro_CustomerType)*(AR$45=Enviro_TariffType)*("Total"=Enviro_Description),Enviro_FY_VarFees)*1.1/10</f>
        <v>1.219199823422205</v>
      </c>
      <c r="AS54" s="232"/>
      <c r="AT54" s="232"/>
      <c r="AU54" s="198"/>
      <c r="AV54" s="30"/>
      <c r="AW54" s="552" t="s">
        <v>64</v>
      </c>
      <c r="AX54" s="232"/>
      <c r="AY54" s="231" cm="1">
        <f t="array" ref="AY54">_xlfn.IFNA((_xlfn.XLOOKUP(1,($A$2=Enviro_DistributionZone)*($AY$46=Enviro_CustomerType)*($AY$45=Enviro_TariffType)*("Total"=Enviro_Description),Enviro_FY_FixedFees)*1.1/365),0)*100</f>
        <v>0</v>
      </c>
      <c r="AZ54" s="231" cm="1">
        <f t="array" ref="AZ54">_xlfn.IFNA(_xlfn.XLOOKUP(1,($A$2=Enviro_DistributionZone)*($AY$46=Enviro_CustomerType)*($AZ$45=Enviro_TariffType)*("Total"=Enviro_Description),Enviro_FY_VarFees),0)*1.1/10</f>
        <v>1.219199823422205</v>
      </c>
      <c r="BA54" s="232" cm="1">
        <f t="array" ref="BA54">_xlfn.XLOOKUP(1,($A$2=Enviro_DistributionZone)*($AY$46=Enviro_CustomerType)*(BA$45=Enviro_TariffType)*("Total"=Enviro_Description),Enviro_FY_VarFees)*1.1/10</f>
        <v>1.219199823422205</v>
      </c>
      <c r="BB54" s="232"/>
      <c r="BC54" s="235"/>
      <c r="BD54" s="232"/>
      <c r="BE54" s="232"/>
      <c r="BF54" s="232"/>
      <c r="BG54" s="232"/>
      <c r="BH54" s="198"/>
    </row>
    <row r="55" spans="1:76" x14ac:dyDescent="0.35">
      <c r="H55" s="201" t="s">
        <v>159</v>
      </c>
      <c r="I55" s="201"/>
      <c r="J55" s="197"/>
      <c r="K55" s="231" cm="1">
        <f t="array" ref="K55">((_xlfn.XLOOKUP(1,($A$2=Retail_DistributionZone)*($K$46=Retail_CustomerType)*($K$47=Retail_TariffType)*("Total"=Retail_Description),Retail_PY_FixedFees)*(1+CPIPY))*1.1/365)*100</f>
        <v>94.181233535096695</v>
      </c>
      <c r="L55" s="231" cm="1">
        <f t="array" ref="L55">(_xlfn.XLOOKUP(1,($A$2=Retail_DistributionZone)*($K$46=Retail_CustomerType)*($K$47=Retail_TariffType)*("Total"=Retail_Description),Retail_PY_VarFees)*(1+CPIPY))*1.1/10</f>
        <v>0</v>
      </c>
      <c r="M55" s="232"/>
      <c r="N55" s="233"/>
      <c r="O55" s="231" cm="1">
        <f t="array" ref="O55">((_xlfn.XLOOKUP(1,($A$2=Retail_DistributionZone)*($K$46=Retail_CustomerType)*($K$47=Retail_TariffType)*("Total"=Retail_Description),Retail_FY_FixedFees)*(1+CPI))*1.1/365)*100</f>
        <v>90.184745315717592</v>
      </c>
      <c r="P55" s="231" cm="1">
        <f t="array" ref="P55">(_xlfn.XLOOKUP(1,($A$2=Retail_DistributionZone)*($K$46=Retail_CustomerType)*($K$47=Retail_TariffType)*("Total"=Retail_Description),Retail_FY_VarFees)*(1+CPI))*1.1/10</f>
        <v>0</v>
      </c>
      <c r="Q55" s="198"/>
      <c r="S55" s="232"/>
      <c r="T55" s="685" cm="1">
        <f t="array" ref="T55">((_xlfn.XLOOKUP(1,($A$2=Retail_DistributionZone)*($T$46=Retail_CustomerType)*($T$47=Retail_TariffType)*("Total"=Retail_Description),Retail_PY_FixedFees)*(1+CPIPY))*1.1/365)*100</f>
        <v>0</v>
      </c>
      <c r="U55" s="685" cm="1">
        <f t="array" ref="U55">(_xlfn.XLOOKUP(1,($A$2=Retail_DistributionZone)*($K$46=Retail_CustomerType)*($K$47=Retail_TariffType)*("Total"=Retail_Description),Retail_PY_VarFees)*(1+CPIPY))*1.1/10</f>
        <v>0</v>
      </c>
      <c r="V55" s="686" cm="1">
        <f t="array" ref="V55">_xlfn.IFNA((_xlfn.XLOOKUP(1,($A$2=Retail_DistributionZone)*($T$46=Retail_CustomerType)*(V$45=Retail_TariffType)*("Total"=Retail_Description),Retail_PY_VarFees)*(1+CPIPY)),0)*1.1/10</f>
        <v>0</v>
      </c>
      <c r="W55" s="233"/>
      <c r="X55" s="231" cm="1">
        <f t="array" ref="X55">((_xlfn.XLOOKUP(1,($A$2=Retail_DistributionZone)*($T$46=Retail_CustomerType)*($T$47=Retail_TariffType)*("Total"=Retail_Description),Retail_FY_FixedFees)*(1+CPI))*1.1/365)*100</f>
        <v>90.184745315717592</v>
      </c>
      <c r="Y55" s="231" cm="1">
        <f t="array" ref="Y55">(_xlfn.XLOOKUP(1,($A$2=Retail_DistributionZone)*($T$46=Retail_CustomerType)*($T$47=Retail_TariffType)*("Total"=Retail_Description),Retail_FY_VarFees)*(1+CPI))*1.1/10</f>
        <v>0</v>
      </c>
      <c r="Z55" s="232" cm="1">
        <f t="array" ref="Z55">_xlfn.IFNA((_xlfn.XLOOKUP(1,($A$2=Retail_DistributionZone)*($T$46=Retail_CustomerType)*(Z$45=Retail_TariffType)*("Total"=Retail_Description),Retail_FY_VarFees)*(1+CPI)),0)*1.1/10</f>
        <v>0</v>
      </c>
      <c r="AA55" s="232"/>
      <c r="AB55" s="232"/>
      <c r="AC55" s="232" cm="1">
        <f t="array" ref="AC55">(_xlfn.XLOOKUP(1,($A$2=Retail_DistributionZone)*($AC$46=Retail_CustomerType)*(AC$47=Retail_TariffType)*("Total"=Retail_Description),Retail_PY_FixedFees)*(1+CPIPY))*1.1/365*100</f>
        <v>125.49202500699046</v>
      </c>
      <c r="AD55" s="232" cm="1">
        <f t="array" ref="AD55">(_xlfn.XLOOKUP(1,($A$2=Retail_DistributionZone)*($AC$46=Retail_CustomerType)*(AC$47=Retail_TariffType)*("Total"=Retail_Description),Retail_PY_VarFees)*(1+CPIPY))*1.1/10</f>
        <v>0</v>
      </c>
      <c r="AE55" s="232"/>
      <c r="AF55" s="233"/>
      <c r="AG55" s="232" cm="1">
        <f t="array" ref="AG55">(_xlfn.XLOOKUP(1,($A$2=Retail_DistributionZone)*($AC$46=Retail_CustomerType)*(AC$47=Retail_TariffType)*("Total"=Retail_Description),Retail_FY_FixedFees)*(1+CPI))*1.1/365*100</f>
        <v>115.73748852959385</v>
      </c>
      <c r="AH55" s="232" cm="1">
        <f t="array" ref="AH55">(_xlfn.XLOOKUP(1,($A$2=Retail_DistributionZone)*($AC$46=Retail_CustomerType)*(AC$47=Retail_TariffType)*("Total"=Retail_Description),Retail_FY_VarFees)*(1+CPI))*1.1/10</f>
        <v>0</v>
      </c>
      <c r="AI55" s="232"/>
      <c r="AJ55" s="232"/>
      <c r="AK55" s="666" cm="1">
        <f t="array" ref="AK55">(_xlfn.XLOOKUP(1,($A$2=Retail_DistributionZone)*($AK$46=Retail_CustomerType)*(AK$50=Retail_TariffType)*("Total"=Retail_Description),Retail_PY_FixedFees)*(1+CPIPY))*1.1/365*100</f>
        <v>0</v>
      </c>
      <c r="AL55" s="666" cm="1">
        <f t="array" ref="AL55">_xlfn.IFNA((_xlfn.XLOOKUP(1,($A$2=Retail_DistributionZone)*($AK$46=Retail_CustomerType)*($AY$47=Retail_TariffType)*("Total"=Retail_Description),Retail_PY_VarFees)*(1+CPIPY)),0)*1.1/10</f>
        <v>0</v>
      </c>
      <c r="AM55" s="666" cm="1">
        <f t="array" ref="AM55">_xlfn.IFNA(_xlfn.XLOOKUP(1,($A$2=Retail_DistributionZone)*($AK$46=Retail_CustomerType)*($AY$47=Retail_TariffType)*("Total"=Retail_Description),Retail_PY_VarFees)*(1+CPIPY),0)*1.1/10</f>
        <v>0</v>
      </c>
      <c r="AN55" s="286"/>
      <c r="AO55" s="235"/>
      <c r="AP55" s="232" cm="1">
        <f t="array" ref="AP55">(_xlfn.XLOOKUP(1,($A$2=Retail_DistributionZone)*($AK$46=Retail_CustomerType)*(AP$50=Retail_TariffType)*("Total"=Retail_Description),Retail_FY_FixedFees)*(1+CPI))*1.1/365*100</f>
        <v>115.73748852959385</v>
      </c>
      <c r="AQ55" s="232" cm="1">
        <f t="array" ref="AQ55">_xlfn.IFNA((_xlfn.XLOOKUP(1,($A$2=Retail_DistributionZone)*($AK$46=Retail_CustomerType)*(AQ$45=Retail_TariffType)*("Total"=Retail_Description),Retail_FY_VarFees)*(1+CPI)),0)*1.1/10</f>
        <v>0</v>
      </c>
      <c r="AR55" s="232" cm="1">
        <f t="array" ref="AR55">_xlfn.IFNA((_xlfn.XLOOKUP(1,($A$2=Retail_DistributionZone)*($AK$46=Retail_CustomerType)*(AR$45=Retail_TariffType)*("Total"=Retail_Description),Retail_FY_VarFees)*(1+CPI)),0)*1.1/10</f>
        <v>0</v>
      </c>
      <c r="AS55" s="232"/>
      <c r="AT55" s="232"/>
      <c r="AU55" s="198"/>
      <c r="AV55" s="30"/>
      <c r="AW55" s="552" t="s">
        <v>159</v>
      </c>
      <c r="AX55" s="232"/>
      <c r="AY55" s="231" cm="1">
        <f t="array" ref="AY55">((_xlfn.XLOOKUP(1,($A$2=Retail_DistributionZone)*($AY$46=Retail_CustomerType)*($AY$45=Retail_TariffType)*("Total"=Retail_Description),Retail_FY_FixedFees)*(1+CPI))*1.1/365)*100</f>
        <v>90.184745315717592</v>
      </c>
      <c r="AZ55" s="231" cm="1">
        <f t="array" ref="AZ55">(_xlfn.XLOOKUP(1,($A$2=Retail_DistributionZone)*($AY$46=Retail_CustomerType)*($AY$45=Retail_TariffType)*("Total"=Retail_Description),Retail_FY_VarFees)*(1+CPI))*1.1/10</f>
        <v>0</v>
      </c>
      <c r="BA55" s="232" cm="1">
        <f t="array" ref="BA55">_xlfn.IFNA((_xlfn.XLOOKUP(1,($A$2=Retail_DistributionZone)*($AY$46=Retail_CustomerType)*(BA$45=Retail_TariffType)*("Total"=Retail_Description),Retail_FY_VarFees)*(1+CPI)),0)*1.1/10</f>
        <v>0</v>
      </c>
      <c r="BB55" s="232"/>
      <c r="BC55" s="235"/>
      <c r="BD55" s="232"/>
      <c r="BE55" s="232"/>
      <c r="BF55" s="232"/>
      <c r="BG55" s="232"/>
      <c r="BH55" s="198"/>
    </row>
    <row r="56" spans="1:76" ht="14.5" thickBot="1" x14ac:dyDescent="0.4">
      <c r="H56" s="201" t="s">
        <v>261</v>
      </c>
      <c r="I56" s="201"/>
      <c r="J56" s="197"/>
      <c r="K56" s="231">
        <f>(SUM(K52:K55)/(1-RetailMargin_RES)-SUM(K52:K55))</f>
        <v>15.949983661339445</v>
      </c>
      <c r="L56" s="231">
        <f>SUM(L52:L55)/(1-RetailMargin_RES)-SUM(L52:L55)</f>
        <v>2.3093781056296976</v>
      </c>
      <c r="M56" s="232"/>
      <c r="N56" s="233"/>
      <c r="O56" s="231">
        <f>SUM(O52:O55)/(1-RetailMargin_RES)-SUM(O52:O55)</f>
        <v>16.333007024351957</v>
      </c>
      <c r="P56" s="231">
        <f>SUM(P52:P55)/(1-RetailMargin_RES)-SUM(P52:P55)</f>
        <v>2.1003236832751142</v>
      </c>
      <c r="Q56" s="198"/>
      <c r="S56" s="232"/>
      <c r="T56" s="685">
        <f>(SUM(T52:T55)/(1-RetailMargin_RES)-SUM(T52:T55))</f>
        <v>0</v>
      </c>
      <c r="U56" s="685">
        <f>SUM(U52:U55)/(1-RetailMargin_RES)-SUM(U52:U55)</f>
        <v>0</v>
      </c>
      <c r="V56" s="686">
        <f>SUM(V52:V55)/(1-RetailMargin_RES)-SUM(V52:V55)</f>
        <v>0</v>
      </c>
      <c r="W56" s="233"/>
      <c r="X56" s="231">
        <f>SUM(X52:X55)/(1-RetailMargin_RES)-SUM(X52:X55)</f>
        <v>16.333007024351957</v>
      </c>
      <c r="Y56" s="231">
        <f>SUM(Y52:Y55)/(1-RetailMargin_RES)-SUM(Y52:Y55)</f>
        <v>2.5271266388194107</v>
      </c>
      <c r="Z56" s="232">
        <f>SUM(Z52:Z55)/(1-RetailMargin_RES)-SUM(Z52:Z55)</f>
        <v>1.4486908913071623</v>
      </c>
      <c r="AA56" s="232"/>
      <c r="AB56" s="232"/>
      <c r="AC56" s="232">
        <f>SUM(AC52:AC55)/(1-RetailMargin_PY_SB)-SUM(AC52:AC55)</f>
        <v>46.246818619828275</v>
      </c>
      <c r="AD56" s="232">
        <f>SUM(AD52:AD55)/(1-RetailMargin_PY_SB)-SUM(AD52:AD55)</f>
        <v>5.1562591270393838</v>
      </c>
      <c r="AE56" s="232"/>
      <c r="AF56" s="233"/>
      <c r="AG56" s="232">
        <f>SUM(AG52:AG55)/(1-RetailMargin_FY_SB)-SUM(AG52:AG55)</f>
        <v>24.33925499475248</v>
      </c>
      <c r="AH56" s="232">
        <f>SUM(AH52:AH55)/(1-RetailMargin_FY_SB)-SUM(AH52:AH55)</f>
        <v>2.4219998080169702</v>
      </c>
      <c r="AI56" s="232"/>
      <c r="AJ56" s="232"/>
      <c r="AK56" s="666">
        <f>SUM(AK52:AK55)/(1-RetailMargin_FY_SB)-SUM(AK52:AK55)</f>
        <v>0</v>
      </c>
      <c r="AL56" s="666">
        <f>SUM(AL52:AL55)/(1-RetailMargin_FY_SB)-SUM(AL52:AL55)</f>
        <v>0</v>
      </c>
      <c r="AM56" s="666">
        <f>SUM(AM52:AM55)/(1-RetailMargin_FY_SB)-SUM(AM52:AM55)</f>
        <v>0</v>
      </c>
      <c r="AN56" s="286"/>
      <c r="AO56" s="235"/>
      <c r="AP56" s="232">
        <f>SUM(AP52:AP55)/(1-RetailMargin_FY_SB)-SUM(AP52:AP55)</f>
        <v>24.33925499475248</v>
      </c>
      <c r="AQ56" s="232">
        <f>SUM(AQ52:AQ55)/(1-RetailMargin_FY_SB)-SUM(AQ52:AQ55)</f>
        <v>2.6182979338784733</v>
      </c>
      <c r="AR56" s="232">
        <f>SUM(AR52:AR55)/(1-RetailMargin_FY_SB)-SUM(AR52:AR55)</f>
        <v>1.6278942210456684</v>
      </c>
      <c r="AS56" s="232"/>
      <c r="AT56" s="232"/>
      <c r="AU56" s="198"/>
      <c r="AV56" s="30"/>
      <c r="AW56" s="201" t="s">
        <v>261</v>
      </c>
      <c r="AX56" s="232"/>
      <c r="AY56" s="231">
        <f>SUM(AY52:AY55)/(1-RetailMargin_RES)-SUM(AY52:AY55)</f>
        <v>16.333007024351957</v>
      </c>
      <c r="AZ56" s="231">
        <f>SUM(AZ52:AZ55)/(1-RetailMargin_RES)-SUM(AZ52:AZ55)</f>
        <v>2.5271266388194107</v>
      </c>
      <c r="BA56" s="231">
        <f>SUM(BA52:BA55)/(1-RetailMargin_RES)-SUM(BA52:BA55)</f>
        <v>1.4486908913071623</v>
      </c>
      <c r="BB56" s="232"/>
      <c r="BC56" s="235"/>
      <c r="BD56" s="232"/>
      <c r="BE56" s="232"/>
      <c r="BF56" s="232"/>
      <c r="BG56" s="232"/>
      <c r="BH56" s="198"/>
    </row>
    <row r="57" spans="1:76" s="296" customFormat="1" ht="15" thickTop="1" thickBot="1" x14ac:dyDescent="0.4">
      <c r="H57" s="294" t="s">
        <v>55</v>
      </c>
      <c r="I57" s="294"/>
      <c r="J57" s="295"/>
      <c r="K57" s="236">
        <f>SUM(K52:K56)</f>
        <v>265.83306102232348</v>
      </c>
      <c r="L57" s="236">
        <f>SUM(L52:L56)</f>
        <v>38.48963509382822</v>
      </c>
      <c r="M57" s="236"/>
      <c r="N57" s="243"/>
      <c r="O57" s="236">
        <f>SUM(O52:O56)</f>
        <v>272.21678373919946</v>
      </c>
      <c r="P57" s="236">
        <f>SUM(P52:P56)</f>
        <v>35.005394721251882</v>
      </c>
      <c r="Q57" s="295"/>
      <c r="S57" s="236"/>
      <c r="T57" s="687">
        <f>SUM(T52:T56)</f>
        <v>0</v>
      </c>
      <c r="U57" s="687">
        <f>SUM(U52:U56)</f>
        <v>0</v>
      </c>
      <c r="V57" s="687">
        <f>SUM(V52:V56)</f>
        <v>0</v>
      </c>
      <c r="W57" s="243"/>
      <c r="X57" s="236">
        <f>SUM(X52:X56)</f>
        <v>272.21678373919946</v>
      </c>
      <c r="Y57" s="236">
        <f>SUM(Y52:Y56)</f>
        <v>42.118777313656857</v>
      </c>
      <c r="Z57" s="236">
        <f>SUM(Z52:Z56)</f>
        <v>24.144848188452706</v>
      </c>
      <c r="AA57" s="236"/>
      <c r="AB57" s="236"/>
      <c r="AC57" s="236">
        <f>SUM(AC52:AC56)</f>
        <v>420.42562381662066</v>
      </c>
      <c r="AD57" s="236">
        <f>SUM(AD52:AD56)</f>
        <v>46.875082973085341</v>
      </c>
      <c r="AE57" s="298"/>
      <c r="AF57" s="299"/>
      <c r="AG57" s="236">
        <f>SUM(AG52:AG56)</f>
        <v>405.65424991254099</v>
      </c>
      <c r="AH57" s="236">
        <f>SUM(AH52:AH56)</f>
        <v>40.366663466949461</v>
      </c>
      <c r="AI57" s="236"/>
      <c r="AJ57" s="236"/>
      <c r="AK57" s="667">
        <f>SUM(AK52:AK56)</f>
        <v>0</v>
      </c>
      <c r="AL57" s="667">
        <f>SUM(AL52:AL56)</f>
        <v>0</v>
      </c>
      <c r="AM57" s="667">
        <f>SUM(AM52:AM56)</f>
        <v>0</v>
      </c>
      <c r="AN57" s="297"/>
      <c r="AO57" s="298"/>
      <c r="AP57" s="236">
        <f>SUM(AP52:AP56)</f>
        <v>405.65424991254099</v>
      </c>
      <c r="AQ57" s="236">
        <f>SUM(AQ52:AQ56)</f>
        <v>43.638298897974543</v>
      </c>
      <c r="AR57" s="236">
        <f>SUM(AR52:AR56)</f>
        <v>27.131570350761095</v>
      </c>
      <c r="AS57" s="236"/>
      <c r="AT57" s="236"/>
      <c r="AU57" s="295"/>
      <c r="AW57" s="553" t="s">
        <v>339</v>
      </c>
      <c r="AX57" s="551"/>
      <c r="AY57" s="554" t="s">
        <v>247</v>
      </c>
      <c r="AZ57" s="551">
        <f>SSO!$J$22/10</f>
        <v>3.4509790642530129</v>
      </c>
      <c r="BA57" s="551">
        <f>SSO!$J$21/10</f>
        <v>3.4509790642530129</v>
      </c>
      <c r="BB57" s="551"/>
      <c r="BC57" s="298"/>
      <c r="BD57" s="236"/>
      <c r="BE57" s="236"/>
      <c r="BF57" s="236"/>
      <c r="BG57" s="236"/>
      <c r="BH57" s="295"/>
      <c r="BL57" s="211"/>
      <c r="BM57" s="211"/>
      <c r="BN57" s="211"/>
      <c r="BO57" s="211"/>
      <c r="BP57" s="211"/>
    </row>
    <row r="58" spans="1:76" ht="15" thickTop="1" thickBot="1" x14ac:dyDescent="0.4">
      <c r="H58" s="205"/>
      <c r="I58" s="205"/>
      <c r="J58" s="206"/>
      <c r="K58" s="237"/>
      <c r="L58" s="237"/>
      <c r="M58" s="207"/>
      <c r="N58" s="207"/>
      <c r="O58" s="237"/>
      <c r="P58" s="237"/>
      <c r="Q58" s="207"/>
      <c r="S58" s="207"/>
      <c r="T58" s="237"/>
      <c r="U58" s="237"/>
      <c r="V58" s="207"/>
      <c r="W58" s="207"/>
      <c r="X58" s="237"/>
      <c r="Y58" s="237"/>
      <c r="Z58" s="207"/>
      <c r="AA58" s="207"/>
      <c r="AB58" s="207"/>
      <c r="AC58" s="207"/>
      <c r="AD58" s="207"/>
      <c r="AE58" s="207"/>
      <c r="AF58" s="207"/>
      <c r="AG58" s="207"/>
      <c r="AH58" s="206"/>
      <c r="AI58" s="207"/>
      <c r="AJ58" s="207"/>
      <c r="AK58" s="206"/>
      <c r="AL58" s="206"/>
      <c r="AM58" s="206"/>
      <c r="AN58" s="206"/>
      <c r="AO58" s="206"/>
      <c r="AP58" s="206"/>
      <c r="AQ58" s="206"/>
      <c r="AR58" s="207"/>
      <c r="AS58" s="207"/>
      <c r="AT58" s="206"/>
      <c r="AU58" s="237"/>
      <c r="AV58" s="30"/>
      <c r="AW58" s="206" t="s">
        <v>55</v>
      </c>
      <c r="AX58" s="206"/>
      <c r="AY58" s="812">
        <f>SUM(AY52:AY57)</f>
        <v>272.21678373919946</v>
      </c>
      <c r="AZ58" s="812">
        <f>SUM(AZ52:AZ57)</f>
        <v>45.569756377909869</v>
      </c>
      <c r="BA58" s="812">
        <f>SUM(BA52:BA57)</f>
        <v>27.595827252705718</v>
      </c>
      <c r="BB58" s="206"/>
      <c r="BC58" s="206"/>
      <c r="BD58" s="206"/>
      <c r="BE58" s="206"/>
      <c r="BF58" s="207"/>
      <c r="BG58" s="207"/>
      <c r="BH58" s="206"/>
    </row>
    <row r="59" spans="1:76" s="585" customFormat="1" ht="14.5" thickTop="1" x14ac:dyDescent="0.35">
      <c r="A59" s="697" t="s">
        <v>380</v>
      </c>
      <c r="B59" s="160"/>
      <c r="C59" s="160"/>
      <c r="D59" s="160"/>
      <c r="E59" s="160"/>
      <c r="F59" s="160"/>
      <c r="G59" s="160"/>
      <c r="H59" s="160">
        <v>1</v>
      </c>
      <c r="I59" s="160">
        <v>2</v>
      </c>
      <c r="J59" s="160">
        <v>3</v>
      </c>
      <c r="K59" s="160">
        <v>4</v>
      </c>
      <c r="L59" s="160">
        <v>5</v>
      </c>
      <c r="M59" s="160">
        <f>L59+1</f>
        <v>6</v>
      </c>
      <c r="N59" s="160">
        <f t="shared" ref="N59:AS59" si="8">M59+1</f>
        <v>7</v>
      </c>
      <c r="O59" s="160">
        <f t="shared" si="8"/>
        <v>8</v>
      </c>
      <c r="P59" s="160">
        <f t="shared" si="8"/>
        <v>9</v>
      </c>
      <c r="Q59" s="160">
        <f t="shared" si="8"/>
        <v>10</v>
      </c>
      <c r="R59" s="160">
        <f t="shared" si="8"/>
        <v>11</v>
      </c>
      <c r="S59" s="160">
        <f t="shared" si="8"/>
        <v>12</v>
      </c>
      <c r="T59" s="160">
        <f t="shared" si="8"/>
        <v>13</v>
      </c>
      <c r="U59" s="160">
        <f t="shared" si="8"/>
        <v>14</v>
      </c>
      <c r="V59" s="160">
        <f t="shared" si="8"/>
        <v>15</v>
      </c>
      <c r="W59" s="160">
        <f t="shared" si="8"/>
        <v>16</v>
      </c>
      <c r="X59" s="160">
        <f t="shared" si="8"/>
        <v>17</v>
      </c>
      <c r="Y59" s="160">
        <f t="shared" si="8"/>
        <v>18</v>
      </c>
      <c r="Z59" s="160">
        <f t="shared" si="8"/>
        <v>19</v>
      </c>
      <c r="AA59" s="160">
        <f t="shared" si="8"/>
        <v>20</v>
      </c>
      <c r="AB59" s="160">
        <f t="shared" si="8"/>
        <v>21</v>
      </c>
      <c r="AC59" s="160">
        <f t="shared" si="8"/>
        <v>22</v>
      </c>
      <c r="AD59" s="160">
        <f t="shared" si="8"/>
        <v>23</v>
      </c>
      <c r="AE59" s="160">
        <f t="shared" si="8"/>
        <v>24</v>
      </c>
      <c r="AF59" s="160">
        <f t="shared" si="8"/>
        <v>25</v>
      </c>
      <c r="AG59" s="160">
        <f t="shared" si="8"/>
        <v>26</v>
      </c>
      <c r="AH59" s="160">
        <f t="shared" si="8"/>
        <v>27</v>
      </c>
      <c r="AI59" s="160">
        <f t="shared" si="8"/>
        <v>28</v>
      </c>
      <c r="AJ59" s="160">
        <f t="shared" si="8"/>
        <v>29</v>
      </c>
      <c r="AK59" s="160">
        <f t="shared" si="8"/>
        <v>30</v>
      </c>
      <c r="AL59" s="160">
        <f t="shared" si="8"/>
        <v>31</v>
      </c>
      <c r="AM59" s="160">
        <f t="shared" si="8"/>
        <v>32</v>
      </c>
      <c r="AN59" s="160">
        <f t="shared" si="8"/>
        <v>33</v>
      </c>
      <c r="AO59" s="160">
        <f t="shared" si="8"/>
        <v>34</v>
      </c>
      <c r="AP59" s="160">
        <f t="shared" si="8"/>
        <v>35</v>
      </c>
      <c r="AQ59" s="160">
        <f t="shared" si="8"/>
        <v>36</v>
      </c>
      <c r="AR59" s="160">
        <f t="shared" si="8"/>
        <v>37</v>
      </c>
      <c r="AS59" s="160">
        <f t="shared" si="8"/>
        <v>38</v>
      </c>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row>
    <row r="60" spans="1:76" s="585" customFormat="1" x14ac:dyDescent="0.35">
      <c r="A60" s="697" t="s">
        <v>380</v>
      </c>
      <c r="B60" s="160"/>
      <c r="C60" s="160"/>
      <c r="D60" s="160"/>
      <c r="E60" s="160"/>
      <c r="F60" s="160"/>
      <c r="G60" s="160"/>
      <c r="H60" s="160"/>
      <c r="I60" s="160"/>
      <c r="J60" s="160" t="s">
        <v>275</v>
      </c>
      <c r="K60" s="160"/>
      <c r="L60" s="160" cm="1">
        <f t="array" ref="L60">_xlfn.XLOOKUP(1,($A$2=Wholesale_DistributionZone)*(K46=Wholesale_CustomerType)*(K$47=Wholesale_TariffType),Wholesale_Usage)</f>
        <v>4600</v>
      </c>
      <c r="M60" s="160"/>
      <c r="N60" s="160"/>
      <c r="O60" s="160"/>
      <c r="P60" s="160" cm="1">
        <f t="array" ref="P60">_xlfn.XLOOKUP(1,($A$2=Wholesale_DistributionZone)*(K46=Wholesale_CustomerType)*(K$47=Wholesale_TariffType),Wholesale_Usage)</f>
        <v>4600</v>
      </c>
      <c r="Q60" s="160"/>
      <c r="R60" s="160"/>
      <c r="S60" s="160"/>
      <c r="T60" s="160" cm="1">
        <f t="array" ref="T60">_xlfn.XLOOKUP(1,($A$2=Wholesale_DistributionZone)*($T$46=Wholesale_CustomerType)*(T$45=Wholesale_TariffType),Wholesale_Usage)</f>
        <v>0</v>
      </c>
      <c r="U60" s="160" cm="1">
        <f t="array" ref="U60">_xlfn.XLOOKUP(1,($A$2=Wholesale_DistributionZone)*($T$46=Wholesale_CustomerType)*(U$45=Wholesale_TariffType),Wholesale_Usage)</f>
        <v>2366.7262406868213</v>
      </c>
      <c r="V60" s="160" cm="1">
        <f t="array" ref="V60">_xlfn.XLOOKUP(1,($A$2=Wholesale_DistributionZone)*($T$46=Wholesale_CustomerType)*(V$45=Wholesale_TariffType),Wholesale_Usage)</f>
        <v>2233.2737593131787</v>
      </c>
      <c r="W60" s="160"/>
      <c r="X60" s="160"/>
      <c r="Y60" s="160" cm="1">
        <f t="array" ref="Y60">_xlfn.XLOOKUP(1,($A$2=Wholesale_DistributionZone)*($T$46=Wholesale_CustomerType)*(Y$45=Wholesale_TariffType),Wholesale_Usage)</f>
        <v>2366.7262406868213</v>
      </c>
      <c r="Z60" s="160" cm="1">
        <f t="array" ref="Z60">_xlfn.XLOOKUP(1,($A$2=Wholesale_DistributionZone)*($T$46=Wholesale_CustomerType)*(Z$45=Wholesale_TariffType),Wholesale_Usage)</f>
        <v>2233.2737593131787</v>
      </c>
      <c r="AA60" s="160" cm="1">
        <f t="array" ref="AA60">_xlfn.XLOOKUP(1,($A$2=Wholesale_DistributionZone)*($T$46=Wholesale_CustomerType)*(AA$45=Wholesale_TariffType),Wholesale_Usage)</f>
        <v>0</v>
      </c>
      <c r="AB60" s="160"/>
      <c r="AC60" s="160"/>
      <c r="AD60" s="160" cm="1">
        <f t="array" ref="AD60">_xlfn.XLOOKUP(1,($A$2=Wholesale_DistributionZone)*(AC46=Wholesale_CustomerType)*(AC$47=Wholesale_TariffType),Wholesale_Usage)</f>
        <v>10000</v>
      </c>
      <c r="AE60" s="160"/>
      <c r="AF60" s="160"/>
      <c r="AG60" s="160"/>
      <c r="AH60" s="160" cm="1">
        <f t="array" ref="AH60">_xlfn.XLOOKUP(1,($A$2=Wholesale_DistributionZone)*(AC46=Wholesale_CustomerType)*(AC$47=Wholesale_TariffType),Wholesale_Usage)</f>
        <v>10000</v>
      </c>
      <c r="AI60" s="160"/>
      <c r="AJ60" s="160"/>
      <c r="AK60" s="160"/>
      <c r="AL60" s="160" cm="1">
        <f t="array" ref="AL60">_xlfn.XLOOKUP(1,($A$2=Wholesale_DistributionZone)*($T$46=Wholesale_CustomerType)*(AL$45=Wholesale_TariffType),Wholesale_Usage)</f>
        <v>2366.7262406868213</v>
      </c>
      <c r="AM60" s="160" cm="1">
        <f t="array" ref="AM60">_xlfn.XLOOKUP(1,($A$2=Wholesale_DistributionZone)*($T$46=Wholesale_CustomerType)*(AM$45=Wholesale_TariffType),Wholesale_Usage)</f>
        <v>2233.2737593131787</v>
      </c>
      <c r="AN60" s="160" cm="1">
        <f t="array" ref="AN60">_xlfn.XLOOKUP(1,($A$2=Wholesale_DistributionZone)*($T$46=Wholesale_CustomerType)*(AN$45=Wholesale_TariffType),Wholesale_Usage)</f>
        <v>4600</v>
      </c>
      <c r="AO60" s="160"/>
      <c r="AP60" s="160"/>
      <c r="AQ60" s="160" cm="1">
        <f t="array" ref="AQ60">_xlfn.XLOOKUP(1,($A$2=Wholesale_DistributionZone)*($AK$46=Wholesale_CustomerType)*(AQ$45=Wholesale_TariffType),Wholesale_Usage)</f>
        <v>4391.8015725295809</v>
      </c>
      <c r="AR60" s="160" cm="1">
        <f t="array" ref="AR60">_xlfn.XLOOKUP(1,($A$2=Wholesale_DistributionZone)*($AK$46=Wholesale_CustomerType)*(AR$45=Wholesale_TariffType),Wholesale_Usage)</f>
        <v>5608.19842747042</v>
      </c>
      <c r="AS60" s="160" cm="1">
        <f t="array" ref="AS60">_xlfn.XLOOKUP(1,($A$2=Wholesale_DistributionZone)*($AK$46=Wholesale_CustomerType)*(AS$45=Wholesale_TariffType),Wholesale_Usage)</f>
        <v>10000</v>
      </c>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row>
    <row r="61" spans="1:76" s="585" customFormat="1" x14ac:dyDescent="0.35">
      <c r="A61" s="697" t="s">
        <v>380</v>
      </c>
      <c r="B61" s="160"/>
      <c r="C61" s="160"/>
      <c r="D61" s="160"/>
      <c r="E61" s="160"/>
      <c r="F61" s="160"/>
      <c r="G61" s="160"/>
      <c r="H61" s="160"/>
      <c r="I61" s="160"/>
      <c r="J61" s="160" t="s">
        <v>273</v>
      </c>
      <c r="K61" s="160">
        <f>K57*365</f>
        <v>97029.067273148074</v>
      </c>
      <c r="L61" s="160">
        <f>L57*L60</f>
        <v>177052.3214316098</v>
      </c>
      <c r="M61" s="160"/>
      <c r="N61" s="160"/>
      <c r="O61" s="160">
        <f>O57*365</f>
        <v>99359.126064807802</v>
      </c>
      <c r="P61" s="160">
        <f>P57*P60</f>
        <v>161024.81571775867</v>
      </c>
      <c r="Q61" s="160"/>
      <c r="R61" s="160" t="s">
        <v>273</v>
      </c>
      <c r="S61" s="160">
        <f>S57*365</f>
        <v>0</v>
      </c>
      <c r="T61" s="160">
        <f>T57*T60</f>
        <v>0</v>
      </c>
      <c r="U61" s="160">
        <f>U57*U60</f>
        <v>0</v>
      </c>
      <c r="V61" s="160">
        <f>V57*V60</f>
        <v>0</v>
      </c>
      <c r="W61" s="160">
        <f>W57*W60</f>
        <v>0</v>
      </c>
      <c r="X61" s="160">
        <f>X57*365</f>
        <v>99359.126064807802</v>
      </c>
      <c r="Y61" s="160">
        <f>Y57*Y60</f>
        <v>99683.615493876467</v>
      </c>
      <c r="Z61" s="160">
        <f>Z57*Z60</f>
        <v>53922.055881871769</v>
      </c>
      <c r="AA61" s="160">
        <f>AA57*AA60</f>
        <v>0</v>
      </c>
      <c r="AB61" s="160">
        <f>AB57*AB60</f>
        <v>0</v>
      </c>
      <c r="AC61" s="160">
        <f>AC57*365</f>
        <v>153455.35269306655</v>
      </c>
      <c r="AD61" s="160">
        <f>AD57*AD60</f>
        <v>468750.82973085344</v>
      </c>
      <c r="AE61" s="160">
        <f>AE57*AE60</f>
        <v>0</v>
      </c>
      <c r="AF61" s="160"/>
      <c r="AG61" s="160">
        <f>AG57*365</f>
        <v>148063.80121807745</v>
      </c>
      <c r="AH61" s="160">
        <f>AH57*AH60</f>
        <v>403666.63466949464</v>
      </c>
      <c r="AI61" s="160"/>
      <c r="AJ61" s="160"/>
      <c r="AK61" s="160">
        <f>AK57*365</f>
        <v>0</v>
      </c>
      <c r="AL61" s="160">
        <f>AL57*AL60</f>
        <v>0</v>
      </c>
      <c r="AM61" s="160">
        <f>AM57*AM60</f>
        <v>0</v>
      </c>
      <c r="AN61" s="160">
        <f>AN57*AN60</f>
        <v>0</v>
      </c>
      <c r="AO61" s="160"/>
      <c r="AP61" s="160">
        <f>AP57*365</f>
        <v>148063.80121807745</v>
      </c>
      <c r="AQ61" s="160">
        <f>AQ57*AQ60</f>
        <v>191650.74972264047</v>
      </c>
      <c r="AR61" s="160">
        <f>AR57*AR60</f>
        <v>152159.23017594145</v>
      </c>
      <c r="AS61" s="160">
        <f>AS57*AS60</f>
        <v>0</v>
      </c>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f>BP57*BP60</f>
        <v>0</v>
      </c>
      <c r="BQ61" s="160">
        <f>BQ57*BQ60</f>
        <v>0</v>
      </c>
      <c r="BR61" s="160"/>
      <c r="BS61" s="160"/>
      <c r="BT61" s="160">
        <f>BT57*365</f>
        <v>0</v>
      </c>
      <c r="BU61" s="585">
        <f>BU57*BU60</f>
        <v>0</v>
      </c>
      <c r="BV61" s="585">
        <f>BV57*BV60</f>
        <v>0</v>
      </c>
      <c r="BW61" s="585">
        <f>BW57*BW60</f>
        <v>0</v>
      </c>
      <c r="BX61" s="585">
        <f>BX57*BX60</f>
        <v>0</v>
      </c>
    </row>
    <row r="62" spans="1:76" s="585" customFormat="1" x14ac:dyDescent="0.35">
      <c r="A62" s="697" t="s">
        <v>380</v>
      </c>
      <c r="B62" s="160"/>
      <c r="C62" s="160"/>
      <c r="D62" s="160"/>
      <c r="E62" s="160"/>
      <c r="F62" s="160"/>
      <c r="G62" s="160"/>
      <c r="H62" s="160"/>
      <c r="I62" s="160"/>
      <c r="J62" s="160" t="s">
        <v>373</v>
      </c>
      <c r="K62" s="160">
        <f>SUM(K61:L61)/100</f>
        <v>2740.8138870475791</v>
      </c>
      <c r="L62" s="160"/>
      <c r="M62" s="160"/>
      <c r="N62" s="160"/>
      <c r="O62" s="160">
        <f>SUM(O61:P61)/100</f>
        <v>2603.8394178256649</v>
      </c>
      <c r="P62" s="160"/>
      <c r="Q62" s="160"/>
      <c r="R62" s="160" t="s">
        <v>274</v>
      </c>
      <c r="S62" s="160">
        <f>SUM(S61:Y61)/100</f>
        <v>1990.4274155868427</v>
      </c>
      <c r="T62" s="160"/>
      <c r="U62" s="160"/>
      <c r="V62" s="160"/>
      <c r="W62" s="160"/>
      <c r="X62" s="160">
        <f>SUM(X61:AA61)/100</f>
        <v>2529.6479744055605</v>
      </c>
      <c r="Y62" s="160"/>
      <c r="Z62" s="160"/>
      <c r="AA62" s="160"/>
      <c r="AB62" s="160"/>
      <c r="AC62" s="160">
        <f>SUM(AC61:AD61)/100</f>
        <v>6222.0618242392002</v>
      </c>
      <c r="AD62" s="160"/>
      <c r="AE62" s="160"/>
      <c r="AF62" s="160"/>
      <c r="AG62" s="160">
        <f>SUM(AG61:AH61)/100</f>
        <v>5517.3043588757209</v>
      </c>
      <c r="AH62" s="160"/>
      <c r="AI62" s="160"/>
      <c r="AJ62" s="160"/>
      <c r="AK62" s="160">
        <f>SUM(AK61:AQ61)/100</f>
        <v>3397.1455094071794</v>
      </c>
      <c r="AL62" s="160"/>
      <c r="AM62" s="160"/>
      <c r="AN62" s="160"/>
      <c r="AO62" s="160"/>
      <c r="AP62" s="160">
        <f>SUM(AP61:AV61)/100</f>
        <v>4918.7378111665939</v>
      </c>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f>SUM(BT61:BY61)/100</f>
        <v>0</v>
      </c>
    </row>
    <row r="63" spans="1:76" s="688" customFormat="1" x14ac:dyDescent="0.35">
      <c r="AU63" s="689"/>
      <c r="AV63" s="689"/>
      <c r="AW63" s="689"/>
      <c r="AX63" s="689"/>
      <c r="AY63" s="689"/>
      <c r="AZ63" s="689"/>
      <c r="BA63" s="689"/>
      <c r="BB63" s="689"/>
    </row>
    <row r="64" spans="1:76" ht="14.5" x14ac:dyDescent="0.35">
      <c r="H64" s="217"/>
    </row>
  </sheetData>
  <sheetProtection algorithmName="SHA-256" hashValue="loQZJtdKiofYTEX+4NCpkyZfqFMp38+G2OrPZ/RuA4k=" saltValue="Rq5jt0+6rFh4I8iTtqVZOQ==" spinCount="100000" sheet="1" autoFilter="0"/>
  <mergeCells count="43">
    <mergeCell ref="Y49:Z49"/>
    <mergeCell ref="AL49:AN49"/>
    <mergeCell ref="AQ49:AS49"/>
    <mergeCell ref="U49:V49"/>
    <mergeCell ref="AK48:AN48"/>
    <mergeCell ref="AP48:AS48"/>
    <mergeCell ref="AG48:AH48"/>
    <mergeCell ref="K48:L48"/>
    <mergeCell ref="O48:P48"/>
    <mergeCell ref="T48:U48"/>
    <mergeCell ref="X48:Y48"/>
    <mergeCell ref="AC48:AD48"/>
    <mergeCell ref="K47:P47"/>
    <mergeCell ref="T47:Y47"/>
    <mergeCell ref="AC47:AH47"/>
    <mergeCell ref="AK47:AS47"/>
    <mergeCell ref="K46:P46"/>
    <mergeCell ref="T46:Y46"/>
    <mergeCell ref="AC46:AH46"/>
    <mergeCell ref="AK46:AS46"/>
    <mergeCell ref="J30:Q30"/>
    <mergeCell ref="S30:Z30"/>
    <mergeCell ref="K31:L31"/>
    <mergeCell ref="A1:B1"/>
    <mergeCell ref="B6:B7"/>
    <mergeCell ref="H29:H33"/>
    <mergeCell ref="J29:Q29"/>
    <mergeCell ref="S29:Z29"/>
    <mergeCell ref="N31:Q31"/>
    <mergeCell ref="T31:U31"/>
    <mergeCell ref="W31:Z31"/>
    <mergeCell ref="AY46:BA46"/>
    <mergeCell ref="AY47:BA47"/>
    <mergeCell ref="AY48:BA48"/>
    <mergeCell ref="AZ49:BA49"/>
    <mergeCell ref="AB29:AI29"/>
    <mergeCell ref="AB30:AI30"/>
    <mergeCell ref="AC31:AD31"/>
    <mergeCell ref="AF31:AI31"/>
    <mergeCell ref="AK29:AR29"/>
    <mergeCell ref="AK30:AR30"/>
    <mergeCell ref="AL31:AM31"/>
    <mergeCell ref="AO31:AR31"/>
  </mergeCells>
  <conditionalFormatting sqref="H58:P58 T51:Y58 S51 Z51 H51:Q57 Z57 S58">
    <cfRule type="expression" dxfId="1143" priority="112">
      <formula>AND(MOD(ROW(),2)=0,H$32="Proportion",$H51="Overall change in costs (%)")</formula>
    </cfRule>
  </conditionalFormatting>
  <conditionalFormatting sqref="H51:Q58">
    <cfRule type="expression" dxfId="1142" priority="111">
      <formula>MOD(ROW(),2)=0</formula>
    </cfRule>
  </conditionalFormatting>
  <conditionalFormatting sqref="H34:AR39 H40:O40 AA40:AG40 AJ40:AP40">
    <cfRule type="expression" dxfId="1141" priority="518">
      <formula>AND(MOD(ROW(),1)=0,H$32="Proportion",$H34="Overall change in costs (%)")</formula>
    </cfRule>
    <cfRule type="expression" dxfId="1140" priority="517">
      <formula>AND(MOD(ROW(),2)=0,H$32="Proportion",$H34="Overall change in costs (%)")</formula>
    </cfRule>
  </conditionalFormatting>
  <conditionalFormatting sqref="H34:AR40">
    <cfRule type="expression" dxfId="1139" priority="208">
      <formula>MOD(ROW(),2)=0</formula>
    </cfRule>
  </conditionalFormatting>
  <conditionalFormatting sqref="P40 Y40">
    <cfRule type="expression" dxfId="1138" priority="578">
      <formula>AND(MOD(ROW(),1)=0,#REF!="Proportion",$H40="Overall change in costs (%)")</formula>
    </cfRule>
    <cfRule type="expression" dxfId="1137" priority="577">
      <formula>AND(MOD(ROW(),2)=0,#REF!="Proportion",$H40="Overall change in costs (%)")</formula>
    </cfRule>
  </conditionalFormatting>
  <conditionalFormatting sqref="P58">
    <cfRule type="expression" dxfId="1136" priority="110">
      <formula>AND(MOD(ROW(),1)=0,#REF!="Proportion",$H58="Overall change in costs (%)")</formula>
    </cfRule>
    <cfRule type="expression" dxfId="1135" priority="109">
      <formula>AND(MOD(ROW(),2)=0,#REF!="Proportion",$H58="Overall change in costs (%)")</formula>
    </cfRule>
  </conditionalFormatting>
  <conditionalFormatting sqref="Q40 Z40 AI40 AR40">
    <cfRule type="expression" dxfId="1134" priority="575">
      <formula>AND(MOD(ROW(),1)=0,P$32="Proportion",$H40="Overall change in costs (%)")</formula>
    </cfRule>
    <cfRule type="expression" dxfId="1133" priority="574">
      <formula>AND(MOD(ROW(),2)=0,P$32="Proportion",$H40="Overall change in costs (%)")</formula>
    </cfRule>
  </conditionalFormatting>
  <conditionalFormatting sqref="Q58">
    <cfRule type="expression" dxfId="1132" priority="115">
      <formula>AND(MOD(ROW(),1)=0,P$32="Proportion",$H58="Overall change in costs (%)")</formula>
    </cfRule>
    <cfRule type="expression" dxfId="1131" priority="114">
      <formula>AND(MOD(ROW(),2)=0,P$32="Proportion",$H58="Overall change in costs (%)")</formula>
    </cfRule>
  </conditionalFormatting>
  <conditionalFormatting sqref="R40:X40">
    <cfRule type="expression" dxfId="1130" priority="521">
      <formula>AND(MOD(ROW(),1)=0,R$32="Proportion",$H40="Overall change in costs (%)")</formula>
    </cfRule>
    <cfRule type="expression" dxfId="1129" priority="520">
      <formula>AND(MOD(ROW(),2)=0,R$32="Proportion",$H40="Overall change in costs (%)")</formula>
    </cfRule>
  </conditionalFormatting>
  <conditionalFormatting sqref="S51 Z51 H51:Q57 T51:Y58 Z57 H58:P58 S58">
    <cfRule type="expression" dxfId="1128" priority="113">
      <formula>AND(MOD(ROW(),1)=0,H$32="Proportion",$H51="Overall change in costs (%)")</formula>
    </cfRule>
  </conditionalFormatting>
  <conditionalFormatting sqref="S52:S57">
    <cfRule type="expression" dxfId="1127" priority="144">
      <formula>AND(MOD(ROW(),1)=0,#REF!="Proportion",$H52="Overall change in costs (%)")</formula>
    </cfRule>
    <cfRule type="expression" dxfId="1126" priority="143">
      <formula>AND(MOD(ROW(),2)=0,#REF!="Proportion",$H52="Overall change in costs (%)")</formula>
    </cfRule>
  </conditionalFormatting>
  <conditionalFormatting sqref="S51:AU58">
    <cfRule type="expression" dxfId="1125" priority="83">
      <formula>MOD(ROW(),2)=0</formula>
    </cfRule>
  </conditionalFormatting>
  <conditionalFormatting sqref="Y58">
    <cfRule type="expression" dxfId="1124" priority="102">
      <formula>AND(MOD(ROW(),1)=0,#REF!="Proportion",$H58="Overall change in costs (%)")</formula>
    </cfRule>
    <cfRule type="expression" dxfId="1123" priority="101">
      <formula>AND(MOD(ROW(),2)=0,#REF!="Proportion",$H58="Overall change in costs (%)")</formula>
    </cfRule>
  </conditionalFormatting>
  <conditionalFormatting sqref="Z51">
    <cfRule type="expression" dxfId="1122" priority="82">
      <formula>MOD(ROW(),2)=0</formula>
    </cfRule>
  </conditionalFormatting>
  <conditionalFormatting sqref="AA51:AB51 AI51">
    <cfRule type="expression" dxfId="1121" priority="116">
      <formula>AND(MOD(ROW(),1)=0,Z$32="Proportion",$H51="Overall change in costs (%)")</formula>
    </cfRule>
    <cfRule type="expression" dxfId="1120" priority="104">
      <formula>AND(MOD(ROW(),2)=0,Z$32="Proportion",$H51="Overall change in costs (%)")</formula>
    </cfRule>
  </conditionalFormatting>
  <conditionalFormatting sqref="AA52:AB57">
    <cfRule type="expression" dxfId="1119" priority="122">
      <formula>AND(MOD(ROW(),2)=0,V$32="Proportion",$H52="Overall change in costs (%)")</formula>
    </cfRule>
    <cfRule type="expression" dxfId="1118" priority="121">
      <formula>AND(MOD(ROW(),1)=0,V$32="Proportion",$H52="Overall change in costs (%)")</formula>
    </cfRule>
  </conditionalFormatting>
  <conditionalFormatting sqref="AA58:AB58">
    <cfRule type="expression" dxfId="1117" priority="128">
      <formula>AND(MOD(ROW(),2)=0,X$32="Proportion",$H58="Overall change in costs (%)")</formula>
    </cfRule>
    <cfRule type="expression" dxfId="1116" priority="127">
      <formula>AND(MOD(ROW(),1)=0,X$32="Proportion",$H58="Overall change in costs (%)")</formula>
    </cfRule>
  </conditionalFormatting>
  <conditionalFormatting sqref="AC51:AD51 AG51:AN51 AP51:AT51 BD51:BG51 Z52:Z56 Z58">
    <cfRule type="expression" dxfId="1115" priority="120">
      <formula>AND(MOD(ROW(),2)=0,X$32="Proportion",$H51="Overall change in costs (%)")</formula>
    </cfRule>
  </conditionalFormatting>
  <conditionalFormatting sqref="AE51:AF51 AC52:AH57 AC58:AG58">
    <cfRule type="expression" dxfId="1114" priority="99">
      <formula>AND(MOD(ROW(),1)=0,S$32="Proportion",$H51="Overall change in costs (%)")</formula>
    </cfRule>
    <cfRule type="expression" dxfId="1113" priority="100">
      <formula>AND(MOD(ROW(),2)=0,S$32="Proportion",$H51="Overall change in costs (%)")</formula>
    </cfRule>
  </conditionalFormatting>
  <conditionalFormatting sqref="AG51:AN51 AC51:AD51 AP51:AT51 BD51:BG51 Z52:Z56 Z58">
    <cfRule type="expression" dxfId="1112" priority="119">
      <formula>AND(MOD(ROW(),1)=0,X$32="Proportion",$H51="Overall change in costs (%)")</formula>
    </cfRule>
  </conditionalFormatting>
  <conditionalFormatting sqref="AH40">
    <cfRule type="expression" dxfId="1111" priority="400">
      <formula>AND(MOD(ROW(),1)=0,#REF!="Proportion",$H40="Overall change in costs (%)")</formula>
    </cfRule>
    <cfRule type="expression" dxfId="1110" priority="399">
      <formula>AND(MOD(ROW(),2)=0,#REF!="Proportion",$H40="Overall change in costs (%)")</formula>
    </cfRule>
  </conditionalFormatting>
  <conditionalFormatting sqref="AH58">
    <cfRule type="expression" dxfId="1109" priority="98">
      <formula>AND(MOD(ROW(),1)=0,G$32="Proportion",$H58="Overall change in costs (%)")</formula>
    </cfRule>
    <cfRule type="expression" dxfId="1108" priority="97">
      <formula>AND(MOD(ROW(),2)=0,G$32="Proportion",$H58="Overall change in costs (%)")</formula>
    </cfRule>
  </conditionalFormatting>
  <conditionalFormatting sqref="AI52:AJ57">
    <cfRule type="expression" dxfId="1107" priority="124">
      <formula>AND(MOD(ROW(),2)=0,Z$32="Proportion",$H52="Overall change in costs (%)")</formula>
    </cfRule>
    <cfRule type="expression" dxfId="1106" priority="123">
      <formula>AND(MOD(ROW(),1)=0,Z$32="Proportion",$H52="Overall change in costs (%)")</formula>
    </cfRule>
  </conditionalFormatting>
  <conditionalFormatting sqref="AI58:AJ58">
    <cfRule type="expression" dxfId="1105" priority="134">
      <formula>AND(MOD(ROW(),2)=0,AE$32="Proportion",$H58="Overall change in costs (%)")</formula>
    </cfRule>
    <cfRule type="expression" dxfId="1104" priority="133">
      <formula>AND(MOD(ROW(),1)=0,AE$32="Proportion",$H58="Overall change in costs (%)")</formula>
    </cfRule>
  </conditionalFormatting>
  <conditionalFormatting sqref="AK58:AS58">
    <cfRule type="expression" dxfId="1103" priority="87">
      <formula>AND(MOD(ROW(),1)=0,I$32="Proportion",$H58="Overall change in costs (%)")</formula>
    </cfRule>
    <cfRule type="expression" dxfId="1102" priority="86">
      <formula>AND(MOD(ROW(),2)=0,I$32="Proportion",$H58="Overall change in costs (%)")</formula>
    </cfRule>
  </conditionalFormatting>
  <conditionalFormatting sqref="AM52:AO57">
    <cfRule type="expression" dxfId="1101" priority="88">
      <formula>AND(MOD(ROW(),1)=0,AA$32="Proportion",$H52="Overall change in costs (%)")</formula>
    </cfRule>
    <cfRule type="expression" dxfId="1100" priority="89">
      <formula>AND(MOD(ROW(),2)=0,AA$32="Proportion",$H52="Overall change in costs (%)")</formula>
    </cfRule>
  </conditionalFormatting>
  <conditionalFormatting sqref="AO51 AK52:AL57 AN52:AO57">
    <cfRule type="expression" dxfId="1099" priority="84">
      <formula>AND(MOD(ROW(),1)=0,Z$32="Proportion",$H51="Overall change in costs (%)")</formula>
    </cfRule>
    <cfRule type="expression" dxfId="1098" priority="85">
      <formula>AND(MOD(ROW(),2)=0,Z$32="Proportion",$H51="Overall change in costs (%)")</formula>
    </cfRule>
  </conditionalFormatting>
  <conditionalFormatting sqref="AP52:AR57">
    <cfRule type="expression" dxfId="1097" priority="91">
      <formula>AND(MOD(ROW(),2)=0,AC$32="Proportion",$H52="Overall change in costs (%)")</formula>
    </cfRule>
    <cfRule type="expression" dxfId="1096" priority="90">
      <formula>AND(MOD(ROW(),1)=0,AC$32="Proportion",$H52="Overall change in costs (%)")</formula>
    </cfRule>
  </conditionalFormatting>
  <conditionalFormatting sqref="AQ40">
    <cfRule type="expression" dxfId="1095" priority="391">
      <formula>AND(MOD(ROW(),1)=0,#REF!="Proportion",$H40="Overall change in costs (%)")</formula>
    </cfRule>
    <cfRule type="expression" dxfId="1094" priority="390">
      <formula>AND(MOD(ROW(),2)=0,#REF!="Proportion",$H40="Overall change in costs (%)")</formula>
    </cfRule>
  </conditionalFormatting>
  <conditionalFormatting sqref="AR52:AR57">
    <cfRule type="expression" dxfId="1093" priority="92">
      <formula>AND(MOD(ROW(),2)=0,AD$32="Proportion",$H52="Overall change in costs (%)")</formula>
    </cfRule>
    <cfRule type="expression" dxfId="1092" priority="93">
      <formula>AND(MOD(ROW(),1)=0,AD$32="Proportion",$H52="Overall change in costs (%)")</formula>
    </cfRule>
  </conditionalFormatting>
  <conditionalFormatting sqref="AS52:AS57">
    <cfRule type="expression" dxfId="1091" priority="95">
      <formula>AND(MOD(ROW(),1)=0,AG$32="Proportion",$H52="Overall change in costs (%)")</formula>
    </cfRule>
    <cfRule type="expression" dxfId="1090" priority="94">
      <formula>AND(MOD(ROW(),2)=0,AG$32="Proportion",$H52="Overall change in costs (%)")</formula>
    </cfRule>
  </conditionalFormatting>
  <conditionalFormatting sqref="AT58:AU58">
    <cfRule type="expression" dxfId="1089" priority="118">
      <formula>AND(MOD(ROW(),1)=0,S$32="Proportion",$H58="Overall change in costs (%)")</formula>
    </cfRule>
    <cfRule type="expression" dxfId="1088" priority="117">
      <formula>AND(MOD(ROW(),2)=0,S$32="Proportion",$H58="Overall change in costs (%)")</formula>
    </cfRule>
  </conditionalFormatting>
  <conditionalFormatting sqref="AU51 AT52:AU57">
    <cfRule type="expression" dxfId="1087" priority="126">
      <formula>AND(MOD(ROW(),2)=0,AJ$32="Proportion",$H51="Overall change in costs (%)")</formula>
    </cfRule>
    <cfRule type="expression" dxfId="1086" priority="125">
      <formula>AND(MOD(ROW(),1)=0,AJ$32="Proportion",$H51="Overall change in costs (%)")</formula>
    </cfRule>
  </conditionalFormatting>
  <conditionalFormatting sqref="AW56">
    <cfRule type="expression" dxfId="1085" priority="24">
      <formula>AND(MOD(ROW(),2)=0,AW$32="Proportion",$I56="Overall change in costs (%)")</formula>
    </cfRule>
    <cfRule type="expression" dxfId="1084" priority="25">
      <formula>AND(MOD(ROW(),1)=0,AW$32="Proportion",$I56="Overall change in costs (%)")</formula>
    </cfRule>
  </conditionalFormatting>
  <conditionalFormatting sqref="AW52:AX55 AX56">
    <cfRule type="expression" dxfId="1083" priority="28">
      <formula>AND(MOD(ROW(),2)=0,AJ$32="Proportion",$I52="Overall change in costs (%)")</formula>
    </cfRule>
    <cfRule type="expression" dxfId="1082" priority="27">
      <formula>AND(MOD(ROW(),1)=0,AJ$32="Proportion",$I52="Overall change in costs (%)")</formula>
    </cfRule>
  </conditionalFormatting>
  <conditionalFormatting sqref="AW52:AX57">
    <cfRule type="expression" dxfId="1081" priority="23">
      <formula>MOD(ROW(),2)=0</formula>
    </cfRule>
  </conditionalFormatting>
  <conditionalFormatting sqref="AW57:AX57">
    <cfRule type="expression" dxfId="1080" priority="40">
      <formula>AND(MOD(ROW(),1)=0,AJ$32="Proportion",$I56="Overall change in costs (%)")</formula>
    </cfRule>
    <cfRule type="expression" dxfId="1079" priority="41">
      <formula>AND(MOD(ROW(),2)=0,AJ$32="Proportion",$I56="Overall change in costs (%)")</formula>
    </cfRule>
  </conditionalFormatting>
  <conditionalFormatting sqref="AW58:AX58">
    <cfRule type="expression" dxfId="1078" priority="33">
      <formula>AND(MOD(ROW(),2)=0,U$32="Proportion",$I58="Overall change in costs (%)")</formula>
    </cfRule>
    <cfRule type="expression" dxfId="1077" priority="34">
      <formula>AND(MOD(ROW(),1)=0,U$32="Proportion",$I58="Overall change in costs (%)")</formula>
    </cfRule>
  </conditionalFormatting>
  <conditionalFormatting sqref="AW51:BB51 AZ57:BB58 AW58:AY58">
    <cfRule type="expression" dxfId="1076" priority="35">
      <formula>MOD(ROW(),2)=0</formula>
    </cfRule>
  </conditionalFormatting>
  <conditionalFormatting sqref="AW51:BB51">
    <cfRule type="expression" dxfId="1075" priority="37">
      <formula>AND(MOD(ROW(),1)=0,AW$32="Proportion",$I51="Overall change in costs (%)")</formula>
    </cfRule>
    <cfRule type="expression" dxfId="1074" priority="36">
      <formula>AND(MOD(ROW(),2)=0,AW$32="Proportion",$I51="Overall change in costs (%)")</formula>
    </cfRule>
  </conditionalFormatting>
  <conditionalFormatting sqref="AY52:AZ56">
    <cfRule type="expression" dxfId="1073" priority="4">
      <formula>AND(MOD(ROW(),2)=0,AY$32="Proportion",$H52="Overall change in costs (%)")</formula>
    </cfRule>
    <cfRule type="expression" dxfId="1072" priority="5">
      <formula>AND(MOD(ROW(),1)=0,AY$32="Proportion",$H52="Overall change in costs (%)")</formula>
    </cfRule>
  </conditionalFormatting>
  <conditionalFormatting sqref="AY58:BA58">
    <cfRule type="expression" dxfId="1071" priority="38">
      <formula>AND(MOD(ROW(),2)=0,AB$32="Proportion",$I58="Overall change in costs (%)")</formula>
    </cfRule>
    <cfRule type="expression" dxfId="1070" priority="39">
      <formula>AND(MOD(ROW(),1)=0,AB$32="Proportion",$I58="Overall change in costs (%)")</formula>
    </cfRule>
  </conditionalFormatting>
  <conditionalFormatting sqref="AY52:BB56">
    <cfRule type="expression" dxfId="1069" priority="3">
      <formula>MOD(ROW(),2)=0</formula>
    </cfRule>
  </conditionalFormatting>
  <conditionalFormatting sqref="AZ57">
    <cfRule type="expression" dxfId="1068" priority="47">
      <formula>AND(MOD(ROW(),1)=0,AQ$32="Proportion",$I56="Overall change in costs (%)")</formula>
    </cfRule>
    <cfRule type="expression" dxfId="1067" priority="46">
      <formula>AND(MOD(ROW(),2)=0,AQ$32="Proportion",$I56="Overall change in costs (%)")</formula>
    </cfRule>
    <cfRule type="expression" dxfId="1066" priority="44">
      <formula>AND(MOD(ROW(),1)=0,AR$32="Proportion",$I56="Overall change in costs (%)")</formula>
    </cfRule>
    <cfRule type="expression" dxfId="1065" priority="45">
      <formula>AND(MOD(ROW(),2)=0,AR$32="Proportion",$I56="Overall change in costs (%)")</formula>
    </cfRule>
  </conditionalFormatting>
  <conditionalFormatting sqref="BA52:BA56">
    <cfRule type="expression" dxfId="1064" priority="6">
      <formula>AND(MOD(ROW(),1)=0,AY$32="Proportion",$H52="Overall change in costs (%)")</formula>
    </cfRule>
    <cfRule type="expression" dxfId="1063" priority="7">
      <formula>AND(MOD(ROW(),2)=0,AY$32="Proportion",$H52="Overall change in costs (%)")</formula>
    </cfRule>
  </conditionalFormatting>
  <conditionalFormatting sqref="BA56">
    <cfRule type="expression" dxfId="1062" priority="2">
      <formula>AND(MOD(ROW(),1)=0,BA$32="Proportion",$H56="Overall change in costs (%)")</formula>
    </cfRule>
    <cfRule type="expression" dxfId="1061" priority="1">
      <formula>AND(MOD(ROW(),2)=0,BA$32="Proportion",$H56="Overall change in costs (%)")</formula>
    </cfRule>
  </conditionalFormatting>
  <conditionalFormatting sqref="BA57">
    <cfRule type="expression" dxfId="1060" priority="42">
      <formula>AND(MOD(ROW(),2)=0,AT$32="Proportion",$I56="Overall change in costs (%)")</formula>
    </cfRule>
    <cfRule type="expression" dxfId="1059" priority="43">
      <formula>AND(MOD(ROW(),1)=0,AT$32="Proportion",$I56="Overall change in costs (%)")</formula>
    </cfRule>
  </conditionalFormatting>
  <conditionalFormatting sqref="BB52:BB56">
    <cfRule type="expression" dxfId="1058" priority="18">
      <formula>AND(MOD(ROW(),2)=0,AO$32="Proportion",$I52="Overall change in costs (%)")</formula>
    </cfRule>
    <cfRule type="expression" dxfId="1057" priority="17">
      <formula>AND(MOD(ROW(),1)=0,AO$32="Proportion",$I52="Overall change in costs (%)")</formula>
    </cfRule>
  </conditionalFormatting>
  <conditionalFormatting sqref="BB57">
    <cfRule type="expression" dxfId="1056" priority="21">
      <formula>AND(MOD(ROW(),1)=0,AO$32="Proportion",$I56="Overall change in costs (%)")</formula>
    </cfRule>
    <cfRule type="expression" dxfId="1055" priority="22">
      <formula>AND(MOD(ROW(),2)=0,AO$32="Proportion",$I56="Overall change in costs (%)")</formula>
    </cfRule>
  </conditionalFormatting>
  <conditionalFormatting sqref="BB58">
    <cfRule type="expression" dxfId="1054" priority="20">
      <formula>AND(MOD(ROW(),1)=0,Z$32="Proportion",$I58="Overall change in costs (%)")</formula>
    </cfRule>
    <cfRule type="expression" dxfId="1053" priority="19">
      <formula>AND(MOD(ROW(),2)=0,Z$32="Proportion",$I58="Overall change in costs (%)")</formula>
    </cfRule>
  </conditionalFormatting>
  <conditionalFormatting sqref="BC51:BC57 BH51:BH57">
    <cfRule type="expression" dxfId="1052" priority="130">
      <formula>AND(MOD(ROW(),2)=0,AR$32="Proportion",$H51="Overall change in costs (%)")</formula>
    </cfRule>
    <cfRule type="expression" dxfId="1051" priority="129">
      <formula>AND(MOD(ROW(),1)=0,AR$32="Proportion",$H51="Overall change in costs (%)")</formula>
    </cfRule>
  </conditionalFormatting>
  <conditionalFormatting sqref="BC52:BC57">
    <cfRule type="expression" dxfId="1050" priority="136">
      <formula>AND(MOD(ROW(),2)=0,AQ$32="Proportion",$H52="Overall change in costs (%)")</formula>
    </cfRule>
    <cfRule type="expression" dxfId="1049" priority="135">
      <formula>AND(MOD(ROW(),1)=0,AQ$32="Proportion",$H52="Overall change in costs (%)")</formula>
    </cfRule>
  </conditionalFormatting>
  <conditionalFormatting sqref="BC51:BH58">
    <cfRule type="expression" dxfId="1048" priority="105">
      <formula>MOD(ROW(),2)=0</formula>
    </cfRule>
  </conditionalFormatting>
  <conditionalFormatting sqref="BC58:BH58">
    <cfRule type="expression" dxfId="1047" priority="131">
      <formula>AND(MOD(ROW(),2)=0,AA$32="Proportion",$H58="Overall change in costs (%)")</formula>
    </cfRule>
    <cfRule type="expression" dxfId="1046" priority="132">
      <formula>AND(MOD(ROW(),1)=0,AA$32="Proportion",$H58="Overall change in costs (%)")</formula>
    </cfRule>
  </conditionalFormatting>
  <conditionalFormatting sqref="BD52:BF57">
    <cfRule type="expression" dxfId="1045" priority="138">
      <formula>AND(MOD(ROW(),2)=0,AQ$32="Proportion",$H52="Overall change in costs (%)")</formula>
    </cfRule>
    <cfRule type="expression" dxfId="1044" priority="137">
      <formula>AND(MOD(ROW(),1)=0,AQ$32="Proportion",$H52="Overall change in costs (%)")</formula>
    </cfRule>
  </conditionalFormatting>
  <conditionalFormatting sqref="BF52:BF57">
    <cfRule type="expression" dxfId="1043" priority="140">
      <formula>AND(MOD(ROW(),1)=0,AR$32="Proportion",$H52="Overall change in costs (%)")</formula>
    </cfRule>
    <cfRule type="expression" dxfId="1042" priority="139">
      <formula>AND(MOD(ROW(),2)=0,AR$32="Proportion",$H52="Overall change in costs (%)")</formula>
    </cfRule>
  </conditionalFormatting>
  <conditionalFormatting sqref="BG52:BG57">
    <cfRule type="expression" dxfId="1041" priority="141">
      <formula>AND(MOD(ROW(),2)=0,AU$32="Proportion",$H52="Overall change in costs (%)")</formula>
    </cfRule>
    <cfRule type="expression" dxfId="1040" priority="142">
      <formula>AND(MOD(ROW(),1)=0,AU$32="Proportion",$H52="Overall change in costs (%)")</formula>
    </cfRule>
  </conditionalFormatting>
  <hyperlinks>
    <hyperlink ref="A1" location="Index!A1" display="&lt;&lt;Back to Index" xr:uid="{95C6A9F0-7B65-4A80-8680-8AB7B6D6C01F}"/>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5724-62A2-4531-BF35-DD917C38F1ED}">
  <sheetPr>
    <tabColor rgb="FF00B050"/>
  </sheetPr>
  <dimension ref="A1:BT78"/>
  <sheetViews>
    <sheetView showGridLines="0" topLeftCell="G1" zoomScale="70" zoomScaleNormal="70" workbookViewId="0">
      <selection activeCell="AK34" sqref="AK34"/>
    </sheetView>
  </sheetViews>
  <sheetFormatPr defaultColWidth="8.81640625" defaultRowHeight="14" x14ac:dyDescent="0.35"/>
  <cols>
    <col min="1" max="1" width="1.81640625" style="30" customWidth="1"/>
    <col min="2" max="2" width="43.36328125" style="30" bestFit="1" customWidth="1"/>
    <col min="3" max="4" width="13.1796875" style="30" customWidth="1"/>
    <col min="5" max="5" width="1.26953125" style="30" customWidth="1"/>
    <col min="6" max="7" width="13.1796875" style="30" customWidth="1"/>
    <col min="8" max="8" width="26.81640625" style="30" customWidth="1"/>
    <col min="9" max="9" width="5.81640625" style="30" customWidth="1"/>
    <col min="10" max="12" width="10.81640625" style="30" customWidth="1"/>
    <col min="13" max="13" width="1.81640625" style="30" customWidth="1"/>
    <col min="14" max="14" width="10.81640625" style="30" customWidth="1"/>
    <col min="15" max="15" width="12.54296875" style="30" customWidth="1"/>
    <col min="16" max="16" width="13.1796875" style="30" customWidth="1"/>
    <col min="17" max="17" width="10.81640625" style="30" customWidth="1"/>
    <col min="18" max="18" width="5.81640625" style="30" customWidth="1"/>
    <col min="19" max="21" width="10.81640625" style="30" customWidth="1"/>
    <col min="22" max="22" width="9.54296875" style="30" customWidth="1"/>
    <col min="23" max="23" width="10.81640625" style="30" customWidth="1"/>
    <col min="24" max="24" width="12.54296875" style="30" customWidth="1"/>
    <col min="25" max="25" width="13.1796875" style="30" customWidth="1"/>
    <col min="26" max="26" width="10.81640625" style="30" customWidth="1"/>
    <col min="27" max="27" width="11.7265625" style="30" bestFit="1" customWidth="1"/>
    <col min="28" max="28" width="13.1796875" style="30" bestFit="1" customWidth="1"/>
    <col min="29" max="29" width="11.81640625" style="30" bestFit="1" customWidth="1"/>
    <col min="30" max="30" width="11.7265625" style="30" bestFit="1" customWidth="1"/>
    <col min="31" max="31" width="9.1796875" style="30" bestFit="1" customWidth="1"/>
    <col min="32" max="32" width="8.81640625" style="30" bestFit="1" customWidth="1"/>
    <col min="33" max="34" width="12.81640625" style="30" bestFit="1" customWidth="1"/>
    <col min="35" max="35" width="8.81640625" style="30" bestFit="1" customWidth="1"/>
    <col min="36" max="36" width="12.81640625" style="30" bestFit="1" customWidth="1"/>
    <col min="37" max="37" width="13.1796875" style="30" bestFit="1" customWidth="1"/>
    <col min="38" max="38" width="12.81640625" style="30" bestFit="1" customWidth="1"/>
    <col min="39" max="40" width="11.7265625" style="30" bestFit="1" customWidth="1"/>
    <col min="41" max="41" width="10.54296875" style="30" bestFit="1" customWidth="1"/>
    <col min="42" max="42" width="13.1796875" style="30" customWidth="1"/>
    <col min="43" max="43" width="9.81640625" style="30" customWidth="1"/>
    <col min="44" max="44" width="11.54296875" style="30" customWidth="1"/>
    <col min="45" max="45" width="12.81640625" style="30" bestFit="1" customWidth="1"/>
    <col min="46" max="46" width="13.1796875" style="30" bestFit="1" customWidth="1"/>
    <col min="47" max="47" width="10.81640625" style="30" bestFit="1" customWidth="1"/>
    <col min="48" max="48" width="9.1796875" style="30" bestFit="1" customWidth="1"/>
    <col min="49" max="49" width="30.26953125" style="30" bestFit="1" customWidth="1"/>
    <col min="50" max="50" width="9.1796875" style="30" bestFit="1" customWidth="1"/>
    <col min="51" max="51" width="13.7265625" style="30" bestFit="1" customWidth="1"/>
    <col min="52" max="52" width="8.81640625" style="30"/>
    <col min="53" max="53" width="22.7265625" style="30" bestFit="1" customWidth="1"/>
    <col min="54" max="54" width="10.26953125" style="30" bestFit="1" customWidth="1"/>
    <col min="55" max="16384" width="8.81640625" style="30"/>
  </cols>
  <sheetData>
    <row r="1" spans="1:47" ht="10.4" customHeight="1" x14ac:dyDescent="0.35">
      <c r="A1" s="815" t="s">
        <v>18</v>
      </c>
      <c r="B1" s="816"/>
      <c r="C1" s="722" t="s">
        <v>380</v>
      </c>
      <c r="D1" s="722" t="s">
        <v>380</v>
      </c>
      <c r="E1" s="722" t="s">
        <v>380</v>
      </c>
      <c r="F1" s="722" t="s">
        <v>380</v>
      </c>
      <c r="G1" s="722" t="s">
        <v>380</v>
      </c>
    </row>
    <row r="2" spans="1:47" s="62" customFormat="1" ht="22.5" customHeight="1" x14ac:dyDescent="0.35">
      <c r="A2" s="61" t="s">
        <v>0</v>
      </c>
    </row>
    <row r="3" spans="1:47" s="160" customFormat="1" ht="14.5" thickBot="1" x14ac:dyDescent="0.4">
      <c r="C3" s="160" t="str">
        <f>$A$2&amp;" "&amp;C6&amp;" "&amp;C7</f>
        <v>Energex Residential Flat rate</v>
      </c>
      <c r="D3" s="160" t="str">
        <f>$A$2&amp;" "&amp;D6&amp;" "&amp;D7</f>
        <v>Energex Residential time of use</v>
      </c>
      <c r="F3" s="160" t="str">
        <f>$A$2&amp;" "&amp;F6&amp;" "&amp;F7</f>
        <v>Energex Small Business Flat rate</v>
      </c>
      <c r="G3" s="160" t="str">
        <f>$A$2&amp;" "&amp;G6&amp;" "&amp;G7</f>
        <v>Energex Small Business time of use</v>
      </c>
      <c r="H3" s="30"/>
      <c r="I3" s="30"/>
      <c r="J3" s="30"/>
      <c r="K3" s="30"/>
      <c r="L3" s="30"/>
      <c r="M3" s="30"/>
      <c r="N3" s="30"/>
      <c r="O3" s="30"/>
      <c r="P3" s="30"/>
      <c r="Q3" s="30"/>
      <c r="R3" s="30"/>
      <c r="S3" s="30"/>
      <c r="T3" s="30"/>
      <c r="U3" s="30"/>
      <c r="V3" s="30"/>
      <c r="W3" s="30"/>
      <c r="X3" s="30"/>
      <c r="Y3" s="30"/>
      <c r="Z3" s="30"/>
    </row>
    <row r="4" spans="1:47" ht="15.5" x14ac:dyDescent="0.35">
      <c r="B4" s="33" t="s">
        <v>17</v>
      </c>
      <c r="C4" s="355" t="s">
        <v>19</v>
      </c>
      <c r="D4" s="355" t="s">
        <v>272</v>
      </c>
      <c r="E4" s="355"/>
      <c r="F4" s="355" t="s">
        <v>19</v>
      </c>
      <c r="G4" s="355" t="s">
        <v>272</v>
      </c>
      <c r="H4" s="33"/>
      <c r="I4" s="161" t="s">
        <v>89</v>
      </c>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3"/>
      <c r="AK4" s="160"/>
      <c r="AL4" s="160"/>
      <c r="AM4" s="160"/>
      <c r="AN4" s="160"/>
      <c r="AO4" s="160"/>
      <c r="AP4" s="160"/>
      <c r="AQ4" s="160"/>
      <c r="AR4" s="160"/>
      <c r="AS4" s="160"/>
      <c r="AT4" s="160"/>
      <c r="AU4" s="160"/>
    </row>
    <row r="5" spans="1:47" ht="5.15" customHeight="1" x14ac:dyDescent="0.35">
      <c r="B5" s="64"/>
      <c r="I5" s="164"/>
      <c r="J5" s="165"/>
      <c r="AJ5" s="166"/>
      <c r="AK5" s="160"/>
      <c r="AL5" s="160"/>
      <c r="AM5" s="160"/>
      <c r="AN5" s="160"/>
      <c r="AO5" s="160"/>
      <c r="AP5" s="160"/>
      <c r="AQ5" s="160"/>
      <c r="AR5" s="160"/>
      <c r="AS5" s="160"/>
      <c r="AT5" s="160"/>
      <c r="AU5" s="160"/>
    </row>
    <row r="6" spans="1:47" ht="20.149999999999999" customHeight="1" x14ac:dyDescent="0.3">
      <c r="B6" s="908" t="str">
        <f>A2</f>
        <v>Energex</v>
      </c>
      <c r="C6" s="167" t="s">
        <v>6</v>
      </c>
      <c r="D6" s="167" t="s">
        <v>6</v>
      </c>
      <c r="E6" s="167"/>
      <c r="F6" s="167" t="s">
        <v>76</v>
      </c>
      <c r="G6" s="167" t="s">
        <v>76</v>
      </c>
      <c r="I6" s="164"/>
      <c r="J6" s="165"/>
      <c r="AJ6" s="166"/>
      <c r="AK6" s="160"/>
      <c r="AL6" s="160"/>
      <c r="AM6" s="160"/>
      <c r="AN6" s="160"/>
      <c r="AO6" s="160"/>
      <c r="AP6" s="160"/>
      <c r="AQ6" s="160"/>
      <c r="AR6" s="160"/>
      <c r="AS6" s="160"/>
      <c r="AT6" s="160"/>
      <c r="AU6" s="160"/>
    </row>
    <row r="7" spans="1:47" ht="20.149999999999999" customHeight="1" x14ac:dyDescent="0.35">
      <c r="B7" s="908"/>
      <c r="C7" s="168" t="s">
        <v>19</v>
      </c>
      <c r="D7" s="168" t="s">
        <v>272</v>
      </c>
      <c r="E7" s="168"/>
      <c r="F7" s="168" t="s">
        <v>19</v>
      </c>
      <c r="G7" s="168" t="s">
        <v>272</v>
      </c>
      <c r="I7" s="164"/>
      <c r="AJ7" s="166"/>
      <c r="AK7" s="160"/>
      <c r="AL7" s="160"/>
      <c r="AM7" s="160"/>
      <c r="AN7" s="160"/>
      <c r="AO7" s="160"/>
      <c r="AP7" s="160"/>
      <c r="AQ7" s="160"/>
      <c r="AR7" s="160"/>
      <c r="AS7" s="160"/>
      <c r="AT7" s="160"/>
      <c r="AU7" s="160"/>
    </row>
    <row r="8" spans="1:47" ht="2.15" customHeight="1" x14ac:dyDescent="0.35">
      <c r="C8" s="65"/>
      <c r="D8" s="65"/>
      <c r="E8" s="65"/>
      <c r="F8" s="65"/>
      <c r="G8" s="65"/>
      <c r="I8" s="164"/>
      <c r="AJ8" s="166"/>
      <c r="AK8" s="160"/>
      <c r="AL8" s="160"/>
      <c r="AM8" s="160"/>
      <c r="AN8" s="160"/>
      <c r="AO8" s="160"/>
      <c r="AP8" s="160"/>
      <c r="AQ8" s="160"/>
      <c r="AR8" s="160"/>
      <c r="AS8" s="160"/>
      <c r="AT8" s="160"/>
      <c r="AU8" s="160"/>
    </row>
    <row r="9" spans="1:47" s="69" customFormat="1" ht="30" customHeight="1" x14ac:dyDescent="0.35">
      <c r="B9" s="51" t="str">
        <f>"DMO "&amp;FY&amp;" price ($ pa, inc GST)"</f>
        <v>DMO 2026-27 price ($ pa, inc GST)</v>
      </c>
      <c r="C9" s="169">
        <f>SUM(Energex_RESwoCL_FY_cost)</f>
        <v>1987.681538266653</v>
      </c>
      <c r="D9" s="169">
        <f>SUM(Energex_REStou_FY_cost)</f>
        <v>1913.7740695900175</v>
      </c>
      <c r="E9" s="169"/>
      <c r="F9" s="169">
        <f>SUM(Energex_SBwoCL_FY_cost)</f>
        <v>3848.52668759992</v>
      </c>
      <c r="G9" s="169">
        <f>SUM(Energex_SBtou_FY_cost)</f>
        <v>3692.6888904223038</v>
      </c>
      <c r="H9" s="30"/>
      <c r="I9" s="164"/>
      <c r="J9" s="30"/>
      <c r="K9" s="30"/>
      <c r="L9" s="30"/>
      <c r="M9" s="30"/>
      <c r="N9" s="30"/>
      <c r="O9" s="30"/>
      <c r="P9" s="30"/>
      <c r="Q9" s="30"/>
      <c r="R9" s="30"/>
      <c r="S9" s="30"/>
      <c r="T9" s="30"/>
      <c r="U9" s="30"/>
      <c r="V9" s="30"/>
      <c r="W9" s="30"/>
      <c r="X9" s="30"/>
      <c r="Y9" s="30"/>
      <c r="Z9" s="30"/>
      <c r="AA9" s="30"/>
      <c r="AB9" s="30"/>
      <c r="AC9" s="30"/>
      <c r="AD9" s="30"/>
      <c r="AE9" s="30"/>
      <c r="AF9" s="30"/>
      <c r="AG9" s="30"/>
      <c r="AH9" s="30"/>
      <c r="AI9" s="30"/>
      <c r="AJ9" s="170"/>
      <c r="AK9" s="160"/>
      <c r="AL9" s="160"/>
      <c r="AM9" s="160"/>
      <c r="AN9" s="160"/>
      <c r="AO9" s="160"/>
      <c r="AP9" s="160"/>
      <c r="AQ9" s="160"/>
      <c r="AR9" s="160"/>
      <c r="AS9" s="160"/>
      <c r="AT9" s="160"/>
      <c r="AU9" s="160"/>
    </row>
    <row r="10" spans="1:47" ht="2.15" customHeight="1" x14ac:dyDescent="0.35">
      <c r="B10" s="56"/>
      <c r="C10" s="171"/>
      <c r="D10" s="171"/>
      <c r="E10" s="171"/>
      <c r="F10" s="171"/>
      <c r="G10" s="171"/>
      <c r="H10" s="69"/>
      <c r="I10" s="172"/>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166"/>
      <c r="AK10" s="160"/>
      <c r="AL10" s="160"/>
      <c r="AM10" s="160"/>
      <c r="AN10" s="160"/>
      <c r="AO10" s="160"/>
      <c r="AP10" s="160"/>
      <c r="AQ10" s="160"/>
      <c r="AR10" s="160"/>
      <c r="AS10" s="160"/>
      <c r="AT10" s="160"/>
      <c r="AU10" s="160"/>
    </row>
    <row r="11" spans="1:47" s="69" customFormat="1" ht="30" customHeight="1" x14ac:dyDescent="0.35">
      <c r="B11" s="173" t="str">
        <f>"DMO "&amp;PY&amp;" price ($ pa, inc GST)"</f>
        <v>DMO 2025-26 price ($ pa, inc GST)</v>
      </c>
      <c r="C11" s="174">
        <f>SUM(Energex_RESwoCL_PY_cost)</f>
        <v>2142.5159833641424</v>
      </c>
      <c r="D11" s="174">
        <f>SUM(Energex_RESwoCL_PY_cost)</f>
        <v>2142.5159833641424</v>
      </c>
      <c r="E11" s="174"/>
      <c r="F11" s="174">
        <f>SUM(Energex_SBwoCL_PY_cost)</f>
        <v>4293.9125229439123</v>
      </c>
      <c r="G11" s="174">
        <f>SUM(Energex_SBwoCL_PY_cost)</f>
        <v>4293.9125229439123</v>
      </c>
      <c r="H11" s="30"/>
      <c r="I11" s="164"/>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170"/>
      <c r="AK11" s="160"/>
      <c r="AL11" s="160"/>
      <c r="AM11" s="160"/>
      <c r="AN11" s="160"/>
      <c r="AO11" s="160"/>
      <c r="AP11" s="160"/>
      <c r="AQ11" s="160"/>
      <c r="AR11" s="160"/>
      <c r="AS11" s="160"/>
      <c r="AT11" s="160"/>
      <c r="AU11" s="160"/>
    </row>
    <row r="12" spans="1:47" ht="2.15" customHeight="1" x14ac:dyDescent="0.35">
      <c r="B12" s="56"/>
      <c r="C12" s="171"/>
      <c r="D12" s="171"/>
      <c r="E12" s="171"/>
      <c r="F12" s="171"/>
      <c r="G12" s="171"/>
      <c r="H12" s="69"/>
      <c r="I12" s="172"/>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166"/>
      <c r="AK12" s="160"/>
      <c r="AL12" s="160"/>
      <c r="AM12" s="160"/>
      <c r="AN12" s="160"/>
      <c r="AO12" s="160"/>
      <c r="AP12" s="160"/>
      <c r="AQ12" s="160"/>
      <c r="AR12" s="160"/>
      <c r="AS12" s="160"/>
      <c r="AT12" s="160"/>
      <c r="AU12" s="160"/>
    </row>
    <row r="13" spans="1:47" ht="20.149999999999999" customHeight="1" x14ac:dyDescent="0.35">
      <c r="B13" s="175" t="s">
        <v>48</v>
      </c>
      <c r="C13" s="244">
        <f>SUM(C14:C15)</f>
        <v>4600</v>
      </c>
      <c r="D13" s="244">
        <f>SUM(D14:D15)</f>
        <v>4600</v>
      </c>
      <c r="E13" s="244"/>
      <c r="F13" s="244">
        <f>SUM(F14:F15)</f>
        <v>10000</v>
      </c>
      <c r="G13" s="244">
        <f>SUM(G14:G15)</f>
        <v>10000</v>
      </c>
      <c r="I13" s="164"/>
      <c r="AJ13" s="166"/>
      <c r="AK13" s="160"/>
      <c r="AL13" s="160"/>
      <c r="AM13" s="160"/>
      <c r="AN13" s="160"/>
      <c r="AO13" s="160"/>
      <c r="AP13" s="160"/>
      <c r="AQ13" s="160"/>
      <c r="AR13" s="160"/>
      <c r="AS13" s="160"/>
      <c r="AT13" s="160"/>
      <c r="AU13" s="160"/>
    </row>
    <row r="14" spans="1:47" ht="20.149999999999999" customHeight="1" x14ac:dyDescent="0.35">
      <c r="A14" s="160" t="s">
        <v>19</v>
      </c>
      <c r="B14" s="176" t="s">
        <v>52</v>
      </c>
      <c r="C14" s="177" cm="1">
        <f t="array" ref="C14">_xlfn.XLOOKUP(1,($B$6=DistributionZone)*(C$6=CustomerType)*(C$4=tariffType)*("Usage" = Description),valuesFY)</f>
        <v>4600</v>
      </c>
      <c r="D14" s="177" cm="1">
        <f t="array" ref="D14">_xlfn.XLOOKUP(1,($B$6=DistributionZone)*(D$6=CustomerType)*(D$4=tariffType)*("Usage" = Description),valuesFY)</f>
        <v>4600</v>
      </c>
      <c r="E14" s="177"/>
      <c r="F14" s="177" cm="1">
        <f t="array" ref="F14">_xlfn.XLOOKUP(1,($B$6=DistributionZone)*(F$6=CustomerType)*(F$4=tariffType)*("Usage" = Description),valuesFY)</f>
        <v>10000</v>
      </c>
      <c r="G14" s="177" cm="1">
        <f t="array" ref="G14">_xlfn.XLOOKUP(1,($B$6=DistributionZone)*(G$6=CustomerType)*(G$4=tariffType)*("Usage" = Description),valuesFY)</f>
        <v>10000</v>
      </c>
      <c r="I14" s="164"/>
      <c r="AJ14" s="166"/>
      <c r="AK14" s="160"/>
      <c r="AL14" s="160"/>
      <c r="AM14" s="160"/>
      <c r="AN14" s="160"/>
      <c r="AO14" s="160"/>
      <c r="AP14" s="160"/>
      <c r="AQ14" s="160"/>
      <c r="AR14" s="160"/>
      <c r="AS14" s="160"/>
      <c r="AT14" s="160"/>
      <c r="AU14" s="160"/>
    </row>
    <row r="15" spans="1:47" ht="20.149999999999999" customHeight="1" x14ac:dyDescent="0.35">
      <c r="A15" s="160" t="s">
        <v>16</v>
      </c>
      <c r="B15" s="176" t="s">
        <v>51</v>
      </c>
      <c r="C15" s="177"/>
      <c r="D15" s="177"/>
      <c r="E15" s="177"/>
      <c r="F15" s="177"/>
      <c r="G15" s="177"/>
      <c r="I15" s="164"/>
      <c r="AJ15" s="166"/>
      <c r="AK15" s="160"/>
      <c r="AL15" s="160"/>
      <c r="AM15" s="160"/>
      <c r="AN15" s="160"/>
      <c r="AO15" s="160"/>
      <c r="AP15" s="160"/>
      <c r="AQ15" s="160"/>
      <c r="AR15" s="160"/>
      <c r="AS15" s="160"/>
      <c r="AT15" s="160"/>
      <c r="AU15" s="160"/>
    </row>
    <row r="16" spans="1:47" ht="2.15" customHeight="1" x14ac:dyDescent="0.35">
      <c r="B16" s="101"/>
      <c r="C16" s="101"/>
      <c r="D16" s="101"/>
      <c r="E16" s="101"/>
      <c r="F16" s="101"/>
      <c r="G16" s="101"/>
      <c r="I16" s="164"/>
      <c r="AJ16" s="166"/>
      <c r="AK16" s="160"/>
      <c r="AL16" s="160"/>
      <c r="AM16" s="160"/>
      <c r="AN16" s="160"/>
      <c r="AO16" s="160"/>
      <c r="AP16" s="160"/>
      <c r="AQ16" s="160"/>
      <c r="AR16" s="160"/>
      <c r="AS16" s="160"/>
      <c r="AT16" s="160"/>
      <c r="AU16" s="160"/>
    </row>
    <row r="17" spans="2:47" ht="20.149999999999999" customHeight="1" x14ac:dyDescent="0.35">
      <c r="B17" s="176" t="str">
        <f>"Change from DMO "&amp;PY&amp; " price ($)"</f>
        <v>Change from DMO 2025-26 price ($)</v>
      </c>
      <c r="C17" s="178">
        <f>C9-C11</f>
        <v>-154.83444509748938</v>
      </c>
      <c r="D17" s="178">
        <f>D9-D11</f>
        <v>-228.7419137741249</v>
      </c>
      <c r="E17" s="178"/>
      <c r="F17" s="178">
        <f>F9-F11</f>
        <v>-445.38583534399231</v>
      </c>
      <c r="G17" s="178">
        <f>G9-G11</f>
        <v>-601.22363252160858</v>
      </c>
      <c r="I17" s="164"/>
      <c r="AJ17" s="166"/>
      <c r="AK17" s="160"/>
      <c r="AL17" s="160"/>
      <c r="AM17" s="160"/>
      <c r="AN17" s="160"/>
      <c r="AO17" s="160"/>
      <c r="AP17" s="160"/>
      <c r="AQ17" s="160"/>
      <c r="AR17" s="160"/>
      <c r="AS17" s="160"/>
      <c r="AT17" s="160"/>
      <c r="AU17" s="160"/>
    </row>
    <row r="18" spans="2:47" ht="20.149999999999999" customHeight="1" thickBot="1" x14ac:dyDescent="0.4">
      <c r="B18" s="179" t="str">
        <f>"Change from DMO "&amp;PY&amp; " price (%)"</f>
        <v>Change from DMO 2025-26 price (%)</v>
      </c>
      <c r="C18" s="180">
        <f>C9/C11-1</f>
        <v>-7.2267579938596782E-2</v>
      </c>
      <c r="D18" s="180">
        <f>D9/D11-1</f>
        <v>-0.10676322396202531</v>
      </c>
      <c r="E18" s="180"/>
      <c r="F18" s="180">
        <f>F9/F11-1</f>
        <v>-0.1037249438511233</v>
      </c>
      <c r="G18" s="180">
        <f>G9/G11-1</f>
        <v>-0.14001767136825805</v>
      </c>
      <c r="I18" s="164"/>
      <c r="AJ18" s="166"/>
      <c r="AK18" s="160"/>
      <c r="AL18" s="160"/>
      <c r="AM18" s="160"/>
      <c r="AN18" s="160"/>
      <c r="AO18" s="160"/>
      <c r="AP18" s="160"/>
      <c r="AQ18" s="160"/>
      <c r="AR18" s="160"/>
      <c r="AS18" s="160"/>
      <c r="AT18" s="160"/>
      <c r="AU18" s="160"/>
    </row>
    <row r="19" spans="2:47" ht="14.5" thickTop="1" x14ac:dyDescent="0.35">
      <c r="B19" s="181" t="s">
        <v>88</v>
      </c>
      <c r="I19" s="164"/>
      <c r="AJ19" s="166"/>
      <c r="AK19" s="160"/>
      <c r="AL19" s="160"/>
      <c r="AM19" s="160"/>
      <c r="AN19" s="160"/>
      <c r="AO19" s="160"/>
      <c r="AP19" s="160"/>
      <c r="AQ19" s="160"/>
      <c r="AR19" s="160"/>
      <c r="AS19" s="160"/>
      <c r="AT19" s="160"/>
      <c r="AU19" s="160"/>
    </row>
    <row r="20" spans="2:47" x14ac:dyDescent="0.35">
      <c r="B20" s="523"/>
      <c r="C20" s="524"/>
      <c r="D20" s="524"/>
      <c r="E20" s="524"/>
      <c r="F20" s="524"/>
      <c r="G20" s="524"/>
      <c r="I20" s="164"/>
      <c r="AJ20" s="166"/>
      <c r="AK20" s="160"/>
      <c r="AL20" s="160"/>
      <c r="AM20" s="160"/>
      <c r="AN20" s="160"/>
      <c r="AO20" s="160"/>
      <c r="AP20" s="160"/>
      <c r="AQ20" s="160"/>
      <c r="AR20" s="160"/>
      <c r="AS20" s="160"/>
      <c r="AT20" s="160"/>
      <c r="AU20" s="160"/>
    </row>
    <row r="21" spans="2:47" x14ac:dyDescent="0.35">
      <c r="B21" s="523"/>
      <c r="C21" s="524"/>
      <c r="D21" s="524"/>
      <c r="E21" s="524"/>
      <c r="F21" s="524"/>
      <c r="G21" s="524"/>
      <c r="I21" s="164"/>
      <c r="AJ21" s="166"/>
      <c r="AK21" s="160"/>
      <c r="AL21" s="160"/>
      <c r="AM21" s="160"/>
      <c r="AN21" s="160"/>
      <c r="AO21" s="160"/>
      <c r="AP21" s="160"/>
      <c r="AQ21" s="160"/>
      <c r="AR21" s="160"/>
      <c r="AS21" s="160"/>
      <c r="AT21" s="160"/>
      <c r="AU21" s="160"/>
    </row>
    <row r="22" spans="2:47" ht="15.5" x14ac:dyDescent="0.35">
      <c r="B22" s="33"/>
      <c r="E22" s="182"/>
      <c r="I22" s="164"/>
      <c r="AJ22" s="166"/>
      <c r="AK22" s="160"/>
      <c r="AL22" s="160"/>
      <c r="AM22" s="160"/>
      <c r="AN22" s="160"/>
      <c r="AO22" s="160"/>
      <c r="AP22" s="160"/>
      <c r="AQ22" s="160"/>
      <c r="AR22" s="160"/>
      <c r="AS22" s="160"/>
      <c r="AT22" s="160"/>
      <c r="AU22" s="160"/>
    </row>
    <row r="23" spans="2:47" ht="15" customHeight="1" thickBot="1" x14ac:dyDescent="0.4">
      <c r="H23" s="33"/>
      <c r="I23" s="183"/>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5"/>
      <c r="AK23" s="160"/>
      <c r="AL23" s="160"/>
      <c r="AM23" s="160"/>
      <c r="AN23" s="160"/>
      <c r="AO23" s="160"/>
      <c r="AP23" s="160"/>
      <c r="AQ23" s="160"/>
      <c r="AR23" s="160"/>
      <c r="AS23" s="160"/>
      <c r="AT23" s="160"/>
      <c r="AU23" s="160"/>
    </row>
    <row r="24" spans="2:47" s="186" customFormat="1" ht="15.5" x14ac:dyDescent="0.35">
      <c r="H24" s="33"/>
      <c r="I24" s="30"/>
      <c r="J24" s="30"/>
      <c r="K24" s="30"/>
      <c r="L24" s="30"/>
      <c r="M24" s="30"/>
      <c r="N24" s="30"/>
      <c r="O24" s="30"/>
      <c r="P24" s="30"/>
      <c r="Q24" s="30"/>
      <c r="R24" s="30"/>
      <c r="S24" s="30"/>
      <c r="T24" s="30"/>
      <c r="U24" s="30"/>
      <c r="V24" s="30"/>
      <c r="W24" s="30"/>
      <c r="X24" s="30"/>
      <c r="Y24" s="30"/>
      <c r="Z24" s="30"/>
      <c r="AK24" s="160"/>
      <c r="AL24" s="160"/>
      <c r="AM24" s="160"/>
      <c r="AN24" s="160"/>
      <c r="AO24" s="160"/>
      <c r="AP24" s="160"/>
      <c r="AQ24" s="160"/>
      <c r="AR24" s="160"/>
      <c r="AS24" s="160"/>
      <c r="AT24" s="160"/>
      <c r="AU24" s="160"/>
    </row>
    <row r="25" spans="2:47" s="186" customFormat="1" ht="15.5" hidden="1" x14ac:dyDescent="0.35">
      <c r="H25" s="33"/>
      <c r="I25" s="30"/>
      <c r="J25" s="30" t="str">
        <f>$J$29</f>
        <v>Residential</v>
      </c>
      <c r="K25" s="30" t="str">
        <f>$J$29</f>
        <v>Residential</v>
      </c>
      <c r="L25" s="30" t="str">
        <f>$J$29</f>
        <v>Residential</v>
      </c>
      <c r="M25" s="30"/>
      <c r="N25" s="30" t="str">
        <f>$J$29</f>
        <v>Residential</v>
      </c>
      <c r="O25" s="30" t="str">
        <f>$J$29</f>
        <v>Residential</v>
      </c>
      <c r="P25" s="30" t="str">
        <f>$J$29</f>
        <v>Residential</v>
      </c>
      <c r="Q25" s="30" t="str">
        <f>$J$29</f>
        <v>Residential</v>
      </c>
      <c r="R25" s="30"/>
      <c r="S25" s="30" t="str">
        <f>$S$29</f>
        <v>Residential</v>
      </c>
      <c r="T25" s="30" t="str">
        <f>$S$29</f>
        <v>Residential</v>
      </c>
      <c r="U25" s="30" t="str">
        <f>$S$29</f>
        <v>Residential</v>
      </c>
      <c r="V25" s="30"/>
      <c r="W25" s="30" t="str">
        <f>$S$29</f>
        <v>Residential</v>
      </c>
      <c r="X25" s="30" t="str">
        <f>$S$29</f>
        <v>Residential</v>
      </c>
      <c r="Y25" s="30" t="str">
        <f>$S$29</f>
        <v>Residential</v>
      </c>
      <c r="Z25" s="30" t="str">
        <f>$S$29</f>
        <v>Residential</v>
      </c>
    </row>
    <row r="26" spans="2:47" s="186" customFormat="1" ht="15.5" hidden="1" x14ac:dyDescent="0.35">
      <c r="H26" s="33"/>
      <c r="I26" s="30"/>
      <c r="J26" s="30" t="str">
        <f>$J$30</f>
        <v>Flat rate</v>
      </c>
      <c r="K26" s="30" t="str">
        <f>$J$30</f>
        <v>Flat rate</v>
      </c>
      <c r="L26" s="30" t="str">
        <f>$J$30</f>
        <v>Flat rate</v>
      </c>
      <c r="M26" s="30"/>
      <c r="N26" s="30" t="str">
        <f>$J$30</f>
        <v>Flat rate</v>
      </c>
      <c r="O26" s="30" t="str">
        <f>$J$30</f>
        <v>Flat rate</v>
      </c>
      <c r="P26" s="30" t="str">
        <f>$J$30</f>
        <v>Flat rate</v>
      </c>
      <c r="Q26" s="30" t="str">
        <f>$J$30</f>
        <v>Flat rate</v>
      </c>
      <c r="R26" s="30"/>
      <c r="S26" s="30" t="str">
        <f>$S$30</f>
        <v>time of use</v>
      </c>
      <c r="T26" s="30" t="str">
        <f>$S$30</f>
        <v>time of use</v>
      </c>
      <c r="U26" s="30" t="str">
        <f>$S$30</f>
        <v>time of use</v>
      </c>
      <c r="V26" s="30"/>
      <c r="W26" s="30" t="str">
        <f>$S$30</f>
        <v>time of use</v>
      </c>
      <c r="X26" s="30" t="str">
        <f>$S$30</f>
        <v>time of use</v>
      </c>
      <c r="Y26" s="30" t="str">
        <f>$S$30</f>
        <v>time of use</v>
      </c>
      <c r="Z26" s="30" t="str">
        <f>$S$30</f>
        <v>time of use</v>
      </c>
    </row>
    <row r="27" spans="2:47" s="186" customFormat="1" ht="15.5" hidden="1" x14ac:dyDescent="0.35">
      <c r="H27" s="33"/>
      <c r="I27" s="30"/>
      <c r="J27" s="30"/>
      <c r="K27" s="30" t="str">
        <f>$K$31</f>
        <v>2025-26</v>
      </c>
      <c r="L27" s="30" t="str">
        <f>$K$31</f>
        <v>2025-26</v>
      </c>
      <c r="M27" s="30"/>
      <c r="N27" s="30" t="str">
        <f>$N$31</f>
        <v>2026-27</v>
      </c>
      <c r="O27" s="30" t="str">
        <f>$N$31</f>
        <v>2026-27</v>
      </c>
      <c r="P27" s="30" t="str">
        <f>$N$31</f>
        <v>2026-27</v>
      </c>
      <c r="Q27" s="30" t="str">
        <f>$N$31</f>
        <v>2026-27</v>
      </c>
      <c r="R27" s="30"/>
      <c r="S27" s="30"/>
      <c r="T27" s="30" t="str">
        <f>$T$31</f>
        <v>2025-26</v>
      </c>
      <c r="U27" s="30" t="str">
        <f>$T$31</f>
        <v>2025-26</v>
      </c>
      <c r="V27" s="30"/>
      <c r="W27" s="30" t="str">
        <f>$W$31</f>
        <v>2026-27</v>
      </c>
      <c r="X27" s="30" t="str">
        <f>$W$31</f>
        <v>2026-27</v>
      </c>
      <c r="Y27" s="30" t="str">
        <f>$W$31</f>
        <v>2026-27</v>
      </c>
      <c r="Z27" s="30" t="str">
        <f>$W$31</f>
        <v>2026-27</v>
      </c>
    </row>
    <row r="28" spans="2:47" s="186" customFormat="1" ht="15.5" x14ac:dyDescent="0.35">
      <c r="H28" s="33" t="s">
        <v>43</v>
      </c>
      <c r="I28" s="29" t="s">
        <v>125</v>
      </c>
      <c r="J28" s="30"/>
      <c r="K28" s="30"/>
      <c r="L28" s="30"/>
      <c r="M28" s="30"/>
      <c r="N28" s="30"/>
      <c r="O28" s="30"/>
      <c r="P28" s="30"/>
      <c r="Q28" s="30"/>
      <c r="R28" s="30"/>
      <c r="S28" s="30"/>
      <c r="T28" s="30"/>
      <c r="U28" s="30"/>
      <c r="V28" s="30"/>
      <c r="W28" s="30"/>
      <c r="X28" s="30"/>
      <c r="Y28" s="30"/>
      <c r="Z28" s="30"/>
    </row>
    <row r="29" spans="2:47" s="186" customFormat="1" x14ac:dyDescent="0.35">
      <c r="H29" s="909" t="s">
        <v>32</v>
      </c>
      <c r="I29" s="241"/>
      <c r="J29" s="912" t="s">
        <v>6</v>
      </c>
      <c r="K29" s="912"/>
      <c r="L29" s="912"/>
      <c r="M29" s="912"/>
      <c r="N29" s="912"/>
      <c r="O29" s="912"/>
      <c r="P29" s="912"/>
      <c r="Q29" s="912"/>
      <c r="R29" s="192"/>
      <c r="S29" s="912" t="s">
        <v>6</v>
      </c>
      <c r="T29" s="912"/>
      <c r="U29" s="912"/>
      <c r="V29" s="912"/>
      <c r="W29" s="912"/>
      <c r="X29" s="912"/>
      <c r="Y29" s="912"/>
      <c r="Z29" s="912"/>
      <c r="AA29" s="192"/>
      <c r="AB29" s="912" t="s">
        <v>76</v>
      </c>
      <c r="AC29" s="912"/>
      <c r="AD29" s="912"/>
      <c r="AE29" s="912"/>
      <c r="AF29" s="912"/>
      <c r="AG29" s="912"/>
      <c r="AH29" s="912"/>
      <c r="AI29" s="912"/>
      <c r="AJ29" s="192"/>
      <c r="AK29" s="912" t="s">
        <v>76</v>
      </c>
      <c r="AL29" s="912"/>
      <c r="AM29" s="912"/>
      <c r="AN29" s="912"/>
      <c r="AO29" s="912"/>
      <c r="AP29" s="912"/>
      <c r="AQ29" s="912"/>
      <c r="AR29" s="912"/>
    </row>
    <row r="30" spans="2:47" ht="14.5" thickBot="1" x14ac:dyDescent="0.4">
      <c r="H30" s="909"/>
      <c r="I30" s="241"/>
      <c r="J30" s="913" t="s">
        <v>19</v>
      </c>
      <c r="K30" s="913"/>
      <c r="L30" s="913"/>
      <c r="M30" s="913"/>
      <c r="N30" s="913"/>
      <c r="O30" s="913"/>
      <c r="P30" s="913"/>
      <c r="Q30" s="913"/>
      <c r="R30" s="192"/>
      <c r="S30" s="913" t="s">
        <v>272</v>
      </c>
      <c r="T30" s="913"/>
      <c r="U30" s="913"/>
      <c r="V30" s="913"/>
      <c r="W30" s="913"/>
      <c r="X30" s="913"/>
      <c r="Y30" s="913"/>
      <c r="Z30" s="913"/>
      <c r="AA30" s="192"/>
      <c r="AB30" s="913" t="s">
        <v>19</v>
      </c>
      <c r="AC30" s="913"/>
      <c r="AD30" s="913"/>
      <c r="AE30" s="913"/>
      <c r="AF30" s="913"/>
      <c r="AG30" s="913"/>
      <c r="AH30" s="913"/>
      <c r="AI30" s="913"/>
      <c r="AJ30" s="192"/>
      <c r="AK30" s="913" t="s">
        <v>272</v>
      </c>
      <c r="AL30" s="913"/>
      <c r="AM30" s="913"/>
      <c r="AN30" s="913"/>
      <c r="AO30" s="913"/>
      <c r="AP30" s="913"/>
      <c r="AQ30" s="913"/>
      <c r="AR30" s="913"/>
    </row>
    <row r="31" spans="2:47" ht="15" customHeight="1" thickTop="1" x14ac:dyDescent="0.35">
      <c r="H31" s="909"/>
      <c r="I31" s="191"/>
      <c r="J31" s="192" t="s">
        <v>67</v>
      </c>
      <c r="K31" s="904" t="str">
        <f>PY</f>
        <v>2025-26</v>
      </c>
      <c r="L31" s="904"/>
      <c r="M31" s="192"/>
      <c r="N31" s="904" t="str">
        <f>FY</f>
        <v>2026-27</v>
      </c>
      <c r="O31" s="904"/>
      <c r="P31" s="904"/>
      <c r="Q31" s="904"/>
      <c r="R31" s="192"/>
      <c r="S31" s="192" t="s">
        <v>67</v>
      </c>
      <c r="T31" s="904" t="str">
        <f>PY</f>
        <v>2025-26</v>
      </c>
      <c r="U31" s="904"/>
      <c r="V31" s="192"/>
      <c r="W31" s="904" t="str">
        <f>FY</f>
        <v>2026-27</v>
      </c>
      <c r="X31" s="904"/>
      <c r="Y31" s="904"/>
      <c r="Z31" s="904"/>
      <c r="AA31" s="192"/>
      <c r="AB31" s="192" t="s">
        <v>67</v>
      </c>
      <c r="AC31" s="904" t="str">
        <f>PY</f>
        <v>2025-26</v>
      </c>
      <c r="AD31" s="904"/>
      <c r="AE31" s="192"/>
      <c r="AF31" s="904" t="str">
        <f>FY</f>
        <v>2026-27</v>
      </c>
      <c r="AG31" s="904"/>
      <c r="AH31" s="904"/>
      <c r="AI31" s="904"/>
      <c r="AJ31" s="192"/>
      <c r="AK31" s="192" t="s">
        <v>67</v>
      </c>
      <c r="AL31" s="904" t="str">
        <f>PY</f>
        <v>2025-26</v>
      </c>
      <c r="AM31" s="904"/>
      <c r="AN31" s="192"/>
      <c r="AO31" s="904" t="str">
        <f>FY</f>
        <v>2026-27</v>
      </c>
      <c r="AP31" s="904"/>
      <c r="AQ31" s="904"/>
      <c r="AR31" s="904"/>
    </row>
    <row r="32" spans="2:47" ht="39" x14ac:dyDescent="0.35">
      <c r="H32" s="909"/>
      <c r="I32" s="191"/>
      <c r="J32" s="193"/>
      <c r="K32" s="194" t="s">
        <v>21</v>
      </c>
      <c r="L32" s="194" t="s">
        <v>23</v>
      </c>
      <c r="M32" s="194"/>
      <c r="N32" s="194" t="s">
        <v>20</v>
      </c>
      <c r="O32" s="195" t="s">
        <v>151</v>
      </c>
      <c r="P32" s="194" t="s">
        <v>21</v>
      </c>
      <c r="Q32" s="194" t="s">
        <v>23</v>
      </c>
      <c r="R32" s="194"/>
      <c r="S32" s="194"/>
      <c r="T32" s="194" t="s">
        <v>21</v>
      </c>
      <c r="U32" s="194" t="s">
        <v>23</v>
      </c>
      <c r="V32" s="194"/>
      <c r="W32" s="194" t="s">
        <v>20</v>
      </c>
      <c r="X32" s="195" t="s">
        <v>50</v>
      </c>
      <c r="Y32" s="194" t="s">
        <v>21</v>
      </c>
      <c r="Z32" s="194" t="s">
        <v>23</v>
      </c>
      <c r="AA32" s="194"/>
      <c r="AB32" s="194"/>
      <c r="AC32" s="194" t="s">
        <v>21</v>
      </c>
      <c r="AD32" s="194" t="s">
        <v>23</v>
      </c>
      <c r="AE32" s="194"/>
      <c r="AF32" s="194" t="s">
        <v>20</v>
      </c>
      <c r="AG32" s="195" t="s">
        <v>50</v>
      </c>
      <c r="AH32" s="194" t="s">
        <v>21</v>
      </c>
      <c r="AI32" s="194" t="s">
        <v>23</v>
      </c>
      <c r="AJ32" s="194"/>
      <c r="AK32" s="194"/>
      <c r="AL32" s="194" t="s">
        <v>21</v>
      </c>
      <c r="AM32" s="194" t="s">
        <v>23</v>
      </c>
      <c r="AN32" s="194"/>
      <c r="AO32" s="194" t="s">
        <v>20</v>
      </c>
      <c r="AP32" s="195" t="s">
        <v>50</v>
      </c>
      <c r="AQ32" s="194" t="s">
        <v>21</v>
      </c>
      <c r="AR32" s="194" t="s">
        <v>23</v>
      </c>
    </row>
    <row r="33" spans="1:55" ht="15" customHeight="1" x14ac:dyDescent="0.35">
      <c r="H33" s="909"/>
      <c r="I33" s="191"/>
      <c r="J33" s="194" t="s">
        <v>68</v>
      </c>
      <c r="K33" s="194" t="s">
        <v>45</v>
      </c>
      <c r="L33" s="194" t="s">
        <v>27</v>
      </c>
      <c r="M33" s="194"/>
      <c r="N33" s="194" t="s">
        <v>27</v>
      </c>
      <c r="O33" s="194" t="s">
        <v>27</v>
      </c>
      <c r="P33" s="194" t="s">
        <v>45</v>
      </c>
      <c r="Q33" s="194" t="s">
        <v>27</v>
      </c>
      <c r="R33" s="194"/>
      <c r="S33" s="194"/>
      <c r="T33" s="194" t="s">
        <v>45</v>
      </c>
      <c r="U33" s="194" t="s">
        <v>27</v>
      </c>
      <c r="V33" s="194"/>
      <c r="W33" s="194" t="s">
        <v>27</v>
      </c>
      <c r="X33" s="194" t="s">
        <v>27</v>
      </c>
      <c r="Y33" s="194" t="s">
        <v>45</v>
      </c>
      <c r="Z33" s="194" t="s">
        <v>27</v>
      </c>
      <c r="AA33" s="194"/>
      <c r="AB33" s="194"/>
      <c r="AC33" s="194" t="s">
        <v>45</v>
      </c>
      <c r="AD33" s="194" t="s">
        <v>27</v>
      </c>
      <c r="AE33" s="194"/>
      <c r="AF33" s="194" t="s">
        <v>27</v>
      </c>
      <c r="AG33" s="194" t="s">
        <v>27</v>
      </c>
      <c r="AH33" s="194" t="s">
        <v>45</v>
      </c>
      <c r="AI33" s="194" t="s">
        <v>27</v>
      </c>
      <c r="AJ33" s="194"/>
      <c r="AK33" s="194"/>
      <c r="AL33" s="194" t="s">
        <v>45</v>
      </c>
      <c r="AM33" s="194" t="s">
        <v>27</v>
      </c>
      <c r="AN33" s="194"/>
      <c r="AO33" s="194" t="s">
        <v>27</v>
      </c>
      <c r="AP33" s="194" t="s">
        <v>27</v>
      </c>
      <c r="AQ33" s="194" t="s">
        <v>45</v>
      </c>
      <c r="AR33" s="194" t="s">
        <v>27</v>
      </c>
    </row>
    <row r="34" spans="1:55" ht="15" customHeight="1" x14ac:dyDescent="0.35">
      <c r="H34" s="196" t="str">
        <f>"DMO "&amp;PY&amp;" price"</f>
        <v>DMO 2025-26 price</v>
      </c>
      <c r="I34" s="196"/>
      <c r="J34" s="204">
        <f>ROUND(SUM(Energex_RESwoCL_PY_cost),0)</f>
        <v>2143</v>
      </c>
      <c r="K34" s="198"/>
      <c r="L34" s="198"/>
      <c r="M34" s="198"/>
      <c r="N34" s="198"/>
      <c r="O34" s="198"/>
      <c r="P34" s="198"/>
      <c r="Q34" s="198"/>
      <c r="R34" s="198"/>
      <c r="S34" s="668">
        <f>ROUND(SUM(Energex_REStou_PY_cost),0)</f>
        <v>0</v>
      </c>
      <c r="T34" s="663"/>
      <c r="U34" s="664"/>
      <c r="V34" s="199"/>
      <c r="W34" s="199"/>
      <c r="X34" s="198"/>
      <c r="Y34" s="200"/>
      <c r="Z34" s="198"/>
      <c r="AA34" s="200"/>
      <c r="AB34" s="204">
        <f>ROUND(SUM(Energex_SBwoCL_PY_cost),0)</f>
        <v>4294</v>
      </c>
      <c r="AC34" s="197"/>
      <c r="AD34" s="198"/>
      <c r="AE34" s="198"/>
      <c r="AF34" s="198"/>
      <c r="AG34" s="198"/>
      <c r="AH34" s="200"/>
      <c r="AI34" s="198"/>
      <c r="AJ34" s="200"/>
      <c r="AK34" s="668">
        <f>ROUND(SUM(Energex_SBtou_PY_cost),0)</f>
        <v>0</v>
      </c>
      <c r="AL34" s="663"/>
      <c r="AM34" s="664"/>
      <c r="AN34" s="199"/>
      <c r="AO34" s="199"/>
      <c r="AP34" s="198"/>
      <c r="AQ34" s="198"/>
      <c r="AR34" s="198"/>
    </row>
    <row r="35" spans="1:55" ht="15" customHeight="1" x14ac:dyDescent="0.35">
      <c r="H35" s="201" t="s">
        <v>63</v>
      </c>
      <c r="I35" s="201"/>
      <c r="J35" s="200"/>
      <c r="K35" s="197" cm="1">
        <f t="array" ref="K35">_xlfn.XLOOKUP(1,($B$6=Wholesale_DistributionZone)*(J$29=Wholesale_CustomerType)*(J$30=Wholesale_TariffL2)*("Total inc GST"=Wholesale_Description),Wholesale_PY_CostTotal)</f>
        <v>847.00695816791358</v>
      </c>
      <c r="L35" s="198">
        <f>K35/J$34</f>
        <v>0.39524356424074364</v>
      </c>
      <c r="M35" s="198"/>
      <c r="N35" s="202">
        <f>IF(OR(K35=0,P35=""),"",P35/K35-1)</f>
        <v>-0.14398106484145745</v>
      </c>
      <c r="O35" s="202">
        <f>(P35-K35)/J34</f>
        <v>-5.6907589251115255E-2</v>
      </c>
      <c r="P35" s="197" cm="1">
        <f t="array" ref="P35">_xlfn.XLOOKUP(1,($B$6=Wholesale_DistributionZone)*(J$29=Wholesale_CustomerType)*(J$30=Wholesale_TariffL2)*("Total inc GST"=Wholesale_Description),Wholesale_FY_CostTotal)</f>
        <v>725.05399440277358</v>
      </c>
      <c r="Q35" s="198">
        <f>P35/J$40</f>
        <v>0.36471528893499677</v>
      </c>
      <c r="R35" s="198"/>
      <c r="S35" s="664"/>
      <c r="T35" s="663" cm="1">
        <f t="array" ref="T35">_xlfn.XLOOKUP(1,($B$6=Network_DistributionZone)*(S$29=Network_CustomerType)*(S$30=Network_TariffType)*("Total inc GST"=Network_Description),Network_PY_CostTotal)</f>
        <v>0</v>
      </c>
      <c r="U35" s="664" t="str">
        <f>IFERROR(T35/S$34,"")</f>
        <v/>
      </c>
      <c r="V35" s="199"/>
      <c r="W35" s="203" t="str">
        <f>IF(OR(T35=0,Y35=""),"",Y35/T35-1)</f>
        <v/>
      </c>
      <c r="X35" s="202" t="str">
        <f>IFERROR((Y35-T35)/S34,"")</f>
        <v/>
      </c>
      <c r="Y35" s="197" cm="1">
        <f t="array" ref="Y35">_xlfn.XLOOKUP(1,($B$6=Wholesale_DistributionZone)*(S$29=Wholesale_CustomerType)*(S$30=Wholesale_TariffType)*("Total inc GST"=Wholesale_Description),Wholesale_FY_CostTotal)</f>
        <v>725.05399440277358</v>
      </c>
      <c r="Z35" s="198">
        <f>Y35/S$40</f>
        <v>0.3788160890296623</v>
      </c>
      <c r="AA35" s="200"/>
      <c r="AB35" s="198"/>
      <c r="AC35" s="197" cm="1">
        <f t="array" ref="AC35">_xlfn.XLOOKUP(1,($B$6=Wholesale_DistributionZone)*(AB$29=Wholesale_CustomerType)*(AB$30=Wholesale_TariffL2)*("Total inc GST"=Wholesale_Description),Wholesale_PY_CostTotal)</f>
        <v>1823.4539633739607</v>
      </c>
      <c r="AD35" s="198">
        <f>AC35/AB$34</f>
        <v>0.42465159836375427</v>
      </c>
      <c r="AE35" s="198"/>
      <c r="AF35" s="202">
        <f>IF(OR(AC35=0,AH35=""),"",AH35/AC35-1)</f>
        <v>-0.14488905072978286</v>
      </c>
      <c r="AG35" s="202">
        <f>(AH35-AC35)/AB34</f>
        <v>-6.1527366977809382E-2</v>
      </c>
      <c r="AH35" s="197" cm="1">
        <f t="array" ref="AH35">_xlfn.XLOOKUP(1,($B$6=Wholesale_DistributionZone)*(AB$29=Wholesale_CustomerType)*(AB$30=Wholesale_TariffL2)*("Total inc GST"=Wholesale_Description),Wholesale_FY_CostTotal)</f>
        <v>1559.2554495712473</v>
      </c>
      <c r="AI35" s="198">
        <f>AH35/AB$40</f>
        <v>0.40510663797642171</v>
      </c>
      <c r="AJ35" s="200"/>
      <c r="AK35" s="665"/>
      <c r="AL35" s="663" cm="1">
        <f t="array" ref="AL35">_xlfn.XLOOKUP(1,($B$6=Network_DistributionZone)*(AK$29=Network_CustomerType)*(AK$30=Network_TariffType)*("Total inc GST"=Network_Description),Network_PY_CostTotal)</f>
        <v>0</v>
      </c>
      <c r="AM35" s="664" t="str">
        <f>IFERROR(AL35/AK$34,"")</f>
        <v/>
      </c>
      <c r="AN35" s="199"/>
      <c r="AO35" s="203" t="str">
        <f>IF(OR(AL35=0,AQ35=""),"",AQ35/AL35-1)</f>
        <v/>
      </c>
      <c r="AP35" s="202" t="str">
        <f>IFERROR((AQ35-AL35)/AK34,"")</f>
        <v/>
      </c>
      <c r="AQ35" s="197" cm="1">
        <f t="array" ref="AQ35">_xlfn.XLOOKUP(1,($B$6=Wholesale_DistributionZone)*(AK$29=Wholesale_CustomerType)*(AK$30=Wholesale_TariffType)*("Total inc GST"=Wholesale_Description),Wholesale_FY_CostTotal)</f>
        <v>1559.2554495712473</v>
      </c>
      <c r="AR35" s="198">
        <f>AQ35/AK$40</f>
        <v>0.42221918482839083</v>
      </c>
    </row>
    <row r="36" spans="1:55" ht="15" customHeight="1" x14ac:dyDescent="0.35">
      <c r="H36" s="201" t="s">
        <v>62</v>
      </c>
      <c r="I36" s="201"/>
      <c r="J36" s="200"/>
      <c r="K36" s="197" cm="1">
        <f t="array" ref="K36">_xlfn.XLOOKUP(1,($B$6=Network_DistributionZone)*(J$29=Network_CustomerType)*(J$30=Network_TariffL2)*("Total inc GST"=Network_Description),Network_PY_CostTotal)</f>
        <v>778.44943700626834</v>
      </c>
      <c r="L36" s="198">
        <f>K36/J$34</f>
        <v>0.36325218712378365</v>
      </c>
      <c r="M36" s="198"/>
      <c r="N36" s="202">
        <f>IF(OR(K36=0,P36=""),"",P36/K36-1)</f>
        <v>5.0117493440551719E-2</v>
      </c>
      <c r="O36" s="202">
        <f>(P36-K36)/J34</f>
        <v>1.8205289105442293E-2</v>
      </c>
      <c r="P36" s="197" cm="1">
        <f t="array" ref="P36">_xlfn.XLOOKUP(1,($B$6=Network_DistributionZone)*(J$29=Network_CustomerType)*(J$30=Network_TariffL2)*("Blended"=Network_TariffType)*("Total inc GST"=Network_Description),Network_FY_CostTotal)</f>
        <v>817.46337155923118</v>
      </c>
      <c r="Q36" s="198">
        <f>P36/J$40</f>
        <v>0.4111988790539392</v>
      </c>
      <c r="R36" s="198"/>
      <c r="S36" s="664"/>
      <c r="T36" s="663" cm="1">
        <f t="array" ref="T36">_xlfn.XLOOKUP(1,($B$6=Wholesale_DistributionZone)*(S$29=Wholesale_CustomerType)*(S$30=Wholesale_TariffType)*("Total inc GST"=Wholesale_Description),Wholesale_PY_CostTotal)</f>
        <v>0</v>
      </c>
      <c r="U36" s="664" t="str">
        <f>IFERROR(T36/S$34,"")</f>
        <v/>
      </c>
      <c r="V36" s="199"/>
      <c r="W36" s="203" t="str">
        <f>IF(OR(T36=0,Y36=""),"",Y36/T36-1)</f>
        <v/>
      </c>
      <c r="X36" s="202" t="str">
        <f t="shared" ref="X36:X39" si="0">IFERROR((Y36-T36)/S35,"")</f>
        <v/>
      </c>
      <c r="Y36" s="197" cm="1">
        <f t="array" ref="Y36">_xlfn.XLOOKUP(1,($B$6=Network_DistributionZone)*(S$29=Network_CustomerType)*(S$30=Network_TariffType)*("Total inc GST"=Network_Description),Network_FY_CostTotal)</f>
        <v>747.99035100319395</v>
      </c>
      <c r="Z36" s="198">
        <f>Y36/S$40</f>
        <v>0.39079955642800102</v>
      </c>
      <c r="AA36" s="200"/>
      <c r="AB36" s="198"/>
      <c r="AC36" s="197" cm="1">
        <f t="array" ref="AC36">_xlfn.XLOOKUP(1,($B$6=Network_DistributionZone)*(AB$29=Network_CustomerType)*(AB$30=Network_TariffL2)*("Total inc GST"=Network_Description),Network_PY_CostTotal)</f>
        <v>1506.3711370062686</v>
      </c>
      <c r="AD36" s="198">
        <f>AC36/AB$34</f>
        <v>0.35080836912116176</v>
      </c>
      <c r="AE36" s="198"/>
      <c r="AF36" s="202">
        <f>IF(OR(AC36=0,AH36=""),"",AH36/AC36-1)</f>
        <v>7.9820453490538901E-2</v>
      </c>
      <c r="AG36" s="202">
        <f>(AH36-AC36)/AB34</f>
        <v>2.8001683111527495E-2</v>
      </c>
      <c r="AH36" s="197" cm="1">
        <f t="array" ref="AH36">_xlfn.XLOOKUP(1,($B$6=Network_DistributionZone)*(AB$29=Network_CustomerType)*(AB$30=Network_TariffL2)*("Blended"=Network_TariffType)*("Total inc GST"=Network_Description),Network_FY_CostTotal)</f>
        <v>1626.6103642871676</v>
      </c>
      <c r="AI36" s="198">
        <f>AH36/AB$40</f>
        <v>0.4226059662996019</v>
      </c>
      <c r="AJ36" s="200"/>
      <c r="AK36" s="665"/>
      <c r="AL36" s="663" cm="1">
        <f t="array" ref="AL36">_xlfn.XLOOKUP(1,($B$6=Wholesale_DistributionZone)*(AK$29=Wholesale_CustomerType)*(AK$30=Wholesale_TariffType)*("Total inc GST"=Wholesale_Description),Wholesale_PY_CostTotal)</f>
        <v>0</v>
      </c>
      <c r="AM36" s="664" t="str">
        <f t="shared" ref="AM36:AM39" si="1">IFERROR(AL36/AK$34,"")</f>
        <v/>
      </c>
      <c r="AN36" s="199"/>
      <c r="AO36" s="203" t="str">
        <f>IF(OR(AL36=0,AQ36=""),"",AQ36/AL36-1)</f>
        <v/>
      </c>
      <c r="AP36" s="202" t="str">
        <f t="shared" ref="AP36:AP39" si="2">IFERROR((AQ36-AL36)/AK35,"")</f>
        <v/>
      </c>
      <c r="AQ36" s="197" cm="1">
        <f t="array" ref="AQ36">_xlfn.XLOOKUP(1,($B$6=Network_DistributionZone)*(AK$29=Network_CustomerType)*(AK$30=Network_TariffType)*("Total inc GST"=Network_Description),Network_FY_CostTotal)</f>
        <v>1480.1228349402083</v>
      </c>
      <c r="AR36" s="198">
        <f>AQ36/AK$40</f>
        <v>0.40079145273225247</v>
      </c>
    </row>
    <row r="37" spans="1:55" ht="15" customHeight="1" x14ac:dyDescent="0.35">
      <c r="H37" s="201" t="s">
        <v>64</v>
      </c>
      <c r="I37" s="201"/>
      <c r="J37" s="200"/>
      <c r="K37" s="197" cm="1">
        <f t="array" ref="K37">_xlfn.XLOOKUP(1,($B$6=Enviro_DistributionZone)*(J$29=Enviro_CustomerType)*(J$30=Enviro_TariffL2)*("Total inc GST"=Enviro_Description),Enviro_PY_CostTotal)</f>
        <v>60.305218339699209</v>
      </c>
      <c r="L37" s="198">
        <f>K37/J$34</f>
        <v>2.814055918791377E-2</v>
      </c>
      <c r="M37" s="198"/>
      <c r="N37" s="202">
        <f>IF(OR(K37=0,P37=""),"",P37/K37-1)</f>
        <v>-0.32197760545125886</v>
      </c>
      <c r="O37" s="202">
        <f>(P37-K37)/J34</f>
        <v>-9.0606298633838997E-3</v>
      </c>
      <c r="P37" s="197" cm="1">
        <f t="array" ref="P37">_xlfn.XLOOKUP(1,($B$6=Enviro_DistributionZone)*(J$29=Enviro_CustomerType)*(J$30=Enviro_TariffL2)*("Total inc GST"=Enviro_Description),Enviro_FY_CostTotal)</f>
        <v>40.888288542467514</v>
      </c>
      <c r="Q37" s="198">
        <f>P37/J$40</f>
        <v>2.0567549568645632E-2</v>
      </c>
      <c r="R37" s="198"/>
      <c r="S37" s="664"/>
      <c r="T37" s="663" cm="1">
        <f t="array" ref="T37">_xlfn.XLOOKUP(1,($B$6=Enviro_DistributionZone)*(S$29=Enviro_CustomerType)*(S$30=Enviro_TariffType)*("Total inc GST"=Enviro_Description),Enviro_PY_CostTotal)</f>
        <v>0</v>
      </c>
      <c r="U37" s="664" t="str">
        <f>IFERROR(T37/S$34,"")</f>
        <v/>
      </c>
      <c r="V37" s="199"/>
      <c r="W37" s="203" t="str">
        <f>IF(OR(T37=0,Y37=""),"",Y37/T37-1)</f>
        <v/>
      </c>
      <c r="X37" s="202" t="str">
        <f t="shared" si="0"/>
        <v/>
      </c>
      <c r="Y37" s="197" cm="1">
        <f t="array" ref="Y37">_xlfn.XLOOKUP(1,($B$6=Enviro_DistributionZone)*(S$29=Enviro_CustomerType)*(S$30=Enviro_TariffType)*("Total inc GST"=Enviro_Description),Enviro_FY_CostTotal)</f>
        <v>40.888288542467521</v>
      </c>
      <c r="Z37" s="198">
        <f>Y37/S$40</f>
        <v>2.1362742185197243E-2</v>
      </c>
      <c r="AA37" s="200"/>
      <c r="AB37" s="198"/>
      <c r="AC37" s="197" cm="1">
        <f t="array" ref="AC37">_xlfn.XLOOKUP(1,($B$6=Enviro_DistributionZone)*(AB$29=Enviro_CustomerType)*(AB$30=Enviro_TariffL2)*("Total inc GST"=Enviro_Description),Enviro_PY_CostTotal)</f>
        <v>131.09830073847655</v>
      </c>
      <c r="AD37" s="198">
        <f>AC37/AB$34</f>
        <v>3.053057772204857E-2</v>
      </c>
      <c r="AE37" s="198"/>
      <c r="AF37" s="202">
        <f>IF(OR(AC37=0,AH37=""),"",AH37/AC37-1)</f>
        <v>-0.32197760545125897</v>
      </c>
      <c r="AG37" s="202">
        <f>(AH37-AC37)/AB34</f>
        <v>-9.8301623079887508E-3</v>
      </c>
      <c r="AH37" s="197" cm="1">
        <f t="array" ref="AH37">_xlfn.XLOOKUP(1,($B$6=Enviro_DistributionZone)*(AB$29=Enviro_CustomerType)*(AB$30=Enviro_TariffL2)*("Total inc GST"=Enviro_Description),Enviro_FY_CostTotal)</f>
        <v>88.887583787972858</v>
      </c>
      <c r="AI37" s="198">
        <f>AH37/AB$40</f>
        <v>2.3093682459852653E-2</v>
      </c>
      <c r="AJ37" s="200"/>
      <c r="AK37" s="665"/>
      <c r="AL37" s="663" cm="1">
        <f t="array" ref="AL37">_xlfn.XLOOKUP(1,($B$6=Enviro_DistributionZone)*(AK$29=Enviro_CustomerType)*(AK$30=Enviro_TariffType)*("Total inc GST"=Enviro_Description),Enviro_PY_CostTotal)</f>
        <v>0</v>
      </c>
      <c r="AM37" s="664" t="str">
        <f t="shared" si="1"/>
        <v/>
      </c>
      <c r="AN37" s="199"/>
      <c r="AO37" s="203" t="str">
        <f>IF(OR(AL37=0,AQ37=""),"",AQ37/AL37-1)</f>
        <v/>
      </c>
      <c r="AP37" s="202" t="str">
        <f t="shared" si="2"/>
        <v/>
      </c>
      <c r="AQ37" s="197" cm="1">
        <f t="array" ref="AQ37">_xlfn.XLOOKUP(1,($B$6=Enviro_DistributionZone)*(AK$29=Enviro_CustomerType)*(AK$30=Enviro_TariffType)*("Total inc GST"=Enviro_Description),Enviro_FY_CostTotal)</f>
        <v>88.887583787972872</v>
      </c>
      <c r="AR37" s="198">
        <f>AQ37/AK$40</f>
        <v>2.40692076328115E-2</v>
      </c>
    </row>
    <row r="38" spans="1:55" ht="15" customHeight="1" x14ac:dyDescent="0.35">
      <c r="H38" s="201" t="s">
        <v>159</v>
      </c>
      <c r="I38" s="201"/>
      <c r="J38" s="200"/>
      <c r="K38" s="197" cm="1">
        <f t="array" ref="K38">_xlfn.XLOOKUP(1,($B$6=Retail_DistributionZone)*(J$29=Retail_CustomerType)*(J$30=Retail_TariffL2)*("Total inc GST"=Retail_Description),Retail_PY_CostTotal)</f>
        <v>328.20341084841237</v>
      </c>
      <c r="L38" s="198">
        <f>K38/J$34</f>
        <v>0.15315138163714997</v>
      </c>
      <c r="M38" s="198"/>
      <c r="N38" s="202">
        <f>IF(OR(K38=0,P38=""),"",P38/K38-1)</f>
        <v>-0.13159040386139853</v>
      </c>
      <c r="O38" s="202">
        <f>(P38-K38)/J34</f>
        <v>-2.0153252161563731E-2</v>
      </c>
      <c r="P38" s="197" cm="1">
        <f t="array" ref="P38">_xlfn.XLOOKUP(1,($B$6=Retail_DistributionZone)*(J$29=Retail_CustomerType)*(J$30=Retail_TariffL2)*("Total inc GST"=Retail_Description),Retail_FY_CostTotal)</f>
        <v>285.0149914661813</v>
      </c>
      <c r="Q38" s="198">
        <f>P38/J$40</f>
        <v>0.1433677019447592</v>
      </c>
      <c r="R38" s="198"/>
      <c r="S38" s="664"/>
      <c r="T38" s="663" cm="1">
        <f t="array" ref="T38">_xlfn.XLOOKUP(1,($B$6=Retail_DistributionZone)*(S$29=Retail_CustomerType)*(S$30=Retail_TariffType)*("Total inc GST"=Retail_Description),Retail_PY_CostTotal)</f>
        <v>0</v>
      </c>
      <c r="U38" s="664" t="str">
        <f t="shared" ref="U38:U39" si="3">IFERROR(T38/S$34,"")</f>
        <v/>
      </c>
      <c r="V38" s="199"/>
      <c r="W38" s="203" t="str">
        <f>IF(OR(T38=0,Y38=""),"",Y38/T38-1)</f>
        <v/>
      </c>
      <c r="X38" s="202" t="str">
        <f t="shared" si="0"/>
        <v/>
      </c>
      <c r="Y38" s="197" cm="1">
        <f t="array" ref="Y38">_xlfn.XLOOKUP(1,($B$6=Retail_DistributionZone)*(S$29=Retail_CustomerType)*(S$30=Retail_TariffType)*("Total inc GST"=Retail_Description),Retail_FY_CostTotal)</f>
        <v>285.0149914661813</v>
      </c>
      <c r="Z38" s="198">
        <f>Y38/S$40</f>
        <v>0.14891065384857957</v>
      </c>
      <c r="AA38" s="200"/>
      <c r="AB38" s="198"/>
      <c r="AC38" s="197" cm="1">
        <f t="array" ref="AC38">_xlfn.XLOOKUP(1,($B$6=Retail_DistributionZone)*(AB$29=Retail_CustomerType)*(AB$30=Retail_TariffL2)*("Total inc GST"=Retail_Description),Retail_PY_CostTotal)</f>
        <v>360.65874430137626</v>
      </c>
      <c r="AD38" s="198">
        <f>AC38/AB$34</f>
        <v>8.3991323777684271E-2</v>
      </c>
      <c r="AE38" s="198"/>
      <c r="AF38" s="202">
        <f>IF(OR(AC38=0,AH38=""),"",AH38/AC38-1)</f>
        <v>-4.9345970075711842E-2</v>
      </c>
      <c r="AG38" s="202">
        <f>(AH38-AC38)/AB34</f>
        <v>-4.1446333497530295E-3</v>
      </c>
      <c r="AH38" s="197" cm="1">
        <f t="array" ref="AH38">_xlfn.XLOOKUP(1,($B$6=Retail_DistributionZone)*(AB$29=Retail_CustomerType)*(AB$30=Retail_TariffL2)*("Total inc GST"=Retail_Description),Retail_FY_CostTotal)</f>
        <v>342.86168869753675</v>
      </c>
      <c r="AI38" s="198">
        <f>AH38/AB$40</f>
        <v>8.9078121251633349E-2</v>
      </c>
      <c r="AJ38" s="200"/>
      <c r="AK38" s="665"/>
      <c r="AL38" s="663" cm="1">
        <f t="array" ref="AL38">_xlfn.XLOOKUP(1,($B$6=Retail_DistributionZone)*(AK$29=Retail_CustomerType)*(AK$30=Retail_TariffType)*("Total inc GST"=Retail_Description),Retail_PY_CostTotal)</f>
        <v>0</v>
      </c>
      <c r="AM38" s="664" t="str">
        <f t="shared" si="1"/>
        <v/>
      </c>
      <c r="AN38" s="199"/>
      <c r="AO38" s="203" t="str">
        <f>IF(OR(AL38=0,AQ38=""),"",AQ38/AL38-1)</f>
        <v/>
      </c>
      <c r="AP38" s="202" t="str">
        <f t="shared" si="2"/>
        <v/>
      </c>
      <c r="AQ38" s="197" cm="1">
        <f t="array" ref="AQ38">_xlfn.XLOOKUP(1,($B$6=Retail_DistributionZone)*(AK$29=Retail_CustomerType)*(AK$30=Retail_TariffType)*("Total inc GST"=Retail_Description),Retail_FY_CostTotal)</f>
        <v>342.86168869753675</v>
      </c>
      <c r="AR38" s="198">
        <f>AQ38/AK$40</f>
        <v>9.2840966341060593E-2</v>
      </c>
    </row>
    <row r="39" spans="1:55" ht="15" customHeight="1" x14ac:dyDescent="0.35">
      <c r="H39" s="201" t="s">
        <v>192</v>
      </c>
      <c r="I39" s="201"/>
      <c r="J39" s="200"/>
      <c r="K39" s="197">
        <f>SUM(K35:K38)/(1-RetailMargin_RES)-SUM(K35:K38)</f>
        <v>128.5509590018487</v>
      </c>
      <c r="L39" s="198">
        <f>K39/J$34</f>
        <v>5.9986448437633552E-2</v>
      </c>
      <c r="M39" s="198"/>
      <c r="N39" s="202">
        <f>IF(OR(K39=0,P39=""),"",P39/K39-1)</f>
        <v>-7.2267579938596227E-2</v>
      </c>
      <c r="O39" s="202">
        <f>(P39-K39)/J34</f>
        <v>-4.3350754576991658E-3</v>
      </c>
      <c r="P39" s="197">
        <f>SUM(P35:P38)/(1-RetailMargin_RES)-SUM(P35:P38)</f>
        <v>119.26089229599938</v>
      </c>
      <c r="Q39" s="198">
        <f>P39/J$40</f>
        <v>5.9990388478872926E-2</v>
      </c>
      <c r="R39" s="198"/>
      <c r="S39" s="664"/>
      <c r="T39" s="663">
        <f>SUM(T35:T38)/(1-RetailMargin_RES)-SUM(T35:T38)</f>
        <v>0</v>
      </c>
      <c r="U39" s="664" t="str">
        <f t="shared" si="3"/>
        <v/>
      </c>
      <c r="V39" s="199"/>
      <c r="W39" s="203" t="str">
        <f>IF(OR(T39=0,Y39=""),"",Y39/T39-1)</f>
        <v/>
      </c>
      <c r="X39" s="202" t="str">
        <f t="shared" si="0"/>
        <v/>
      </c>
      <c r="Y39" s="197">
        <f>SUM(Y35:Y38)/(1-RetailMargin_RES)-SUM(Y35:Y38)</f>
        <v>114.82644417540109</v>
      </c>
      <c r="Z39" s="198">
        <f>Y39/S$40</f>
        <v>5.9992917542006842E-2</v>
      </c>
      <c r="AA39" s="200"/>
      <c r="AB39" s="198"/>
      <c r="AC39" s="197">
        <f>SUM(AC35:AC38)/(1-RetailMargin_PY_SB)-SUM(AC35:AC38)</f>
        <v>472.33037752383007</v>
      </c>
      <c r="AD39" s="198">
        <f>AC39/AB$34</f>
        <v>0.10999775908799024</v>
      </c>
      <c r="AE39" s="198"/>
      <c r="AF39" s="202">
        <f>IF(OR(AC39=0,AH39=""),"",AH39/AC39-1)</f>
        <v>-0.5111226966460668</v>
      </c>
      <c r="AG39" s="202">
        <f>(AH39-AC39)/AB34</f>
        <v>-5.6222351250077969E-2</v>
      </c>
      <c r="AH39" s="197">
        <f>SUM(AH35:AH38)/(1-RetailMargin_FY_SB)-SUM(AH35:AH38)</f>
        <v>230.91160125599527</v>
      </c>
      <c r="AI39" s="198">
        <f>AH39/AB$40</f>
        <v>5.9992621786436807E-2</v>
      </c>
      <c r="AJ39" s="200"/>
      <c r="AK39" s="665"/>
      <c r="AL39" s="663">
        <f>SUM(AL35:AL38)/(1-RetailMargin_FY_SB)-SUM(AL35:AL38)</f>
        <v>0</v>
      </c>
      <c r="AM39" s="664" t="str">
        <f t="shared" si="1"/>
        <v/>
      </c>
      <c r="AN39" s="199"/>
      <c r="AO39" s="203" t="str">
        <f>IF(OR(AL39=0,AQ39=""),"",AQ39/AL39-1)</f>
        <v/>
      </c>
      <c r="AP39" s="202" t="str">
        <f t="shared" si="2"/>
        <v/>
      </c>
      <c r="AQ39" s="197">
        <f>SUM(AQ35:AQ38)/(1-RetailMargin_FY_SB)-SUM(AQ35:AQ38)</f>
        <v>221.56133342533849</v>
      </c>
      <c r="AR39" s="198">
        <f>AQ39/AK$40</f>
        <v>5.9994945417096802E-2</v>
      </c>
    </row>
    <row r="40" spans="1:55" ht="14.5" thickBot="1" x14ac:dyDescent="0.4">
      <c r="B40" s="181"/>
      <c r="H40" s="205" t="str">
        <f>"DMO "&amp;FY&amp;" price"</f>
        <v>DMO 2026-27 price</v>
      </c>
      <c r="I40" s="205"/>
      <c r="J40" s="545">
        <f>ROUND(SUM(P35:P39),0)</f>
        <v>1988</v>
      </c>
      <c r="K40" s="207"/>
      <c r="L40" s="207"/>
      <c r="M40" s="207"/>
      <c r="N40" s="207">
        <f>J40/J34-1</f>
        <v>-7.232851143257113E-2</v>
      </c>
      <c r="O40" s="207"/>
      <c r="P40" s="207"/>
      <c r="Q40" s="207"/>
      <c r="R40" s="207"/>
      <c r="S40" s="545">
        <f>ROUND(SUM(Y35:Y39),0)</f>
        <v>1914</v>
      </c>
      <c r="T40" s="206"/>
      <c r="U40" s="207"/>
      <c r="V40" s="207"/>
      <c r="W40" s="207" t="str">
        <f>IFERROR(S40/S34-1,"")</f>
        <v/>
      </c>
      <c r="X40" s="207"/>
      <c r="Y40" s="208"/>
      <c r="Z40" s="208"/>
      <c r="AA40" s="208"/>
      <c r="AB40" s="545">
        <f>ROUND(SUM(AH35:AH39),0)</f>
        <v>3849</v>
      </c>
      <c r="AC40" s="206"/>
      <c r="AD40" s="207"/>
      <c r="AE40" s="207"/>
      <c r="AF40" s="207">
        <f>AB40/AB34-1</f>
        <v>-0.10363297624592449</v>
      </c>
      <c r="AG40" s="207"/>
      <c r="AH40" s="208"/>
      <c r="AI40" s="208"/>
      <c r="AJ40" s="208"/>
      <c r="AK40" s="545">
        <f>ROUND(SUM(AQ35:AQ39),0)</f>
        <v>3693</v>
      </c>
      <c r="AL40" s="206"/>
      <c r="AM40" s="207"/>
      <c r="AN40" s="207"/>
      <c r="AO40" s="207" t="str">
        <f>IFERROR(AK40/AK34-1,"")</f>
        <v/>
      </c>
      <c r="AP40" s="207"/>
      <c r="AQ40" s="207"/>
      <c r="AR40" s="207"/>
    </row>
    <row r="41" spans="1:55" ht="14.5" thickTop="1" x14ac:dyDescent="0.35">
      <c r="P41" s="216"/>
    </row>
    <row r="42" spans="1:55" x14ac:dyDescent="0.35">
      <c r="H42" s="29"/>
      <c r="J42" s="210"/>
      <c r="O42" s="211"/>
      <c r="P42" s="210"/>
      <c r="R42" s="35"/>
      <c r="S42" s="210"/>
      <c r="Y42" s="210"/>
      <c r="Z42" s="242"/>
    </row>
    <row r="43" spans="1:55" x14ac:dyDescent="0.35">
      <c r="J43" s="210"/>
      <c r="K43" s="68"/>
      <c r="N43" s="215"/>
      <c r="O43" s="211"/>
      <c r="P43" s="216"/>
      <c r="Q43" s="216"/>
      <c r="R43" s="216"/>
      <c r="S43" s="216"/>
      <c r="T43" s="216"/>
      <c r="U43" s="216"/>
      <c r="V43" s="216"/>
      <c r="W43" s="216"/>
      <c r="X43" s="216"/>
      <c r="Y43" s="216"/>
      <c r="Z43" s="216"/>
    </row>
    <row r="44" spans="1:55" s="66" customFormat="1" x14ac:dyDescent="0.35"/>
    <row r="45" spans="1:55" s="160" customFormat="1" ht="14.5" x14ac:dyDescent="0.35">
      <c r="A45" s="697" t="s">
        <v>380</v>
      </c>
      <c r="H45" s="217" t="s">
        <v>125</v>
      </c>
      <c r="T45" s="160" t="s">
        <v>278</v>
      </c>
      <c r="U45" s="160" t="s">
        <v>279</v>
      </c>
      <c r="V45" s="160" t="s">
        <v>283</v>
      </c>
      <c r="X45" s="160" t="s">
        <v>272</v>
      </c>
      <c r="Y45" s="160" t="s">
        <v>278</v>
      </c>
      <c r="Z45" s="160" t="s">
        <v>279</v>
      </c>
      <c r="AA45" s="160" t="s">
        <v>283</v>
      </c>
      <c r="AL45" s="160" t="s">
        <v>278</v>
      </c>
      <c r="AM45" s="160" t="s">
        <v>279</v>
      </c>
      <c r="AN45" s="160" t="s">
        <v>283</v>
      </c>
      <c r="AQ45" s="160" t="s">
        <v>278</v>
      </c>
      <c r="AR45" s="160" t="s">
        <v>279</v>
      </c>
      <c r="AS45" s="160" t="s">
        <v>283</v>
      </c>
      <c r="AW45" s="671" t="s">
        <v>125</v>
      </c>
      <c r="AY45" s="160" t="s">
        <v>272</v>
      </c>
      <c r="AZ45" s="160" t="s">
        <v>278</v>
      </c>
      <c r="BA45" s="160" t="s">
        <v>279</v>
      </c>
      <c r="BB45" s="160" t="s">
        <v>283</v>
      </c>
    </row>
    <row r="46" spans="1:55" s="219" customFormat="1" x14ac:dyDescent="0.35">
      <c r="H46" s="220" t="s">
        <v>32</v>
      </c>
      <c r="I46" s="221"/>
      <c r="J46" s="220"/>
      <c r="K46" s="907" t="s">
        <v>6</v>
      </c>
      <c r="L46" s="907"/>
      <c r="M46" s="907"/>
      <c r="N46" s="907"/>
      <c r="O46" s="907"/>
      <c r="P46" s="907"/>
      <c r="Q46" s="223"/>
      <c r="R46" s="30"/>
      <c r="S46" s="220"/>
      <c r="T46" s="907" t="s">
        <v>6</v>
      </c>
      <c r="U46" s="907"/>
      <c r="V46" s="907"/>
      <c r="W46" s="907"/>
      <c r="X46" s="907"/>
      <c r="Y46" s="907"/>
      <c r="Z46" s="220"/>
      <c r="AA46" s="220"/>
      <c r="AB46" s="220"/>
      <c r="AC46" s="907" t="s">
        <v>76</v>
      </c>
      <c r="AD46" s="907"/>
      <c r="AE46" s="907"/>
      <c r="AF46" s="907"/>
      <c r="AG46" s="907"/>
      <c r="AH46" s="907"/>
      <c r="AI46" s="220"/>
      <c r="AJ46" s="220"/>
      <c r="AK46" s="907" t="s">
        <v>76</v>
      </c>
      <c r="AL46" s="907"/>
      <c r="AM46" s="907"/>
      <c r="AN46" s="907"/>
      <c r="AO46" s="907"/>
      <c r="AP46" s="907"/>
      <c r="AQ46" s="907"/>
      <c r="AR46" s="907"/>
      <c r="AS46" s="907"/>
      <c r="AT46" s="220"/>
      <c r="AU46" s="223"/>
      <c r="AW46" s="546" t="s">
        <v>32</v>
      </c>
      <c r="AX46" s="546"/>
      <c r="AY46" s="900" t="s">
        <v>6</v>
      </c>
      <c r="AZ46" s="900"/>
      <c r="BA46" s="900"/>
      <c r="BB46" s="900"/>
      <c r="BC46" s="546"/>
    </row>
    <row r="47" spans="1:55" s="219" customFormat="1" ht="15.75" customHeight="1" thickBot="1" x14ac:dyDescent="0.4">
      <c r="H47" s="220"/>
      <c r="I47" s="220"/>
      <c r="J47" s="220"/>
      <c r="K47" s="905" t="s">
        <v>19</v>
      </c>
      <c r="L47" s="905"/>
      <c r="M47" s="905"/>
      <c r="N47" s="905"/>
      <c r="O47" s="905"/>
      <c r="P47" s="905"/>
      <c r="Q47" s="223"/>
      <c r="R47" s="30"/>
      <c r="S47" s="515"/>
      <c r="T47" s="905" t="s">
        <v>257</v>
      </c>
      <c r="U47" s="905"/>
      <c r="V47" s="905"/>
      <c r="W47" s="905"/>
      <c r="X47" s="905"/>
      <c r="Y47" s="905"/>
      <c r="Z47" s="515"/>
      <c r="AA47" s="515"/>
      <c r="AB47" s="220"/>
      <c r="AC47" s="905" t="s">
        <v>19</v>
      </c>
      <c r="AD47" s="905"/>
      <c r="AE47" s="905"/>
      <c r="AF47" s="905"/>
      <c r="AG47" s="905"/>
      <c r="AH47" s="905"/>
      <c r="AI47" s="515"/>
      <c r="AJ47" s="220"/>
      <c r="AK47" s="905" t="s">
        <v>272</v>
      </c>
      <c r="AL47" s="905"/>
      <c r="AM47" s="905"/>
      <c r="AN47" s="905"/>
      <c r="AO47" s="905"/>
      <c r="AP47" s="905"/>
      <c r="AQ47" s="905"/>
      <c r="AR47" s="905"/>
      <c r="AS47" s="905"/>
      <c r="AT47" s="515"/>
      <c r="AU47" s="223"/>
      <c r="AW47" s="546"/>
      <c r="AX47" s="546"/>
      <c r="AY47" s="899" t="s">
        <v>300</v>
      </c>
      <c r="AZ47" s="899"/>
      <c r="BA47" s="899"/>
      <c r="BB47" s="899"/>
      <c r="BC47" s="546"/>
    </row>
    <row r="48" spans="1:55" s="219" customFormat="1" ht="15.75" customHeight="1" thickBot="1" x14ac:dyDescent="0.4">
      <c r="H48" s="220"/>
      <c r="I48" s="221"/>
      <c r="J48" s="222"/>
      <c r="K48" s="910" t="str">
        <f>PY</f>
        <v>2025-26</v>
      </c>
      <c r="L48" s="910"/>
      <c r="M48" s="222"/>
      <c r="N48" s="225"/>
      <c r="O48" s="910" t="str">
        <f>FY</f>
        <v>2026-27</v>
      </c>
      <c r="P48" s="910"/>
      <c r="Q48" s="223"/>
      <c r="R48" s="30"/>
      <c r="S48" s="517"/>
      <c r="T48" s="910" t="str">
        <f>PY</f>
        <v>2025-26</v>
      </c>
      <c r="U48" s="910"/>
      <c r="V48" s="222"/>
      <c r="W48" s="225"/>
      <c r="X48" s="910" t="str">
        <f>FY</f>
        <v>2026-27</v>
      </c>
      <c r="Y48" s="910"/>
      <c r="Z48" s="517"/>
      <c r="AA48" s="517"/>
      <c r="AB48" s="220"/>
      <c r="AC48" s="910" t="str">
        <f>PY</f>
        <v>2025-26</v>
      </c>
      <c r="AD48" s="910"/>
      <c r="AE48" s="222"/>
      <c r="AF48" s="225"/>
      <c r="AG48" s="910" t="str">
        <f>FY</f>
        <v>2026-27</v>
      </c>
      <c r="AH48" s="910"/>
      <c r="AI48" s="517"/>
      <c r="AJ48" s="220"/>
      <c r="AK48" s="905" t="str">
        <f>PY</f>
        <v>2025-26</v>
      </c>
      <c r="AL48" s="905"/>
      <c r="AM48" s="905"/>
      <c r="AN48" s="905"/>
      <c r="AO48" s="220"/>
      <c r="AP48" s="905" t="str">
        <f>FY</f>
        <v>2026-27</v>
      </c>
      <c r="AQ48" s="905"/>
      <c r="AR48" s="905"/>
      <c r="AS48" s="905"/>
      <c r="AT48" s="517"/>
      <c r="AU48" s="223"/>
      <c r="AW48" s="546"/>
      <c r="AX48" s="547"/>
      <c r="AY48" s="899" t="str">
        <f>FY</f>
        <v>2026-27</v>
      </c>
      <c r="AZ48" s="899"/>
      <c r="BA48" s="899"/>
      <c r="BB48" s="899"/>
      <c r="BC48" s="546"/>
    </row>
    <row r="49" spans="1:72" s="228" customFormat="1" ht="27" customHeight="1" x14ac:dyDescent="0.35">
      <c r="H49" s="220"/>
      <c r="I49" s="226"/>
      <c r="J49" s="224"/>
      <c r="K49" s="225" t="s">
        <v>46</v>
      </c>
      <c r="L49" s="225" t="s">
        <v>47</v>
      </c>
      <c r="M49" s="225"/>
      <c r="N49" s="225"/>
      <c r="O49" s="225" t="s">
        <v>46</v>
      </c>
      <c r="P49" s="225" t="s">
        <v>47</v>
      </c>
      <c r="Q49" s="223"/>
      <c r="R49" s="30"/>
      <c r="S49" s="516"/>
      <c r="T49" s="225" t="s">
        <v>46</v>
      </c>
      <c r="U49" s="902" t="s">
        <v>47</v>
      </c>
      <c r="V49" s="902"/>
      <c r="W49" s="225"/>
      <c r="X49" s="225" t="s">
        <v>46</v>
      </c>
      <c r="Y49" s="902" t="s">
        <v>47</v>
      </c>
      <c r="Z49" s="902"/>
      <c r="AA49" s="306"/>
      <c r="AB49" s="220"/>
      <c r="AC49" s="225" t="s">
        <v>46</v>
      </c>
      <c r="AD49" s="225" t="s">
        <v>47</v>
      </c>
      <c r="AE49" s="225"/>
      <c r="AF49" s="225"/>
      <c r="AG49" s="225" t="s">
        <v>46</v>
      </c>
      <c r="AH49" s="225" t="s">
        <v>47</v>
      </c>
      <c r="AI49" s="227"/>
      <c r="AJ49" s="220"/>
      <c r="AK49" s="225" t="s">
        <v>46</v>
      </c>
      <c r="AL49" s="901" t="s">
        <v>47</v>
      </c>
      <c r="AM49" s="901"/>
      <c r="AN49" s="901"/>
      <c r="AO49" s="225"/>
      <c r="AP49" s="225" t="s">
        <v>46</v>
      </c>
      <c r="AQ49" s="901" t="s">
        <v>47</v>
      </c>
      <c r="AR49" s="901"/>
      <c r="AS49" s="901"/>
      <c r="AT49" s="225"/>
      <c r="AU49" s="223"/>
      <c r="AW49" s="546"/>
      <c r="AX49" s="549"/>
      <c r="AY49" s="548" t="s">
        <v>46</v>
      </c>
      <c r="AZ49" s="897" t="s">
        <v>47</v>
      </c>
      <c r="BA49" s="897"/>
      <c r="BB49" s="555"/>
      <c r="BC49" s="546"/>
    </row>
    <row r="50" spans="1:72" s="228" customFormat="1" ht="25" x14ac:dyDescent="0.35">
      <c r="H50" s="220"/>
      <c r="I50" s="226"/>
      <c r="J50" s="223"/>
      <c r="K50" s="44" t="s">
        <v>262</v>
      </c>
      <c r="L50" s="44" t="s">
        <v>268</v>
      </c>
      <c r="M50" s="44"/>
      <c r="N50" s="44"/>
      <c r="O50" s="44" t="s">
        <v>262</v>
      </c>
      <c r="P50" s="44" t="s">
        <v>268</v>
      </c>
      <c r="Q50" s="223"/>
      <c r="R50" s="30"/>
      <c r="S50" s="44" t="s">
        <v>262</v>
      </c>
      <c r="T50" s="44" t="s">
        <v>263</v>
      </c>
      <c r="U50" s="44" t="s">
        <v>264</v>
      </c>
      <c r="V50" s="44" t="s">
        <v>277</v>
      </c>
      <c r="W50" s="44"/>
      <c r="X50" s="44" t="s">
        <v>262</v>
      </c>
      <c r="Y50" s="44" t="s">
        <v>263</v>
      </c>
      <c r="Z50" s="44" t="s">
        <v>264</v>
      </c>
      <c r="AA50" s="44" t="s">
        <v>277</v>
      </c>
      <c r="AB50" s="44"/>
      <c r="AC50" s="44" t="s">
        <v>262</v>
      </c>
      <c r="AD50" s="44" t="s">
        <v>268</v>
      </c>
      <c r="AE50" s="44"/>
      <c r="AF50" s="44"/>
      <c r="AG50" s="44" t="s">
        <v>262</v>
      </c>
      <c r="AH50" s="44" t="s">
        <v>268</v>
      </c>
      <c r="AI50" s="44"/>
      <c r="AJ50" s="44"/>
      <c r="AK50" s="44" t="s">
        <v>272</v>
      </c>
      <c r="AL50" s="44" t="s">
        <v>263</v>
      </c>
      <c r="AM50" s="44" t="s">
        <v>264</v>
      </c>
      <c r="AN50" s="44" t="s">
        <v>277</v>
      </c>
      <c r="AO50" s="44"/>
      <c r="AP50" s="44" t="s">
        <v>272</v>
      </c>
      <c r="AQ50" s="44" t="s">
        <v>263</v>
      </c>
      <c r="AR50" s="44" t="s">
        <v>264</v>
      </c>
      <c r="AS50" s="44" t="s">
        <v>277</v>
      </c>
      <c r="AT50" s="44"/>
      <c r="AU50" s="223"/>
      <c r="AW50" s="546"/>
      <c r="AX50" s="549"/>
      <c r="AY50" s="550" t="s">
        <v>262</v>
      </c>
      <c r="AZ50" s="550" t="s">
        <v>263</v>
      </c>
      <c r="BA50" s="550" t="s">
        <v>264</v>
      </c>
      <c r="BB50" s="550" t="s">
        <v>277</v>
      </c>
      <c r="BC50" s="550"/>
    </row>
    <row r="51" spans="1:72" x14ac:dyDescent="0.35">
      <c r="H51" s="196"/>
      <c r="I51" s="196"/>
      <c r="J51" s="197"/>
      <c r="K51" s="229" t="s">
        <v>266</v>
      </c>
      <c r="L51" s="229" t="s">
        <v>246</v>
      </c>
      <c r="M51" s="229"/>
      <c r="N51" s="229"/>
      <c r="O51" s="229" t="s">
        <v>266</v>
      </c>
      <c r="P51" s="229" t="s">
        <v>246</v>
      </c>
      <c r="Q51" s="198"/>
      <c r="S51" s="229" t="s">
        <v>266</v>
      </c>
      <c r="T51" s="229" t="s">
        <v>246</v>
      </c>
      <c r="U51" s="229" t="s">
        <v>246</v>
      </c>
      <c r="V51" s="229" t="s">
        <v>246</v>
      </c>
      <c r="W51" s="229"/>
      <c r="X51" s="229" t="s">
        <v>266</v>
      </c>
      <c r="Y51" s="229" t="s">
        <v>246</v>
      </c>
      <c r="Z51" s="229" t="s">
        <v>246</v>
      </c>
      <c r="AA51" s="229" t="s">
        <v>246</v>
      </c>
      <c r="AB51" s="229"/>
      <c r="AC51" s="229" t="s">
        <v>266</v>
      </c>
      <c r="AD51" s="229" t="s">
        <v>246</v>
      </c>
      <c r="AE51" s="230"/>
      <c r="AF51" s="230"/>
      <c r="AG51" s="229" t="s">
        <v>266</v>
      </c>
      <c r="AH51" s="229" t="s">
        <v>246</v>
      </c>
      <c r="AI51" s="229"/>
      <c r="AJ51" s="229"/>
      <c r="AK51" s="229" t="s">
        <v>266</v>
      </c>
      <c r="AL51" s="229" t="s">
        <v>246</v>
      </c>
      <c r="AM51" s="229" t="s">
        <v>246</v>
      </c>
      <c r="AN51" s="229" t="s">
        <v>246</v>
      </c>
      <c r="AO51" s="230"/>
      <c r="AP51" s="229" t="s">
        <v>266</v>
      </c>
      <c r="AQ51" s="229" t="s">
        <v>246</v>
      </c>
      <c r="AR51" s="229" t="s">
        <v>246</v>
      </c>
      <c r="AS51" s="229" t="s">
        <v>246</v>
      </c>
      <c r="AT51" s="229"/>
      <c r="AU51" s="198"/>
      <c r="AW51" s="196"/>
      <c r="AX51" s="196"/>
      <c r="AY51" s="229" t="s">
        <v>266</v>
      </c>
      <c r="AZ51" s="229" t="s">
        <v>246</v>
      </c>
      <c r="BA51" s="229" t="s">
        <v>246</v>
      </c>
      <c r="BB51" s="229" t="s">
        <v>246</v>
      </c>
      <c r="BC51" s="196"/>
    </row>
    <row r="52" spans="1:72" x14ac:dyDescent="0.35">
      <c r="H52" s="201" t="s">
        <v>63</v>
      </c>
      <c r="I52" s="201"/>
      <c r="J52" s="197"/>
      <c r="K52" s="231" cm="1">
        <f t="array" ref="K52">(_xlfn.XLOOKUP(1,($A$2=Wholesale_DistributionZone)*($K$46=Wholesale_CustomerType)*($K$47=Wholesale_TariffType)*("Total"=Wholesale_Description),Wholesale_PY_FixedFees)*1.1/365)*100</f>
        <v>4.1695256295746885</v>
      </c>
      <c r="L52" s="231" cm="1">
        <f t="array" ref="L52">_xlfn.XLOOKUP(1,($A$2=Wholesale_DistributionZone)*($K$46=Wholesale_CustomerType)*($K$47=Wholesale_TariffType)*("Total"=Wholesale_Description),Wholesale_PY_VarFees)*1.1/10</f>
        <v>18.082351948260133</v>
      </c>
      <c r="M52" s="232"/>
      <c r="N52" s="233"/>
      <c r="O52" s="231" cm="1">
        <f t="array" ref="O52">(_xlfn.XLOOKUP(1,($A$2=Wholesale_DistributionZone)*($K$46=Wholesale_CustomerType)*($K$47=Wholesale_TariffType)*("Total"=Wholesale_Description),Wholesale_FY_FixedFees)*1.1/365)*100</f>
        <v>3.9556</v>
      </c>
      <c r="P52" s="231" cm="1">
        <f t="array" ref="P52">_xlfn.XLOOKUP(1,($A$2=Wholesale_DistributionZone)*($K$46=Wholesale_CustomerType)*($K$47=Wholesale_TariffType)*("Total"=Wholesale_Description),Wholesale_FY_VarFees)*1.1/10</f>
        <v>15.448175095712468</v>
      </c>
      <c r="Q52" s="198"/>
      <c r="S52" s="669" cm="1">
        <f t="array" ref="S52">(_xlfn.XLOOKUP(1,($A$2=Wholesale_DistributionZone)*($T$46=Wholesale_CustomerType)*($T$47=Wholesale_TariffType)*("Total"=Wholesale_Description),Wholesale_PY_FixedFees)*1.1/365)*100</f>
        <v>0</v>
      </c>
      <c r="T52" s="669" cm="1">
        <f t="array" ref="T52">_xlfn.XLOOKUP(1,($A$2=Wholesale_DistributionZone)*($T$46=Wholesale_CustomerType)*($T$47=Wholesale_TariffType)*("Total"=Wholesale_Description),Wholesale_PY_VarFees)*1.1/10</f>
        <v>0</v>
      </c>
      <c r="U52" s="666" cm="1">
        <f t="array" ref="U52">_xlfn.XLOOKUP(1,($A$2=Wholesale_DistributionZone)*($T$46=Wholesale_CustomerType)*(T$45=Wholesale_TariffType)*("Total"=Wholesale_Description),Wholesale_PY_VarFees)*1.1/10</f>
        <v>0</v>
      </c>
      <c r="V52" s="666" cm="1">
        <f t="array" ref="V52">_xlfn.XLOOKUP(1,($A$2=Wholesale_DistributionZone)*($T$46=Wholesale_CustomerType)*(U$45=Wholesale_TariffType)*("Total"=Wholesale_Description),Wholesale_PY_VarFees)*1.1/10</f>
        <v>0</v>
      </c>
      <c r="W52" s="233"/>
      <c r="X52" s="231" cm="1">
        <f t="array" ref="X52">(_xlfn.XLOOKUP(1,($A$2=Wholesale_DistributionZone)*($K$46=Wholesale_CustomerType)*($T$47=Wholesale_TariffType)*("Total"=Wholesale_Description),Wholesale_FY_FixedFees)*1.1/365)*100</f>
        <v>3.9556</v>
      </c>
      <c r="Y52" s="231" cm="1">
        <f t="array" ref="Y52">_xlfn.XLOOKUP(1,($A$2=Wholesale_DistributionZone)*($T$46=Wholesale_CustomerType)*($Y$45=Wholesale_TariffType)*("Total"=Wholesale_Description),Wholesale_FY_VarFees)*1.1/10</f>
        <v>22.543449404331888</v>
      </c>
      <c r="Z52" s="232" cm="1">
        <f t="array" ref="Z52">_xlfn.XLOOKUP(1,($A$2=Wholesale_DistributionZone)*($T$46=Wholesale_CustomerType)*(Z$45=Wholesale_TariffType)*("Total"=Wholesale_Description),Wholesale_FY_VarFees)*1.1/10</f>
        <v>5.1994826202366262</v>
      </c>
      <c r="AA52" s="232" cm="1">
        <f t="array" ref="AA52">_xlfn.XLOOKUP(1,($A$2=Wholesale_DistributionZone)*($T$46=Wholesale_CustomerType)*(AA$45=Wholesale_TariffType)*("Total"=Wholesale_Description),Wholesale_FY_VarFees)*1.1/10</f>
        <v>16.213117264595731</v>
      </c>
      <c r="AB52" s="232"/>
      <c r="AC52" s="232" cm="1">
        <f t="array" ref="AC52">_xlfn.XLOOKUP(1,($A$2=Wholesale_DistributionZone)*($AC$46=Wholesale_CustomerType)*(AC$47=Wholesale_TariffType)*("Total"=Wholesale_Description),Wholesale_PY_FixedFees)*1.1/365*100</f>
        <v>4.1695256295746885</v>
      </c>
      <c r="AD52" s="232" cm="1">
        <f t="array" ref="AD52">_xlfn.XLOOKUP(1,($A$2=Wholesale_DistributionZone)*($AC$46=Wholesale_CustomerType)*(AC$47=Wholesale_TariffType)*("Total"=Wholesale_Description),Wholesale_PY_VarFees)*1.1/10</f>
        <v>18.082351948260133</v>
      </c>
      <c r="AE52" s="232"/>
      <c r="AF52" s="233"/>
      <c r="AG52" s="232" cm="1">
        <f t="array" ref="AG52">_xlfn.XLOOKUP(1,($A$2=Wholesale_DistributionZone)*($AC$46=Wholesale_CustomerType)*(AC$47=Wholesale_TariffType)*("Total"=Wholesale_Description),Wholesale_FY_FixedFees)*1.1/365*100</f>
        <v>3.9556</v>
      </c>
      <c r="AH52" s="232" cm="1">
        <f t="array" ref="AH52">_xlfn.XLOOKUP(1,($A$2=Wholesale_DistributionZone)*($AC$46=Wholesale_CustomerType)*(AC$47=Wholesale_TariffType)*("Total"=Wholesale_Description),Wholesale_FY_VarFees)*1.1/10</f>
        <v>15.448175095712468</v>
      </c>
      <c r="AI52" s="232"/>
      <c r="AJ52" s="232"/>
      <c r="AK52" s="666" cm="1">
        <f t="array" ref="AK52">_xlfn.XLOOKUP(1,($A$2=Wholesale_DistributionZone)*($AK$46=Wholesale_CustomerType)*(AK$50=Wholesale_TariffType)*("Total"=Wholesale_Description),Wholesale_PY_FixedFees)*1.1/365*100</f>
        <v>0</v>
      </c>
      <c r="AL52" s="666" cm="1">
        <f t="array" ref="AL52">_xlfn.XLOOKUP(1,($A$2=Wholesale_DistributionZone)*($AK$46=Wholesale_CustomerType)*(AL$45=Wholesale_TariffType)*("Total"=Wholesale_Description),Wholesale_PY_VarFees)*1.1/10</f>
        <v>0</v>
      </c>
      <c r="AM52" s="666" cm="1">
        <f t="array" ref="AM52">_xlfn.XLOOKUP(1,($A$2=Wholesale_DistributionZone)*($AK$46=Wholesale_CustomerType)*(AM$45=Wholesale_TariffType)*("Total"=Wholesale_Description),Wholesale_PY_VarFees)*1.1/10</f>
        <v>0</v>
      </c>
      <c r="AN52" s="666" cm="1">
        <f t="array" ref="AN52">_xlfn.XLOOKUP(1,($A$2=Wholesale_DistributionZone)*($AK$46=Wholesale_CustomerType)*(AN$45=Wholesale_TariffType)*("Total"=Wholesale_Description),Wholesale_PY_VarFees)*1.1/10</f>
        <v>0</v>
      </c>
      <c r="AO52" s="235"/>
      <c r="AP52" s="232" cm="1">
        <f t="array" ref="AP52">_xlfn.XLOOKUP(1,($A$2=Wholesale_DistributionZone)*($AK$46=Wholesale_CustomerType)*(AP$50=Wholesale_TariffType)*("Total"=Wholesale_Description),Wholesale_FY_FixedFees)*1.1/365*100</f>
        <v>3.9556</v>
      </c>
      <c r="AQ52" s="232" cm="1">
        <f t="array" ref="AQ52">_xlfn.XLOOKUP(1,($A$2=Wholesale_DistributionZone)*($AK$46=Wholesale_CustomerType)*(AQ$45=Wholesale_TariffType)*("Total"=Wholesale_Description),Wholesale_FY_VarFees)*1.1/10</f>
        <v>24.055096056417664</v>
      </c>
      <c r="AR52" s="232" cm="1">
        <f t="array" ref="AR52">_xlfn.XLOOKUP(1,($A$2=Wholesale_DistributionZone)*($AK$46=Wholesale_CustomerType)*(AR$45=Wholesale_TariffType)*("Total"=Wholesale_Description),Wholesale_FY_VarFees)*1.1/10</f>
        <v>5.5326335487800584</v>
      </c>
      <c r="AS52" s="232" cm="1">
        <f t="array" ref="AS52">_xlfn.XLOOKUP(1,($A$2=Wholesale_DistributionZone)*($AK$46=Wholesale_CustomerType)*(AS$45=Wholesale_TariffType)*("Total"=Wholesale_Description),Wholesale_FY_VarFees)*1.1/10</f>
        <v>16.076313256022388</v>
      </c>
      <c r="AT52" s="232"/>
      <c r="AU52" s="198"/>
      <c r="AW52" s="552" t="s">
        <v>63</v>
      </c>
      <c r="AX52" s="232"/>
      <c r="AY52" s="231" cm="1">
        <f t="array" ref="AY52">(_xlfn.XLOOKUP(1,($A$2=Wholesale_DistributionZone)*($AY$46=Wholesale_CustomerType)*($AY$45=Wholesale_TariffType)*("Total"=Wholesale_Description),Wholesale_FY_FixedFees)*1.1/365)*100</f>
        <v>3.9556</v>
      </c>
      <c r="AZ52" s="231" cm="1">
        <f t="array" ref="AZ52">_xlfn.XLOOKUP(1,($A$2=Wholesale_DistributionZone)*($AY$46=Wholesale_CustomerType)*($AZ$45=Wholesale_TariffType)*("Total"=Wholesale_Description),Wholesale_FY_VarFees)*1.1/10</f>
        <v>22.543449404331888</v>
      </c>
      <c r="BA52" s="232" cm="1">
        <f t="array" ref="BA52">_xlfn.XLOOKUP(1,($A$2=Wholesale_DistributionZone)*($AY$46=Wholesale_CustomerType)*(BA$45=Wholesale_TariffType)*("Total"=Wholesale_Description),Wholesale_FY_VarFees)*1.1/10</f>
        <v>5.1994826202366262</v>
      </c>
      <c r="BB52" s="232" cm="1">
        <f t="array" ref="BB52">_xlfn.XLOOKUP(1,($A$2=Wholesale_DistributionZone)*($AY$46=Wholesale_CustomerType)*(BB$45=Wholesale_TariffType)*("Total"=Wholesale_Description),Wholesale_FY_VarFees)*1.1/10</f>
        <v>16.213117264595731</v>
      </c>
      <c r="BC52" s="232"/>
    </row>
    <row r="53" spans="1:72" x14ac:dyDescent="0.35">
      <c r="H53" s="201" t="s">
        <v>62</v>
      </c>
      <c r="I53" s="201"/>
      <c r="J53" s="197"/>
      <c r="K53" s="231" cm="1">
        <f t="array" ref="K53">(_xlfn.XLOOKUP(1,($A$2=Network_DistributionZone)*($K$46=Network_CustomerType)*($K$47=Network_TariffType)*("Total"=Network_Description),Network_PY_FixedFees)*1.1/365)*100</f>
        <v>89.643462193498209</v>
      </c>
      <c r="L53" s="231" cm="1">
        <f t="array" ref="L53">_xlfn.XLOOKUP(1,($A$2=Network_DistributionZone)*($K$46=Network_CustomerType)*($K$47=Network_TariffType)*("Total"=Network_Description),Network_PY_VarFees)*1.1/10</f>
        <v>9.8097999999999992</v>
      </c>
      <c r="M53" s="232"/>
      <c r="N53" s="233"/>
      <c r="O53" s="231" cm="1">
        <f t="array" ref="O53">(_xlfn.XLOOKUP(1,($A$2=Network_DistributionZone)*($K$46=Network_CustomerType)*("Blended"=Network_TariffType)*("Total"=Network_Description),Network_FY_FixedFees)*1.1/365)*100</f>
        <v>98.453091677861934</v>
      </c>
      <c r="P53" s="231" cm="1">
        <f t="array" ref="P53">_xlfn.XLOOKUP(1,($A$2=Network_DistributionZone)*($K$46=Network_CustomerType)*("Blended"=Network_TariffType)*("Total"=Network_Description),Network_FY_VarFees)*1.1/10</f>
        <v>9.958904063805111</v>
      </c>
      <c r="Q53" s="198"/>
      <c r="S53" s="669" cm="1">
        <f t="array" ref="S53">(_xlfn.XLOOKUP(1,($A$2=Network_DistributionZone)*($T$46=Network_CustomerType)*($T$47=Network_TariffType)*("Total"=Network_Description),Network_PY_FixedFees)*1.1/365)*100</f>
        <v>0</v>
      </c>
      <c r="T53" s="669" cm="1">
        <f t="array" ref="T53">_xlfn.XLOOKUP(1,($A$2=Network_DistributionZone)*($T$46=Network_CustomerType)*($T$47=Network_TariffType)*("Total"=Network_Description),Network_PY_VarFees)*1.1/10</f>
        <v>0</v>
      </c>
      <c r="U53" s="666" cm="1">
        <f t="array" ref="U53">_xlfn.XLOOKUP(1,($A$2=Network_DistributionZone)*($T$46=Network_CustomerType)*(T$45=Network_TariffType),Network_PY_VarFees)*1.1/10</f>
        <v>0</v>
      </c>
      <c r="V53" s="666" cm="1">
        <f t="array" ref="V53">_xlfn.XLOOKUP(1,($A$2=Network_DistributionZone)*($T$46=Network_CustomerType)*(U$45=Network_TariffType),Network_PY_VarFees)*1.1/10</f>
        <v>0</v>
      </c>
      <c r="W53" s="233"/>
      <c r="X53" s="231" cm="1">
        <f t="array" ref="X53">(_xlfn.XLOOKUP(1,($A$2=Network_DistributionZone)*($T$46=Network_CustomerType)*($T$47=Network_TariffType)*("Total"=Network_Description),Network_FY_FixedFees)*1.1/365)*100</f>
        <v>85.14</v>
      </c>
      <c r="Y53" s="231" cm="1">
        <f t="array" ref="Y53">(_xlfn.XLOOKUP(1,($A$2=Network_DistributionZone)*($T$46=Network_CustomerType)*($Y$45=Network_TariffType),Network_FY_VarFees))*1.1/10</f>
        <v>21.486300000000004</v>
      </c>
      <c r="Z53" s="232" cm="1">
        <f t="array" ref="Z53">_xlfn.XLOOKUP(1,($A$2=Network_DistributionZone)*($T$46=Network_CustomerType)*(Z$45=Network_TariffType),Network_FY_VarFees)*1.1/10</f>
        <v>0.47739999999999999</v>
      </c>
      <c r="AA53" s="232" cm="1">
        <f t="array" ref="AA53">_xlfn.XLOOKUP(1,($A$2=Network_DistributionZone)*($T$46=Network_CustomerType)*(AA$45=Network_TariffType),Network_FY_VarFees)*1.1/10</f>
        <v>6.6759000000000004</v>
      </c>
      <c r="AB53" s="232"/>
      <c r="AC53" s="232" cm="1">
        <f t="array" ref="AC53">_xlfn.XLOOKUP(1,($A$2=Network_DistributionZone)*($AC$46=Network_CustomerType)*(AC$47=Network_TariffType)*("Total"=Network_Description),Network_PY_FixedFees)*1.1/365*100</f>
        <v>115.49346219349823</v>
      </c>
      <c r="AD53" s="232" cm="1">
        <f t="array" ref="AD53">_xlfn.XLOOKUP(1,($A$2=Network_DistributionZone)*($AC$46=Network_CustomerType)*(AC$47=Network_TariffType)*("Total"=Network_Description),Network_PY_VarFees)*1.1/10</f>
        <v>10.848200000000002</v>
      </c>
      <c r="AE53" s="232"/>
      <c r="AF53" s="233"/>
      <c r="AG53" s="232" cm="1">
        <f t="array" ref="AG53">_xlfn.XLOOKUP(1,($A$2=Network_DistributionZone)*($AC$46=Network_CustomerType)*("Blended"=Network_TariffType)*("Total"=Network_Description),Network_FY_FixedFees)*1.1/365*100</f>
        <v>148.03787698205244</v>
      </c>
      <c r="AH53" s="232" cm="1">
        <f t="array" ref="AH53">_xlfn.XLOOKUP(1,($A$2=Network_DistributionZone)*($AC$46=Network_CustomerType)*("Blended"=Network_TariffType)*("Total"=Network_Description),Network_FY_VarFees)*1.1/10</f>
        <v>10.862721133026762</v>
      </c>
      <c r="AI53" s="232"/>
      <c r="AJ53" s="232"/>
      <c r="AK53" s="666" cm="1">
        <f t="array" ref="AK53">_xlfn.XLOOKUP(1,($A$2=Network_DistributionZone)*($AK$46=Network_CustomerType)*(AK$50=Network_TariffType)*("Total"=Network_Description),Network_PY_FixedFees)*1.1/365*100</f>
        <v>0</v>
      </c>
      <c r="AL53" s="666" cm="1">
        <f t="array" ref="AL53">_xlfn.XLOOKUP(1,($A$2=Network_DistributionZone)*($AK$46=Network_CustomerType)*(AL$45=Network_TariffType),Network_PY_VarFees)*1.1/10</f>
        <v>0</v>
      </c>
      <c r="AM53" s="666" cm="1">
        <f t="array" ref="AM53">_xlfn.XLOOKUP(1,($A$2=Network_DistributionZone)*($AK$46=Network_CustomerType)*(AM$45=Network_TariffType),Network_PY_VarFees)*1.1/10</f>
        <v>0</v>
      </c>
      <c r="AN53" s="666" cm="1">
        <f t="array" ref="AN53">_xlfn.XLOOKUP(1,($A$2=Network_DistributionZone)*($AK$46=Network_CustomerType)*(AN$45=Network_TariffType),Network_PY_VarFees)*1.1/10</f>
        <v>0</v>
      </c>
      <c r="AO53" s="235"/>
      <c r="AP53" s="232" cm="1">
        <f t="array" ref="AP53">_xlfn.XLOOKUP(1,($A$2=Network_DistributionZone)*($AK$46=Network_CustomerType)*(AP$50=Network_TariffType)*("Total"=Network_Description),Network_FY_FixedFees)*1.1/365*100</f>
        <v>147.84000000000003</v>
      </c>
      <c r="AQ53" s="232" cm="1">
        <f t="array" ref="AQ53">_xlfn.XLOOKUP(1,($A$2=Network_DistributionZone)*($AK$46=Network_CustomerType)*(AQ$45=Network_TariffType),Network_FY_VarFees)*1.1/10</f>
        <v>28.949800000000003</v>
      </c>
      <c r="AR53" s="232" cm="1">
        <f t="array" ref="AR53">_xlfn.XLOOKUP(1,($A$2=Network_DistributionZone)*($AK$46=Network_CustomerType)*(AR$45=Network_TariffType),Network_FY_VarFees)*1.1/10</f>
        <v>1.7897000000000003</v>
      </c>
      <c r="AS53" s="232" cm="1">
        <f t="array" ref="AS53">_xlfn.XLOOKUP(1,($A$2=Network_DistributionZone)*($AK$46=Network_CustomerType)*(AS$45=Network_TariffType),Network_FY_VarFees)*1.1/10</f>
        <v>8.464500000000001</v>
      </c>
      <c r="AT53" s="232"/>
      <c r="AU53" s="198"/>
      <c r="AW53" s="552" t="s">
        <v>62</v>
      </c>
      <c r="AX53" s="232"/>
      <c r="AY53" s="231" cm="1">
        <f t="array" ref="AY53">(_xlfn.XLOOKUP(1,($A$2=Network_DistributionZone)*($AY$46=Network_CustomerType)*($AY$45=Network_TariffType)*("Total"=Network_Description),Network_FY_FixedFees)*1.1/365)*100</f>
        <v>85.14</v>
      </c>
      <c r="AZ53" s="231" cm="1">
        <f t="array" ref="AZ53">(_xlfn.XLOOKUP(1,($A$2=Network_DistributionZone)*($AY$46=Network_CustomerType)*($AZ$45=Network_TariffType),Network_FY_VarFees))*1.1/10</f>
        <v>21.486300000000004</v>
      </c>
      <c r="BA53" s="232" cm="1">
        <f t="array" ref="BA53">_xlfn.XLOOKUP(1,($A$2=Network_DistributionZone)*($AY$46=Network_CustomerType)*(BA$45=Network_TariffType),Network_FY_VarFees)*1.1/10</f>
        <v>0.47739999999999999</v>
      </c>
      <c r="BB53" s="232" cm="1">
        <f t="array" ref="BB53">_xlfn.XLOOKUP(1,($A$2=Network_DistributionZone)*($AY$46=Network_CustomerType)*(BB$45=Network_TariffType),Network_FY_VarFees)*1.1/10</f>
        <v>6.6759000000000004</v>
      </c>
      <c r="BC53" s="232"/>
    </row>
    <row r="54" spans="1:72" x14ac:dyDescent="0.35">
      <c r="H54" s="201" t="s">
        <v>64</v>
      </c>
      <c r="I54" s="201"/>
      <c r="J54" s="197"/>
      <c r="K54" s="231" cm="1">
        <f t="array" ref="K54">(_xlfn.XLOOKUP(1,($A$2=Enviro_DistributionZone)*($K$46=Enviro_CustomerType)*($K$47=Enviro_TariffType)*("Total"=Enviro_Description),Enviro_PY_FixedFees)*1.1/365)*100</f>
        <v>0</v>
      </c>
      <c r="L54" s="231" cm="1">
        <f t="array" ref="L54">_xlfn.XLOOKUP(1,($A$2=Enviro_DistributionZone)*($K$46=Enviro_CustomerType)*($K$47=Enviro_TariffType)*("Total"=Enviro_Description),Enviro_PY_VarFees)*1.1/10</f>
        <v>1.3109830073847655</v>
      </c>
      <c r="M54" s="232"/>
      <c r="N54" s="233"/>
      <c r="O54" s="231" cm="1">
        <f t="array" ref="O54">(_xlfn.XLOOKUP(1,($A$2=Enviro_DistributionZone)*($K$46=Enviro_CustomerType)*($K$47=Enviro_TariffType)*("Total"=Enviro_Description),Enviro_FY_FixedFees)*1.1/365)*100</f>
        <v>0</v>
      </c>
      <c r="P54" s="231" cm="1">
        <f t="array" ref="P54">_xlfn.XLOOKUP(1,($A$2=Enviro_DistributionZone)*($K$46=Enviro_CustomerType)*($K$47=Enviro_TariffType)*("Total"=Enviro_Description),Enviro_FY_VarFees)*1.1/10</f>
        <v>0.88887583787972879</v>
      </c>
      <c r="Q54" s="198"/>
      <c r="S54" s="669" cm="1">
        <f t="array" ref="S54">_xlfn.IFNA((_xlfn.XLOOKUP(1,($A$2=Enviro_DistributionZone)*($T$46=Enviro_CustomerType)*($T$47=Enviro_TariffType)*("Total"=Enviro_Description),Enviro_PY_FixedFees)*1.1/365),0)*100</f>
        <v>0</v>
      </c>
      <c r="T54" s="669" cm="1">
        <f t="array" ref="T54">_xlfn.IFNA(_xlfn.XLOOKUP(1,($A$2=Enviro_DistributionZone)*($T$46=Enviro_CustomerType)*($T$47=Enviro_TariffType)*("Total"=Enviro_Description),Enviro_PY_VarFees),0)*1.1/10</f>
        <v>0</v>
      </c>
      <c r="U54" s="666" cm="1">
        <f t="array" ref="U54">_xlfn.XLOOKUP(1,($A$2=Enviro_DistributionZone)*($T$46=Enviro_CustomerType)*(T$45=Enviro_TariffType)*("Total"=Enviro_Description),Enviro_PY_VarFees)*1.1/10</f>
        <v>0</v>
      </c>
      <c r="V54" s="666" cm="1">
        <f t="array" ref="V54">_xlfn.XLOOKUP(1,($A$2=Enviro_DistributionZone)*($T$46=Enviro_CustomerType)*(U$45=Enviro_TariffType)*("Total"=Enviro_Description),Enviro_PY_VarFees)*1.1/10</f>
        <v>0</v>
      </c>
      <c r="W54" s="233"/>
      <c r="X54" s="231" cm="1">
        <f t="array" ref="X54">_xlfn.IFNA((_xlfn.XLOOKUP(1,($A$2=Enviro_DistributionZone)*($K$46=Enviro_CustomerType)*($T$47=Enviro_TariffType)*("Total"=Enviro_Description),Enviro_FY_FixedFees)*1.1/365),0)*100</f>
        <v>0</v>
      </c>
      <c r="Y54" s="231" cm="1">
        <f t="array" ref="Y54">_xlfn.IFNA(_xlfn.XLOOKUP(1,($A$2=Enviro_DistributionZone)*($T$46=Enviro_CustomerType)*($Y$45=Enviro_TariffType)*("Total"=Enviro_Description),Enviro_FY_VarFees),0)*1.1/10</f>
        <v>0.88887583787972879</v>
      </c>
      <c r="Z54" s="232" cm="1">
        <f t="array" ref="Z54">_xlfn.XLOOKUP(1,($A$2=Enviro_DistributionZone)*($T$46=Enviro_CustomerType)*(Z$45=Enviro_TariffType)*("Total"=Enviro_Description),Enviro_FY_VarFees)*1.1/10</f>
        <v>0.88887583787972879</v>
      </c>
      <c r="AA54" s="232" cm="1">
        <f t="array" ref="AA54">_xlfn.XLOOKUP(1,($A$2=Enviro_DistributionZone)*($T$46=Enviro_CustomerType)*(AA$45=Enviro_TariffType)*("Total"=Enviro_Description),Enviro_FY_VarFees)*1.1/10</f>
        <v>0.88887583787972879</v>
      </c>
      <c r="AB54" s="232"/>
      <c r="AC54" s="232" cm="1">
        <f t="array" ref="AC54">_xlfn.XLOOKUP(1,($A$2=Enviro_DistributionZone)*($AC$46=Enviro_CustomerType)*(AC$47=Enviro_TariffType)*("Total"=Enviro_Description),Enviro_PY_FixedFees)*1.1/365*100</f>
        <v>0</v>
      </c>
      <c r="AD54" s="232" cm="1">
        <f t="array" ref="AD54">_xlfn.XLOOKUP(1,($A$2=Enviro_DistributionZone)*($AC$46=Enviro_CustomerType)*(AC$47=Enviro_TariffType)*("Total"=Enviro_Description),Enviro_PY_VarFees)*1.1/10</f>
        <v>1.3109830073847655</v>
      </c>
      <c r="AE54" s="232"/>
      <c r="AF54" s="233"/>
      <c r="AG54" s="232" cm="1">
        <f t="array" ref="AG54">_xlfn.XLOOKUP(1,($A$2=Enviro_DistributionZone)*($AC$46=Enviro_CustomerType)*(AC$47=Enviro_TariffType)*("Total"=Enviro_Description),Enviro_FY_FixedFees)*1.1/365*100</f>
        <v>0</v>
      </c>
      <c r="AH54" s="232" cm="1">
        <f t="array" ref="AH54">_xlfn.XLOOKUP(1,($A$2=Enviro_DistributionZone)*($AC$46=Enviro_CustomerType)*(AC$47=Enviro_TariffType)*("Total"=Enviro_Description),Enviro_FY_VarFees)*1.1/10</f>
        <v>0.88887583787972879</v>
      </c>
      <c r="AI54" s="232"/>
      <c r="AJ54" s="231"/>
      <c r="AK54" s="666" cm="1">
        <f t="array" ref="AK54">_xlfn.IFNA(_xlfn.XLOOKUP(1,($A$2=Enviro_DistributionZone)*($AK$46=Enviro_CustomerType)*(AK$50=Enviro_TariffType)*("Total"=Enviro_Description),Enviro_PY_FixedFees),0)*1.1/365*100</f>
        <v>0</v>
      </c>
      <c r="AL54" s="666" cm="1">
        <f t="array" ref="AL54">_xlfn.IFNA(_xlfn.XLOOKUP(1,($A$2=Enviro_DistributionZone)*($AK$46=Enviro_CustomerType)*(AL$45=Enviro_TariffType)*("Total"=Enviro_Description),Enviro_PY_VarFees),0)*1.1/10</f>
        <v>0</v>
      </c>
      <c r="AM54" s="666" cm="1">
        <f t="array" ref="AM54">_xlfn.IFNA(_xlfn.XLOOKUP(1,($A$2=Enviro_DistributionZone)*($AK$46=Enviro_CustomerType)*(AM$45=Enviro_TariffType)*("Total"=Enviro_Description),Enviro_PY_VarFees),0)*1.1/10</f>
        <v>0</v>
      </c>
      <c r="AN54" s="666" cm="1">
        <f t="array" ref="AN54">_xlfn.IFNA(_xlfn.XLOOKUP(1,($A$2=Enviro_DistributionZone)*($AK$46=Enviro_CustomerType)*(AN$45=Enviro_TariffType)*("Total"=Enviro_Description),Enviro_PY_VarFees),0)*1.1/10</f>
        <v>0</v>
      </c>
      <c r="AO54" s="235"/>
      <c r="AP54" s="232" cm="1">
        <f t="array" ref="AP54">_xlfn.IFNA(_xlfn.XLOOKUP(1,($A$2=Enviro_DistributionZone)*($AK$46=Enviro_CustomerType)*($AP$50=Enviro_TariffType)*("Total"=Enviro_Description),Enviro_FY_FixedFees)*1.1/365,0)*100</f>
        <v>0</v>
      </c>
      <c r="AQ54" s="232" cm="1">
        <f t="array" ref="AQ54">_xlfn.XLOOKUP(1,($A$2=Enviro_DistributionZone)*($AK$46=Enviro_CustomerType)*(AQ$45=Enviro_TariffType)*("Total"=Enviro_Description),Enviro_FY_VarFees)*1.1/10</f>
        <v>0.88887583787972879</v>
      </c>
      <c r="AR54" s="232" cm="1">
        <f t="array" ref="AR54">_xlfn.XLOOKUP(1,($A$2=Enviro_DistributionZone)*($AK$46=Enviro_CustomerType)*(AR$45=Enviro_TariffType)*("Total"=Enviro_Description),Enviro_FY_VarFees)*1.1/10</f>
        <v>0.88887583787972879</v>
      </c>
      <c r="AS54" s="232" cm="1">
        <f t="array" ref="AS54">_xlfn.XLOOKUP(1,($A$2=Enviro_DistributionZone)*($AK$46=Enviro_CustomerType)*(AS$45=Enviro_TariffType)*("Total"=Enviro_Description),Enviro_FY_VarFees)*1.1/10</f>
        <v>0.88887583787972879</v>
      </c>
      <c r="AT54" s="232"/>
      <c r="AU54" s="198"/>
      <c r="AW54" s="552" t="s">
        <v>64</v>
      </c>
      <c r="AX54" s="232"/>
      <c r="AY54" s="231" cm="1">
        <f t="array" ref="AY54">_xlfn.IFNA((_xlfn.XLOOKUP(1,($A$2=Enviro_DistributionZone)*($AY$46=Enviro_CustomerType)*($AY$45=Enviro_TariffType)*("Total"=Enviro_Description),Enviro_FY_FixedFees)*1.1/365),0)*100</f>
        <v>0</v>
      </c>
      <c r="AZ54" s="231" cm="1">
        <f t="array" ref="AZ54">_xlfn.IFNA(_xlfn.XLOOKUP(1,($A$2=Enviro_DistributionZone)*($AY$46=Enviro_CustomerType)*($AZ$45=Enviro_TariffType)*("Total"=Enviro_Description),Enviro_FY_VarFees),0)*1.1/10</f>
        <v>0.88887583787972879</v>
      </c>
      <c r="BA54" s="232" cm="1">
        <f t="array" ref="BA54">_xlfn.XLOOKUP(1,($A$2=Enviro_DistributionZone)*($AY$46=Enviro_CustomerType)*(BA$45=Enviro_TariffType)*("Total"=Enviro_Description),Enviro_FY_VarFees)*1.1/10</f>
        <v>0.88887583787972879</v>
      </c>
      <c r="BB54" s="232" cm="1">
        <f t="array" ref="BB54">_xlfn.XLOOKUP(1,($A$2=Enviro_DistributionZone)*($AY$46=Enviro_CustomerType)*(BB$45=Enviro_TariffType)*("Total"=Enviro_Description),Enviro_FY_VarFees)*1.1/10</f>
        <v>0.88887583787972879</v>
      </c>
      <c r="BC54" s="232"/>
    </row>
    <row r="55" spans="1:72" x14ac:dyDescent="0.35">
      <c r="H55" s="201" t="s">
        <v>159</v>
      </c>
      <c r="I55" s="201"/>
      <c r="J55" s="197"/>
      <c r="K55" s="231" cm="1">
        <f t="array" ref="K55">((_xlfn.XLOOKUP(1,($A$2=Retail_DistributionZone)*($K$46=Retail_CustomerType)*($K$47=Retail_TariffType)*("Total"=Retail_Description),Retail_PY_FixedFees)*(1+CPIPY))*1.1/365)*100</f>
        <v>89.918742698195189</v>
      </c>
      <c r="L55" s="231" cm="1">
        <f t="array" ref="L55">(_xlfn.XLOOKUP(1,($A$2=Retail_DistributionZone)*($K$46=Retail_CustomerType)*($K$47=Retail_TariffType)*("Total"=Retail_Description),Retail_PY_VarFees)*(1+CPIPY))*1.1/10</f>
        <v>0</v>
      </c>
      <c r="M55" s="232"/>
      <c r="N55" s="233"/>
      <c r="O55" s="231" cm="1">
        <f t="array" ref="O55">((_xlfn.XLOOKUP(1,($A$2=Retail_DistributionZone)*($K$46=Retail_CustomerType)*($K$47=Retail_TariffType)*("Total"=Retail_Description),Retail_FY_FixedFees)*(1+CPI))*1.1/365)*100</f>
        <v>78.086299031830492</v>
      </c>
      <c r="P55" s="231" cm="1">
        <f t="array" ref="P55">(_xlfn.XLOOKUP(1,($A$2=Retail_DistributionZone)*($K$46=Retail_CustomerType)*($K$47=Retail_TariffType)*("Total"=Retail_Description),Retail_FY_VarFees)*(1+CPI))*1.1/10</f>
        <v>0</v>
      </c>
      <c r="Q55" s="198"/>
      <c r="S55" s="669" cm="1">
        <f t="array" ref="S55">((_xlfn.XLOOKUP(1,($A$2=Retail_DistributionZone)*($K$46=Retail_CustomerType)*($T$47=Retail_TariffType)*("Total"=Retail_Description),Retail_PY_FixedFees)*(1+CPIPY))*1.1/365)*100</f>
        <v>0</v>
      </c>
      <c r="T55" s="669" cm="1">
        <f t="array" ref="T55">(_xlfn.XLOOKUP(1,($A$2=Retail_DistributionZone)*($K$46=Retail_CustomerType)*($K$47=Retail_TariffType)*("Total"=Retail_Description),Retail_PY_VarFees)*(1+CPIPY))*1.1/10</f>
        <v>0</v>
      </c>
      <c r="U55" s="666" cm="1">
        <f t="array" ref="U55">_xlfn.IFNA((_xlfn.XLOOKUP(1,($A$2=Retail_DistributionZone)*($T$46=Retail_CustomerType)*(T$45=Retail_TariffType)*("Total"=Retail_Description),Retail_PY_VarFees)*(1+CPI)),0)*1.1/10</f>
        <v>0</v>
      </c>
      <c r="V55" s="666" cm="1">
        <f t="array" ref="V55">_xlfn.IFNA((_xlfn.XLOOKUP(1,($A$2=Retail_DistributionZone)*($T$46=Retail_CustomerType)*(U$45=Retail_TariffType)*("Total"=Retail_Description),Retail_PY_VarFees)*(1+CPI)),0)*1.1/10</f>
        <v>0</v>
      </c>
      <c r="W55" s="233"/>
      <c r="X55" s="231" cm="1">
        <f t="array" ref="X55">((_xlfn.XLOOKUP(1,($A$2=Retail_DistributionZone)*($T$46=Retail_CustomerType)*($T$47=Retail_TariffType)*("Total"=Retail_Description),Retail_FY_FixedFees)*(1+CPI))*1.1/365)*100</f>
        <v>78.086299031830492</v>
      </c>
      <c r="Y55" s="231" cm="1">
        <f t="array" ref="Y55">(_xlfn.XLOOKUP(1,($A$2=Retail_DistributionZone)*($T$46=Retail_CustomerType)*($T$47=Retail_TariffType)*("Total"=Retail_Description),Retail_FY_VarFees)*(1+CPI))*1.1/10</f>
        <v>0</v>
      </c>
      <c r="Z55" s="232" cm="1">
        <f t="array" ref="Z55">_xlfn.IFNA((_xlfn.XLOOKUP(1,($A$2=Retail_DistributionZone)*($T$46=Retail_CustomerType)*(Z$45=Retail_TariffType)*("Total"=Retail_Description),Retail_FY_VarFees)*(1+CPI)),0)*1.1/10</f>
        <v>0</v>
      </c>
      <c r="AA55" s="232" cm="1">
        <f t="array" ref="AA55">_xlfn.IFNA((_xlfn.XLOOKUP(1,($A$2=Retail_DistributionZone)*($T$46=Retail_CustomerType)*(AA$45=Retail_TariffType)*("Total"=Retail_Description),Retail_FY_VarFees)*(1+CPI)),0)*1.1/10</f>
        <v>0</v>
      </c>
      <c r="AB55" s="232"/>
      <c r="AC55" s="232" cm="1">
        <f t="array" ref="AC55">(_xlfn.XLOOKUP(1,($A$2=Retail_DistributionZone)*($AC$46=Retail_CustomerType)*(AC$47=Retail_TariffType)*("Total"=Retail_Description),Retail_PY_FixedFees)*(1+CPIPY))*1.1/365*100</f>
        <v>98.810614877089392</v>
      </c>
      <c r="AD55" s="232" cm="1">
        <f t="array" ref="AD55">(_xlfn.XLOOKUP(1,($A$2=Retail_DistributionZone)*($AC$46=Retail_CustomerType)*(AC$47=Retail_TariffType)*("Total"=Retail_Description),Retail_PY_VarFees)*(1+CPIPY))*1.1/10</f>
        <v>0</v>
      </c>
      <c r="AE55" s="232"/>
      <c r="AF55" s="233"/>
      <c r="AG55" s="232" cm="1">
        <f t="array" ref="AG55">(_xlfn.XLOOKUP(1,($A$2=Retail_DistributionZone)*($AC$46=Retail_CustomerType)*(AC$47=Retail_TariffType)*("Total"=Retail_Description),Retail_FY_FixedFees)*(1+CPI))*1.1/365*100</f>
        <v>93.934709232201854</v>
      </c>
      <c r="AH55" s="232" cm="1">
        <f t="array" ref="AH55">(_xlfn.XLOOKUP(1,($A$2=Retail_DistributionZone)*($AC$46=Retail_CustomerType)*(AC$47=Retail_TariffType)*("Total"=Retail_Description),Retail_FY_VarFees)*(1+CPI))*1.1/10</f>
        <v>0</v>
      </c>
      <c r="AI55" s="232"/>
      <c r="AJ55" s="232"/>
      <c r="AK55" s="666" cm="1">
        <f t="array" ref="AK55">(_xlfn.XLOOKUP(1,($A$2=Retail_DistributionZone)*($AK$46=Retail_CustomerType)*(AK$50=Retail_TariffType)*("Total"=Retail_Description),Retail_PY_FixedFees)*(1+CPIPY))*1.1/365*100</f>
        <v>0</v>
      </c>
      <c r="AL55" s="666" cm="1">
        <f t="array" ref="AL55">_xlfn.IFNA((_xlfn.XLOOKUP(1,($A$2=Retail_DistributionZone)*($AK$46=Retail_CustomerType)*($AK$47=Retail_TariffType)*("Total"=Retail_Description),Retail_PY_VarFees)*(1+CPIPY)),0)*1.1/10</f>
        <v>0</v>
      </c>
      <c r="AM55" s="666" cm="1">
        <f t="array" ref="AM55">_xlfn.IFNA((_xlfn.XLOOKUP(1,($A$2=Retail_DistributionZone)*($AK$46=Retail_CustomerType)*($AK$47=Retail_TariffType)*("Total"=Retail_Description),Retail_PY_VarFees)*(1+CPIPY)),0)*1.1/10</f>
        <v>0</v>
      </c>
      <c r="AN55" s="666" cm="1">
        <f t="array" ref="AN55">_xlfn.IFNA((_xlfn.XLOOKUP(1,($A$2=Retail_DistributionZone)*($AK$46=Retail_CustomerType)*($AK$47=Retail_TariffType)*("Total"=Retail_Description),Retail_PY_VarFees)*(1+CPIPY)),0)*1.1/10</f>
        <v>0</v>
      </c>
      <c r="AO55" s="235"/>
      <c r="AP55" s="232" cm="1">
        <f t="array" ref="AP55">(_xlfn.XLOOKUP(1,($A$2=Retail_DistributionZone)*($AK$46=Retail_CustomerType)*(AP$50=Retail_TariffType)*("Total"=Retail_Description),Retail_FY_FixedFees)*(1+CPI))*1.1/365*100</f>
        <v>93.934709232201854</v>
      </c>
      <c r="AQ55" s="232" cm="1">
        <f t="array" ref="AQ55">_xlfn.IFNA((_xlfn.XLOOKUP(1,($A$2=Retail_DistributionZone)*($AK$46=Retail_CustomerType)*(AQ$45=Retail_TariffType)*("Total"=Retail_Description),Retail_FY_VarFees)*(1+CPI)),0)*1.1/10</f>
        <v>0</v>
      </c>
      <c r="AR55" s="232" cm="1">
        <f t="array" ref="AR55">_xlfn.IFNA((_xlfn.XLOOKUP(1,($A$2=Retail_DistributionZone)*($AK$46=Retail_CustomerType)*(AR$45=Retail_TariffType)*("Total"=Retail_Description),Retail_FY_VarFees)*(1+CPI)),0)*1.1/10</f>
        <v>0</v>
      </c>
      <c r="AS55" s="232" cm="1">
        <f t="array" ref="AS55">_xlfn.IFNA((_xlfn.XLOOKUP(1,($A$2=Retail_DistributionZone)*($AK$46=Retail_CustomerType)*(AS$45=Retail_TariffType)*("Total"=Retail_Description),Retail_FY_VarFees)*(1+CPI)),0)*1.1/10</f>
        <v>0</v>
      </c>
      <c r="AT55" s="232"/>
      <c r="AU55" s="198"/>
      <c r="AW55" s="552" t="s">
        <v>159</v>
      </c>
      <c r="AX55" s="232"/>
      <c r="AY55" s="231" cm="1">
        <f t="array" ref="AY55">((_xlfn.XLOOKUP(1,($A$2=Retail_DistributionZone)*($AY$46=Retail_CustomerType)*($AY$45=Retail_TariffType)*("Total"=Retail_Description),Retail_FY_FixedFees)*(1+CPI))*1.1/365)*100</f>
        <v>78.086299031830492</v>
      </c>
      <c r="AZ55" s="231" cm="1">
        <f t="array" ref="AZ55">(_xlfn.XLOOKUP(1,($A$2=Retail_DistributionZone)*($AY$46=Retail_CustomerType)*($AY$45=Retail_TariffType)*("Total"=Retail_Description),Retail_FY_VarFees)*(1+CPI))*1.1/10</f>
        <v>0</v>
      </c>
      <c r="BA55" s="232" cm="1">
        <f t="array" ref="BA55">_xlfn.IFNA((_xlfn.XLOOKUP(1,($A$2=Retail_DistributionZone)*($AY$46=Retail_CustomerType)*(BA$45=Retail_TariffType)*("Total"=Retail_Description),Retail_FY_VarFees)*(1+CPI)),0)*1.1/10</f>
        <v>0</v>
      </c>
      <c r="BB55" s="232" cm="1">
        <f t="array" ref="BB55">_xlfn.IFNA((_xlfn.XLOOKUP(1,($A$2=Retail_DistributionZone)*($AY$46=Retail_CustomerType)*(BB$45=Retail_TariffType)*("Total"=Retail_Description),Retail_FY_VarFees)*(1+CPI)),0)*1.1/10</f>
        <v>0</v>
      </c>
      <c r="BC55" s="232"/>
    </row>
    <row r="56" spans="1:72" ht="14.5" thickBot="1" x14ac:dyDescent="0.4">
      <c r="H56" s="201" t="s">
        <v>261</v>
      </c>
      <c r="I56" s="201"/>
      <c r="J56" s="197"/>
      <c r="K56" s="231">
        <f>(SUM(K52:K55)/(1-RetailMargin_RES)-SUM(K52:K55))</f>
        <v>11.727557267315007</v>
      </c>
      <c r="L56" s="231">
        <f>SUM(L52:L55)/(1-RetailMargin_RES)-SUM(L52:L55)</f>
        <v>1.8640298907858472</v>
      </c>
      <c r="M56" s="232"/>
      <c r="N56" s="233"/>
      <c r="O56" s="231">
        <f>SUM(O52:O55)/(1-RetailMargin_RES)-SUM(O52:O55)</f>
        <v>11.520956853810162</v>
      </c>
      <c r="P56" s="231">
        <f>SUM(P52:P55)/(1-RetailMargin_RES)-SUM(P52:P55)</f>
        <v>1.6784652125998285</v>
      </c>
      <c r="Q56" s="198"/>
      <c r="S56" s="669">
        <f>(SUM(S52:S55)/(1-RetailMargin_RES)-SUM(S52:S55))</f>
        <v>0</v>
      </c>
      <c r="T56" s="669">
        <f>SUM(T52:T55)/(1-RetailMargin_RES)-SUM(T52:T55)</f>
        <v>0</v>
      </c>
      <c r="U56" s="666">
        <f>SUM(U52:U55)/(1-RetailMargin_RES)-SUM(U52:U55)</f>
        <v>0</v>
      </c>
      <c r="V56" s="666">
        <f>SUM(V52:V55)/(1-RetailMargin_RES)-SUM(V52:V55)</f>
        <v>0</v>
      </c>
      <c r="W56" s="233"/>
      <c r="X56" s="231">
        <f>SUM(X52:X55)/(1-RetailMargin_RES)-SUM(X52:X55)</f>
        <v>10.671185044584945</v>
      </c>
      <c r="Y56" s="231">
        <f>SUM(Y52:Y55)/(1-RetailMargin_RES)-SUM(Y52:Y55)</f>
        <v>2.8671462920560629</v>
      </c>
      <c r="Z56" s="232">
        <f>SUM(Z52:Z55)/(1-RetailMargin_RES)-SUM(Z52:Z55)</f>
        <v>0.41909096541168278</v>
      </c>
      <c r="AA56" s="232">
        <f>SUM(AA52:AA55)/(1-RetailMargin_RES)-SUM(AA52:AA55)</f>
        <v>1.5177378576048177</v>
      </c>
      <c r="AB56" s="232"/>
      <c r="AC56" s="232">
        <f>SUM(AC52:AC55)/(1-RetailMargin_PY_SB)-SUM(AC52:AC55)</f>
        <v>27.002355389907706</v>
      </c>
      <c r="AD56" s="232">
        <f>SUM(AD52:AD55)/(1-RetailMargin_PY_SB)-SUM(AD52:AD55)</f>
        <v>3.7377178035066763</v>
      </c>
      <c r="AE56" s="232"/>
      <c r="AF56" s="233"/>
      <c r="AG56" s="232">
        <f>SUM(AG52:AG55)/(1-RetailMargin_FY_SB)-SUM(AG52:AG55)</f>
        <v>15.697543800909841</v>
      </c>
      <c r="AH56" s="232">
        <f>SUM(AH52:AH55)/(1-RetailMargin_FY_SB)-SUM(AH52:AH55)</f>
        <v>1.736155663826743</v>
      </c>
      <c r="AI56" s="232"/>
      <c r="AJ56" s="232"/>
      <c r="AK56" s="666">
        <f>SUM(AK52:AK55)/(1-RetailMargin_PY_SB)-SUM(AK52:AK55)</f>
        <v>0</v>
      </c>
      <c r="AL56" s="666">
        <f>SUM(AL52:AL55)/(1-RetailMargin_PY_SB)-SUM(AL52:AL55)</f>
        <v>0</v>
      </c>
      <c r="AM56" s="666">
        <f>SUM(AM52:AM55)/(1-RetailMargin_PY_SB)-SUM(AM52:AM55)</f>
        <v>0</v>
      </c>
      <c r="AN56" s="666">
        <f>SUM(AN52:AN55)/(1-RetailMargin_PY_SB)-SUM(AN52:AN55)</f>
        <v>0</v>
      </c>
      <c r="AO56" s="235"/>
      <c r="AP56" s="232">
        <f>SUM(AP52:AP55)/(1-RetailMargin_FY_SB)-SUM(AP52:AP55)</f>
        <v>15.68491335524692</v>
      </c>
      <c r="AQ56" s="232">
        <f>SUM(AQ52:AQ55)/(1-RetailMargin_FY_SB)-SUM(AQ52:AQ55)</f>
        <v>3.4400279932530253</v>
      </c>
      <c r="AR56" s="232">
        <f>SUM(AR52:AR55)/(1-RetailMargin_FY_SB)-SUM(AR52:AR55)</f>
        <v>0.52411974808466688</v>
      </c>
      <c r="AS56" s="232">
        <f>SUM(AS52:AS55)/(1-RetailMargin_FY_SB)-SUM(AS52:AS55)</f>
        <v>1.6231716442916273</v>
      </c>
      <c r="AT56" s="232"/>
      <c r="AU56" s="198"/>
      <c r="AW56" s="201" t="s">
        <v>261</v>
      </c>
      <c r="AX56" s="232"/>
      <c r="AY56" s="231">
        <f>SUM(AY52:AY55)/(1-RetailMargin_RES)-SUM(AY52:AY55)</f>
        <v>10.671185044584945</v>
      </c>
      <c r="AZ56" s="231">
        <f>SUM(AZ52:AZ55)/(1-RetailMargin_RES)-SUM(AZ52:AZ55)</f>
        <v>2.8671462920560629</v>
      </c>
      <c r="BA56" s="231">
        <f>SUM(BA52:BA55)/(1-RetailMargin_RES)-SUM(BA52:BA55)</f>
        <v>0.41909096541168278</v>
      </c>
      <c r="BB56" s="231">
        <f>SUM(BB52:BB55)/(1-RetailMargin_RES)-SUM(BB52:BB55)</f>
        <v>1.5177378576048177</v>
      </c>
      <c r="BC56" s="232"/>
    </row>
    <row r="57" spans="1:72" s="296" customFormat="1" ht="15" thickTop="1" thickBot="1" x14ac:dyDescent="0.4">
      <c r="H57" s="294" t="s">
        <v>55</v>
      </c>
      <c r="I57" s="294"/>
      <c r="J57" s="295"/>
      <c r="K57" s="236">
        <f>SUM(K52:K56)</f>
        <v>195.45928778858311</v>
      </c>
      <c r="L57" s="236">
        <f>SUM(L52:L56)</f>
        <v>31.067164846430746</v>
      </c>
      <c r="M57" s="236"/>
      <c r="N57" s="243"/>
      <c r="O57" s="236">
        <f>SUM(O52:O56)</f>
        <v>192.01594756350261</v>
      </c>
      <c r="P57" s="236">
        <f>SUM(P52:P56)</f>
        <v>27.974420209997138</v>
      </c>
      <c r="Q57" s="295"/>
      <c r="S57" s="667">
        <f>SUM(S52:S56)</f>
        <v>0</v>
      </c>
      <c r="T57" s="667">
        <f>SUM(T52:T56)</f>
        <v>0</v>
      </c>
      <c r="U57" s="667">
        <f>SUM(U52:U56)</f>
        <v>0</v>
      </c>
      <c r="V57" s="667">
        <f>SUM(V52:V56)</f>
        <v>0</v>
      </c>
      <c r="W57" s="243"/>
      <c r="X57" s="236">
        <f>SUM(X52:X56)</f>
        <v>177.85308407641543</v>
      </c>
      <c r="Y57" s="236">
        <f>SUM(Y52:Y56)</f>
        <v>47.785771534267688</v>
      </c>
      <c r="Z57" s="236">
        <f>SUM(Z52:Z56)</f>
        <v>6.9848494235280381</v>
      </c>
      <c r="AA57" s="236">
        <f>SUM(AA52:AA56)</f>
        <v>25.295630960080278</v>
      </c>
      <c r="AB57" s="236"/>
      <c r="AC57" s="236">
        <f>SUM(AC52:AC56)</f>
        <v>245.47595809007001</v>
      </c>
      <c r="AD57" s="236">
        <f>SUM(AD52:AD56)</f>
        <v>33.979252759151578</v>
      </c>
      <c r="AE57" s="298"/>
      <c r="AF57" s="299"/>
      <c r="AG57" s="236">
        <f>SUM(AG52:AG56)</f>
        <v>261.62573001516415</v>
      </c>
      <c r="AH57" s="236">
        <f>SUM(AH52:AH56)</f>
        <v>28.935927730445705</v>
      </c>
      <c r="AI57" s="236"/>
      <c r="AJ57" s="236"/>
      <c r="AK57" s="667">
        <f>SUM(AK52:AK56)</f>
        <v>0</v>
      </c>
      <c r="AL57" s="667">
        <f>SUM(AL52:AL56)</f>
        <v>0</v>
      </c>
      <c r="AM57" s="667">
        <f>SUM(AM52:AM56)</f>
        <v>0</v>
      </c>
      <c r="AN57" s="667">
        <f>SUM(AN52:AN56)</f>
        <v>0</v>
      </c>
      <c r="AO57" s="298"/>
      <c r="AP57" s="236">
        <f>SUM(AP52:AP56)</f>
        <v>261.4152225874488</v>
      </c>
      <c r="AQ57" s="236">
        <f>SUM(AQ52:AQ56)</f>
        <v>57.33379988755042</v>
      </c>
      <c r="AR57" s="236">
        <f>SUM(AR52:AR56)</f>
        <v>8.7353291347444539</v>
      </c>
      <c r="AS57" s="236">
        <f>SUM(AS52:AS56)</f>
        <v>27.052860738193747</v>
      </c>
      <c r="AT57" s="236"/>
      <c r="AU57" s="295"/>
      <c r="AW57" s="553" t="s">
        <v>339</v>
      </c>
      <c r="AX57" s="551"/>
      <c r="AY57" s="554" t="s">
        <v>247</v>
      </c>
      <c r="AZ57" s="551">
        <f>SSO!$J$29/10</f>
        <v>1.11624594426678</v>
      </c>
      <c r="BA57" s="551">
        <f>SSO!$J$28/10</f>
        <v>1.11624594426678</v>
      </c>
      <c r="BB57" s="551">
        <f>SSO!$J$30/10</f>
        <v>1.11624594426678</v>
      </c>
      <c r="BC57" s="551"/>
    </row>
    <row r="58" spans="1:72" ht="15" thickTop="1" thickBot="1" x14ac:dyDescent="0.4">
      <c r="H58" s="205"/>
      <c r="I58" s="205"/>
      <c r="J58" s="206"/>
      <c r="K58" s="237"/>
      <c r="L58" s="237"/>
      <c r="M58" s="207"/>
      <c r="N58" s="207"/>
      <c r="O58" s="237"/>
      <c r="P58" s="237"/>
      <c r="Q58" s="207"/>
      <c r="S58" s="207"/>
      <c r="T58" s="237"/>
      <c r="U58" s="237"/>
      <c r="V58" s="207"/>
      <c r="W58" s="207"/>
      <c r="X58" s="237"/>
      <c r="Y58" s="237"/>
      <c r="Z58" s="207"/>
      <c r="AA58" s="207"/>
      <c r="AB58" s="207"/>
      <c r="AC58" s="207"/>
      <c r="AD58" s="207"/>
      <c r="AE58" s="207"/>
      <c r="AF58" s="207"/>
      <c r="AG58" s="207"/>
      <c r="AH58" s="206"/>
      <c r="AI58" s="207"/>
      <c r="AJ58" s="207"/>
      <c r="AK58" s="206"/>
      <c r="AL58" s="206"/>
      <c r="AM58" s="206"/>
      <c r="AN58" s="206"/>
      <c r="AO58" s="206"/>
      <c r="AP58" s="206"/>
      <c r="AQ58" s="206"/>
      <c r="AR58" s="207"/>
      <c r="AS58" s="207"/>
      <c r="AT58" s="206"/>
      <c r="AU58" s="237"/>
      <c r="AW58" s="206" t="s">
        <v>55</v>
      </c>
      <c r="AX58" s="206"/>
      <c r="AY58" s="812">
        <f>SUM(AY52:AY57)</f>
        <v>177.85308407641543</v>
      </c>
      <c r="AZ58" s="812">
        <f>SUM(AZ52:AZ57)</f>
        <v>48.902017478534468</v>
      </c>
      <c r="BA58" s="812">
        <f t="shared" ref="BA58:BB58" si="4">SUM(BA52:BA57)</f>
        <v>8.1010953677948176</v>
      </c>
      <c r="BB58" s="812">
        <f t="shared" si="4"/>
        <v>26.411876904347057</v>
      </c>
      <c r="BC58" s="206"/>
    </row>
    <row r="59" spans="1:72" s="585" customFormat="1" ht="14.5" thickTop="1" x14ac:dyDescent="0.35">
      <c r="A59" s="697" t="s">
        <v>380</v>
      </c>
      <c r="B59" s="160"/>
      <c r="C59" s="160"/>
      <c r="D59" s="160"/>
      <c r="E59" s="160"/>
      <c r="F59" s="160"/>
      <c r="G59" s="160"/>
      <c r="H59" s="160">
        <v>1</v>
      </c>
      <c r="I59" s="160">
        <v>2</v>
      </c>
      <c r="J59" s="160">
        <v>3</v>
      </c>
      <c r="K59" s="160">
        <v>4</v>
      </c>
      <c r="L59" s="160">
        <v>5</v>
      </c>
      <c r="M59" s="160">
        <f>L59+1</f>
        <v>6</v>
      </c>
      <c r="N59" s="160">
        <f t="shared" ref="N59:AU59" si="5">M59+1</f>
        <v>7</v>
      </c>
      <c r="O59" s="160">
        <f t="shared" si="5"/>
        <v>8</v>
      </c>
      <c r="P59" s="160">
        <f t="shared" si="5"/>
        <v>9</v>
      </c>
      <c r="Q59" s="160">
        <f t="shared" si="5"/>
        <v>10</v>
      </c>
      <c r="R59" s="160">
        <f t="shared" si="5"/>
        <v>11</v>
      </c>
      <c r="S59" s="160">
        <f t="shared" ref="S59" si="6">R59+1</f>
        <v>12</v>
      </c>
      <c r="T59" s="160">
        <f t="shared" ref="T59" si="7">S59+1</f>
        <v>13</v>
      </c>
      <c r="U59" s="160">
        <f t="shared" ref="U59" si="8">T59+1</f>
        <v>14</v>
      </c>
      <c r="V59" s="160">
        <f t="shared" ref="V59" si="9">U59+1</f>
        <v>15</v>
      </c>
      <c r="W59" s="160">
        <f t="shared" ref="W59" si="10">V59+1</f>
        <v>16</v>
      </c>
      <c r="X59" s="160">
        <f t="shared" ref="X59" si="11">W59+1</f>
        <v>17</v>
      </c>
      <c r="Y59" s="160">
        <f t="shared" ref="Y59" si="12">X59+1</f>
        <v>18</v>
      </c>
      <c r="Z59" s="160">
        <f t="shared" ref="Z59" si="13">Y59+1</f>
        <v>19</v>
      </c>
      <c r="AA59" s="160">
        <f t="shared" ref="AA59" si="14">Z59+1</f>
        <v>20</v>
      </c>
      <c r="AB59" s="160">
        <f t="shared" ref="AB59" si="15">AA59+1</f>
        <v>21</v>
      </c>
      <c r="AC59" s="160">
        <f t="shared" ref="AC59" si="16">AB59+1</f>
        <v>22</v>
      </c>
      <c r="AD59" s="160">
        <f t="shared" ref="AD59" si="17">AC59+1</f>
        <v>23</v>
      </c>
      <c r="AE59" s="160">
        <f t="shared" ref="AE59" si="18">AD59+1</f>
        <v>24</v>
      </c>
      <c r="AF59" s="160">
        <f t="shared" ref="AF59" si="19">AE59+1</f>
        <v>25</v>
      </c>
      <c r="AG59" s="160">
        <f t="shared" ref="AG59" si="20">AF59+1</f>
        <v>26</v>
      </c>
      <c r="AH59" s="160">
        <f t="shared" ref="AH59" si="21">AG59+1</f>
        <v>27</v>
      </c>
      <c r="AI59" s="160">
        <f t="shared" ref="AI59" si="22">AH59+1</f>
        <v>28</v>
      </c>
      <c r="AJ59" s="160">
        <f t="shared" ref="AJ59" si="23">AI59+1</f>
        <v>29</v>
      </c>
      <c r="AK59" s="160">
        <f t="shared" ref="AK59" si="24">AJ59+1</f>
        <v>30</v>
      </c>
      <c r="AL59" s="160">
        <f t="shared" ref="AL59" si="25">AK59+1</f>
        <v>31</v>
      </c>
      <c r="AM59" s="160">
        <f t="shared" ref="AM59" si="26">AL59+1</f>
        <v>32</v>
      </c>
      <c r="AN59" s="160">
        <f t="shared" ref="AN59" si="27">AM59+1</f>
        <v>33</v>
      </c>
      <c r="AO59" s="160">
        <f t="shared" ref="AO59" si="28">AN59+1</f>
        <v>34</v>
      </c>
      <c r="AP59" s="160">
        <f t="shared" ref="AP59" si="29">AO59+1</f>
        <v>35</v>
      </c>
      <c r="AQ59" s="160">
        <f t="shared" ref="AQ59" si="30">AP59+1</f>
        <v>36</v>
      </c>
      <c r="AR59" s="160">
        <f t="shared" ref="AR59" si="31">AQ59+1</f>
        <v>37</v>
      </c>
      <c r="AS59" s="160">
        <f t="shared" ref="AS59" si="32">AR59+1</f>
        <v>38</v>
      </c>
      <c r="AT59" s="160"/>
      <c r="AU59" s="160">
        <f t="shared" si="5"/>
        <v>1</v>
      </c>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row>
    <row r="60" spans="1:72" s="585" customFormat="1" x14ac:dyDescent="0.35">
      <c r="A60" s="697" t="s">
        <v>380</v>
      </c>
      <c r="B60" s="160"/>
      <c r="C60" s="160"/>
      <c r="D60" s="160"/>
      <c r="E60" s="160"/>
      <c r="F60" s="160"/>
      <c r="G60" s="160"/>
      <c r="H60" s="160"/>
      <c r="I60" s="160"/>
      <c r="J60" s="160" t="s">
        <v>275</v>
      </c>
      <c r="K60" s="160"/>
      <c r="L60" s="160" cm="1">
        <f t="array" ref="L60">_xlfn.XLOOKUP(1,($A$2=Wholesale_DistributionZone)*(K46=Wholesale_CustomerType)*(K$47=Wholesale_TariffType),Wholesale_Usage)</f>
        <v>4600</v>
      </c>
      <c r="M60" s="160"/>
      <c r="N60" s="160"/>
      <c r="O60" s="160"/>
      <c r="P60" s="160" cm="1">
        <f t="array" ref="P60">_xlfn.XLOOKUP(1,($A$2=Wholesale_DistributionZone)*(K46=Wholesale_CustomerType)*(K$47=Wholesale_TariffType),Wholesale_Usage)</f>
        <v>4600</v>
      </c>
      <c r="Q60" s="160"/>
      <c r="R60" s="160"/>
      <c r="S60" s="160"/>
      <c r="T60" s="160" cm="1">
        <f t="array" ref="T60">_xlfn.XLOOKUP(1,($A$2=Wholesale_DistributionZone)*($T$46=Wholesale_CustomerType)*(T$45=Wholesale_TariffType),Wholesale_Usage)</f>
        <v>1333.0887059264937</v>
      </c>
      <c r="U60" s="160" cm="1">
        <f t="array" ref="U60">_xlfn.XLOOKUP(1,($A$2=Wholesale_DistributionZone)*($T$46=Wholesale_CustomerType)*(U$45=Wholesale_TariffType),Wholesale_Usage)</f>
        <v>1085.7113608025084</v>
      </c>
      <c r="V60" s="160" cm="1">
        <f t="array" ref="V60">_xlfn.XLOOKUP(1,($A$2=Wholesale_DistributionZone)*($T$46=Wholesale_CustomerType)*(V$45=Wholesale_TariffType),Wholesale_Usage)</f>
        <v>2181.1999332709984</v>
      </c>
      <c r="W60" s="160"/>
      <c r="X60" s="160"/>
      <c r="Y60" s="160" cm="1">
        <f t="array" ref="Y60">_xlfn.XLOOKUP(1,($A$2=Wholesale_DistributionZone)*($T$46=Wholesale_CustomerType)*(Y$45=Wholesale_TariffType),Wholesale_Usage)</f>
        <v>1333.0887059264937</v>
      </c>
      <c r="Z60" s="160" cm="1">
        <f t="array" ref="Z60">_xlfn.XLOOKUP(1,($A$2=Wholesale_DistributionZone)*($T$46=Wholesale_CustomerType)*(Z$45=Wholesale_TariffType),Wholesale_Usage)</f>
        <v>1085.7113608025084</v>
      </c>
      <c r="AA60" s="160" cm="1">
        <f t="array" ref="AA60">_xlfn.XLOOKUP(1,($A$2=Wholesale_DistributionZone)*($T$46=Wholesale_CustomerType)*(AA$45=Wholesale_TariffType),Wholesale_Usage)</f>
        <v>2181.1999332709984</v>
      </c>
      <c r="AB60" s="160"/>
      <c r="AC60" s="160"/>
      <c r="AD60" s="160" cm="1">
        <f t="array" ref="AD60">_xlfn.XLOOKUP(1,($A$2=Wholesale_DistributionZone)*(AC46=Wholesale_CustomerType)*(AC$47=Wholesale_TariffType),Wholesale_Usage)</f>
        <v>10000</v>
      </c>
      <c r="AE60" s="160"/>
      <c r="AF60" s="160"/>
      <c r="AG60" s="160"/>
      <c r="AH60" s="160" cm="1">
        <f t="array" ref="AH60">_xlfn.XLOOKUP(1,($A$2=Wholesale_DistributionZone)*(AC46=Wholesale_CustomerType)*(AC$47=Wholesale_TariffType),Wholesale_Usage)</f>
        <v>10000</v>
      </c>
      <c r="AI60" s="160"/>
      <c r="AJ60" s="160"/>
      <c r="AK60" s="160"/>
      <c r="AL60" s="160" cm="1">
        <f t="array" ref="AL60">_xlfn.XLOOKUP(1,($A$2=Wholesale_DistributionZone)*($T$46=Wholesale_CustomerType)*(AL$45=Wholesale_TariffType),Wholesale_Usage)</f>
        <v>1333.0887059264937</v>
      </c>
      <c r="AM60" s="160" cm="1">
        <f t="array" ref="AM60">_xlfn.XLOOKUP(1,($A$2=Wholesale_DistributionZone)*($T$46=Wholesale_CustomerType)*(AM$45=Wholesale_TariffType),Wholesale_Usage)</f>
        <v>1085.7113608025084</v>
      </c>
      <c r="AN60" s="160" cm="1">
        <f t="array" ref="AN60">_xlfn.XLOOKUP(1,($A$2=Wholesale_DistributionZone)*($T$46=Wholesale_CustomerType)*(AN$45=Wholesale_TariffType),Wholesale_Usage)</f>
        <v>2181.1999332709984</v>
      </c>
      <c r="AO60" s="160"/>
      <c r="AP60" s="160"/>
      <c r="AQ60" s="160" cm="1">
        <f t="array" ref="AQ60">_xlfn.XLOOKUP(1,($A$2=Wholesale_DistributionZone)*($AK$46=Wholesale_CustomerType)*(AQ$45=Wholesale_TariffType),Wholesale_Usage)</f>
        <v>867.04544081915776</v>
      </c>
      <c r="AR60" s="160" cm="1">
        <f t="array" ref="AR60">_xlfn.XLOOKUP(1,($A$2=Wholesale_DistributionZone)*($AK$46=Wholesale_CustomerType)*(AR$45=Wholesale_TariffType),Wholesale_Usage)</f>
        <v>1251.8730860537928</v>
      </c>
      <c r="AS60" s="160" cm="1">
        <f t="array" ref="AS60">_xlfn.XLOOKUP(1,($A$2=Wholesale_DistributionZone)*($AK$46=Wholesale_CustomerType)*(AS$45=Wholesale_TariffType),Wholesale_Usage)</f>
        <v>7881.0814731270493</v>
      </c>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row>
    <row r="61" spans="1:72" s="585" customFormat="1" x14ac:dyDescent="0.35">
      <c r="A61" s="697" t="s">
        <v>380</v>
      </c>
      <c r="B61" s="160"/>
      <c r="C61" s="160"/>
      <c r="D61" s="160"/>
      <c r="E61" s="160"/>
      <c r="F61" s="160"/>
      <c r="G61" s="160"/>
      <c r="H61" s="160"/>
      <c r="I61" s="160"/>
      <c r="J61" s="160" t="s">
        <v>273</v>
      </c>
      <c r="K61" s="160">
        <f>K57*365</f>
        <v>71342.640042832834</v>
      </c>
      <c r="L61" s="160">
        <f>L57*L60</f>
        <v>142908.95829358144</v>
      </c>
      <c r="M61" s="160"/>
      <c r="N61" s="160"/>
      <c r="O61" s="160">
        <f>O57*365</f>
        <v>70085.820860678446</v>
      </c>
      <c r="P61" s="160">
        <f>P57*P60</f>
        <v>128682.33296598683</v>
      </c>
      <c r="Q61" s="160"/>
      <c r="R61" s="160" t="s">
        <v>273</v>
      </c>
      <c r="S61" s="160">
        <f>S57*365</f>
        <v>0</v>
      </c>
      <c r="T61" s="160">
        <f>T57*T60</f>
        <v>0</v>
      </c>
      <c r="U61" s="160">
        <f>U57*U60</f>
        <v>0</v>
      </c>
      <c r="V61" s="160">
        <f>V57*V60</f>
        <v>0</v>
      </c>
      <c r="W61" s="160">
        <f>W57*W60</f>
        <v>0</v>
      </c>
      <c r="X61" s="160">
        <f>X57*365</f>
        <v>64916.375687891632</v>
      </c>
      <c r="Y61" s="160">
        <f>Y57*Y60</f>
        <v>63702.672336315991</v>
      </c>
      <c r="Z61" s="160">
        <f>Z57*Z60</f>
        <v>7583.5303726192424</v>
      </c>
      <c r="AA61" s="160">
        <f>AA57*AA60</f>
        <v>55174.828562174902</v>
      </c>
      <c r="AB61" s="160">
        <f>AB57*AB60</f>
        <v>0</v>
      </c>
      <c r="AC61" s="160">
        <f>AC57*365</f>
        <v>89598.724702875552</v>
      </c>
      <c r="AD61" s="160">
        <f>AD57*AD60</f>
        <v>339792.5275915158</v>
      </c>
      <c r="AE61" s="160">
        <f>AE57*AE60</f>
        <v>0</v>
      </c>
      <c r="AF61" s="160"/>
      <c r="AG61" s="160">
        <f>AG57*365</f>
        <v>95493.391455534918</v>
      </c>
      <c r="AH61" s="160">
        <f>AH57*AH60</f>
        <v>289359.27730445703</v>
      </c>
      <c r="AI61" s="160"/>
      <c r="AJ61" s="160"/>
      <c r="AK61" s="160">
        <f>AK57*365</f>
        <v>0</v>
      </c>
      <c r="AL61" s="160">
        <f>AL57*AL60</f>
        <v>0</v>
      </c>
      <c r="AM61" s="160">
        <f>AM57*AM60</f>
        <v>0</v>
      </c>
      <c r="AN61" s="160">
        <f>AN57*AN60</f>
        <v>0</v>
      </c>
      <c r="AO61" s="160"/>
      <c r="AP61" s="160">
        <f>AP57*365</f>
        <v>95416.556244418811</v>
      </c>
      <c r="AQ61" s="160">
        <f>AQ57*AQ60</f>
        <v>49711.009797338535</v>
      </c>
      <c r="AR61" s="160">
        <f>AR57*AR60</f>
        <v>10935.523441608148</v>
      </c>
      <c r="AS61" s="160">
        <f>AS57*AS60</f>
        <v>213205.79955886488</v>
      </c>
      <c r="AT61" s="160">
        <f>AT57*365</f>
        <v>0</v>
      </c>
      <c r="AU61" s="160">
        <f>AU57*365</f>
        <v>0</v>
      </c>
      <c r="AV61" s="160">
        <f>AV57*AV60</f>
        <v>0</v>
      </c>
      <c r="AW61" s="160" t="e">
        <f>AW57*AW60</f>
        <v>#VALUE!</v>
      </c>
      <c r="AX61" s="160">
        <f>AX57*AX60</f>
        <v>0</v>
      </c>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row>
    <row r="62" spans="1:72" s="585" customFormat="1" x14ac:dyDescent="0.35">
      <c r="A62" s="697" t="s">
        <v>380</v>
      </c>
      <c r="B62" s="160"/>
      <c r="C62" s="160"/>
      <c r="D62" s="160"/>
      <c r="E62" s="160"/>
      <c r="F62" s="160"/>
      <c r="G62" s="160"/>
      <c r="H62" s="160"/>
      <c r="I62" s="160"/>
      <c r="J62" s="160" t="s">
        <v>373</v>
      </c>
      <c r="K62" s="160">
        <f>SUM(K61:L61)/100</f>
        <v>2142.5159833641428</v>
      </c>
      <c r="L62" s="160"/>
      <c r="M62" s="160"/>
      <c r="N62" s="160"/>
      <c r="O62" s="160">
        <f>SUM(O61:P61)/100</f>
        <v>1987.6815382666528</v>
      </c>
      <c r="P62" s="160"/>
      <c r="Q62" s="160"/>
      <c r="R62" s="160" t="s">
        <v>274</v>
      </c>
      <c r="S62" s="160">
        <f>SUM(S61:Y61)/100</f>
        <v>1286.1904802420761</v>
      </c>
      <c r="T62" s="160"/>
      <c r="U62" s="160"/>
      <c r="V62" s="160"/>
      <c r="W62" s="160"/>
      <c r="X62" s="160">
        <f>SUM(X61:AA61)/100</f>
        <v>1913.7740695900177</v>
      </c>
      <c r="Y62" s="160"/>
      <c r="Z62" s="160"/>
      <c r="AA62" s="160"/>
      <c r="AB62" s="160"/>
      <c r="AC62" s="160">
        <f>SUM(AC61:AD61)/100</f>
        <v>4293.9125229439132</v>
      </c>
      <c r="AD62" s="160"/>
      <c r="AE62" s="160"/>
      <c r="AF62" s="160"/>
      <c r="AG62" s="160">
        <f>SUM(AG61:AH61)/100</f>
        <v>3848.5266875999196</v>
      </c>
      <c r="AH62" s="160"/>
      <c r="AI62" s="160"/>
      <c r="AJ62" s="160"/>
      <c r="AK62" s="160">
        <f>SUM(AK61:AN61)/100</f>
        <v>0</v>
      </c>
      <c r="AL62" s="160"/>
      <c r="AM62" s="160"/>
      <c r="AN62" s="160"/>
      <c r="AO62" s="160"/>
      <c r="AP62" s="160">
        <f>SUM(AP61:AU61)/100</f>
        <v>3692.6888904223038</v>
      </c>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row>
    <row r="63" spans="1:72" s="160" customFormat="1" x14ac:dyDescent="0.35">
      <c r="J63" s="585"/>
      <c r="O63" s="160">
        <f>O53*365/100</f>
        <v>359.35378462419607</v>
      </c>
      <c r="P63" s="160">
        <f>P53*P60/100</f>
        <v>458.10958693503511</v>
      </c>
      <c r="AU63" s="358"/>
    </row>
    <row r="64" spans="1:72" ht="14.5" x14ac:dyDescent="0.35">
      <c r="H64" s="217"/>
      <c r="J64" s="585"/>
      <c r="K64" s="160"/>
      <c r="L64" s="160"/>
      <c r="M64" s="160">
        <f>SUM(M65:M69)</f>
        <v>713.42640042832829</v>
      </c>
      <c r="N64" s="160"/>
      <c r="O64" s="160"/>
      <c r="P64" s="160"/>
      <c r="Q64" s="772">
        <f>SUM(Q65:Q69)</f>
        <v>1987.6815382666528</v>
      </c>
      <c r="R64" s="160"/>
    </row>
    <row r="65" spans="8:47" s="228" customFormat="1" ht="14.5" x14ac:dyDescent="0.35">
      <c r="H65" s="217"/>
      <c r="I65" s="30"/>
      <c r="J65" s="31"/>
      <c r="K65" s="160">
        <f>K52*365/100</f>
        <v>15.218768547947613</v>
      </c>
      <c r="L65" s="160">
        <f>L52*$M$60/100</f>
        <v>0</v>
      </c>
      <c r="M65" s="160">
        <f>K65+L65</f>
        <v>15.218768547947613</v>
      </c>
      <c r="N65" s="160"/>
      <c r="O65" s="160">
        <f>O52*365/100</f>
        <v>14.437940000000001</v>
      </c>
      <c r="P65" s="160">
        <f>P52*$P$60/100</f>
        <v>710.61605440277356</v>
      </c>
      <c r="Q65" s="160">
        <f>O65+P65</f>
        <v>725.05399440277358</v>
      </c>
      <c r="R65" s="16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row>
    <row r="66" spans="8:47" ht="14.5" x14ac:dyDescent="0.35">
      <c r="H66" s="217"/>
      <c r="J66" s="31"/>
      <c r="K66" s="160">
        <f t="shared" ref="K66:K69" si="33">K53*365/100</f>
        <v>327.19863700626848</v>
      </c>
      <c r="L66" s="160">
        <f t="shared" ref="L66:L69" si="34">L53*$M$60/100</f>
        <v>0</v>
      </c>
      <c r="M66" s="160">
        <f t="shared" ref="M66:M69" si="35">K66+L66</f>
        <v>327.19863700626848</v>
      </c>
      <c r="N66" s="160"/>
      <c r="O66" s="160">
        <f t="shared" ref="O66:O69" si="36">O53*365/100</f>
        <v>359.35378462419607</v>
      </c>
      <c r="P66" s="160">
        <f t="shared" ref="P66:P69" si="37">P53*$P$60/100</f>
        <v>458.10958693503511</v>
      </c>
      <c r="Q66" s="160">
        <f t="shared" ref="Q66:Q69" si="38">O66+P66</f>
        <v>817.46337155923118</v>
      </c>
      <c r="R66" s="160"/>
    </row>
    <row r="67" spans="8:47" ht="14.5" x14ac:dyDescent="0.35">
      <c r="H67" s="217"/>
      <c r="J67" s="31"/>
      <c r="K67" s="160">
        <f t="shared" si="33"/>
        <v>0</v>
      </c>
      <c r="L67" s="160">
        <f t="shared" si="34"/>
        <v>0</v>
      </c>
      <c r="M67" s="160">
        <f t="shared" si="35"/>
        <v>0</v>
      </c>
      <c r="N67" s="160"/>
      <c r="O67" s="160">
        <f t="shared" si="36"/>
        <v>0</v>
      </c>
      <c r="P67" s="160">
        <f t="shared" si="37"/>
        <v>40.888288542467528</v>
      </c>
      <c r="Q67" s="160">
        <f t="shared" si="38"/>
        <v>40.888288542467528</v>
      </c>
      <c r="R67" s="160"/>
    </row>
    <row r="68" spans="8:47" ht="14.5" x14ac:dyDescent="0.35">
      <c r="H68" s="217"/>
      <c r="J68" s="31"/>
      <c r="K68" s="160">
        <f t="shared" si="33"/>
        <v>328.20341084841243</v>
      </c>
      <c r="L68" s="160">
        <f t="shared" si="34"/>
        <v>0</v>
      </c>
      <c r="M68" s="160">
        <f t="shared" si="35"/>
        <v>328.20341084841243</v>
      </c>
      <c r="N68" s="160"/>
      <c r="O68" s="160">
        <f t="shared" si="36"/>
        <v>285.0149914661813</v>
      </c>
      <c r="P68" s="160">
        <f t="shared" si="37"/>
        <v>0</v>
      </c>
      <c r="Q68" s="160">
        <f t="shared" si="38"/>
        <v>285.0149914661813</v>
      </c>
      <c r="R68" s="160"/>
    </row>
    <row r="69" spans="8:47" ht="14.5" x14ac:dyDescent="0.35">
      <c r="H69" s="217"/>
      <c r="J69" s="31"/>
      <c r="K69" s="160">
        <f t="shared" si="33"/>
        <v>42.805584025699773</v>
      </c>
      <c r="L69" s="160">
        <f t="shared" si="34"/>
        <v>0</v>
      </c>
      <c r="M69" s="160">
        <f t="shared" si="35"/>
        <v>42.805584025699773</v>
      </c>
      <c r="N69" s="160"/>
      <c r="O69" s="160">
        <f t="shared" si="36"/>
        <v>42.051492516407087</v>
      </c>
      <c r="P69" s="160">
        <f t="shared" si="37"/>
        <v>77.209399779592118</v>
      </c>
      <c r="Q69" s="160">
        <f t="shared" si="38"/>
        <v>119.26089229599921</v>
      </c>
      <c r="R69" s="160"/>
    </row>
    <row r="70" spans="8:47" ht="14.5" x14ac:dyDescent="0.35">
      <c r="H70" s="217"/>
      <c r="K70" s="160"/>
      <c r="L70" s="160"/>
      <c r="M70" s="160"/>
      <c r="N70" s="160"/>
      <c r="O70" s="160"/>
      <c r="P70" s="160"/>
      <c r="Q70" s="160"/>
      <c r="R70" s="160"/>
    </row>
    <row r="71" spans="8:47" ht="14.5" x14ac:dyDescent="0.35">
      <c r="H71" s="217"/>
    </row>
    <row r="72" spans="8:47" s="64" customFormat="1" ht="14.5" x14ac:dyDescent="0.35">
      <c r="H72" s="217"/>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row>
    <row r="73" spans="8:47" ht="14.5" x14ac:dyDescent="0.35">
      <c r="H73" s="217"/>
    </row>
    <row r="74" spans="8:47" ht="14.5" x14ac:dyDescent="0.35">
      <c r="H74" s="217"/>
    </row>
    <row r="75" spans="8:47" s="218" customFormat="1" x14ac:dyDescent="0.35"/>
    <row r="76" spans="8:47" s="218" customFormat="1" x14ac:dyDescent="0.35"/>
    <row r="77" spans="8:47" s="218" customFormat="1" x14ac:dyDescent="0.35"/>
    <row r="78" spans="8:47" s="272" customFormat="1" x14ac:dyDescent="0.35"/>
  </sheetData>
  <sheetProtection algorithmName="SHA-256" hashValue="W+SS3PvzsSGYQWiFczF6sRlIug16eLUijlrKhasAOyM=" saltValue="OQ/6ddNjFlioJgS7kXQTgw==" spinCount="100000" sheet="1" autoFilter="0"/>
  <mergeCells count="43">
    <mergeCell ref="U49:V49"/>
    <mergeCell ref="Y49:Z49"/>
    <mergeCell ref="AL49:AN49"/>
    <mergeCell ref="AQ49:AS49"/>
    <mergeCell ref="AP48:AS48"/>
    <mergeCell ref="AG48:AH48"/>
    <mergeCell ref="AK48:AN48"/>
    <mergeCell ref="K48:L48"/>
    <mergeCell ref="O48:P48"/>
    <mergeCell ref="T48:U48"/>
    <mergeCell ref="X48:Y48"/>
    <mergeCell ref="AC48:AD48"/>
    <mergeCell ref="K47:P47"/>
    <mergeCell ref="T47:Y47"/>
    <mergeCell ref="AC47:AH47"/>
    <mergeCell ref="AK47:AS47"/>
    <mergeCell ref="K46:P46"/>
    <mergeCell ref="T46:Y46"/>
    <mergeCell ref="AC46:AH46"/>
    <mergeCell ref="AK46:AS46"/>
    <mergeCell ref="J30:Q30"/>
    <mergeCell ref="S30:Z30"/>
    <mergeCell ref="K31:L31"/>
    <mergeCell ref="A1:B1"/>
    <mergeCell ref="B6:B7"/>
    <mergeCell ref="H29:H33"/>
    <mergeCell ref="J29:Q29"/>
    <mergeCell ref="S29:Z29"/>
    <mergeCell ref="N31:Q31"/>
    <mergeCell ref="T31:U31"/>
    <mergeCell ref="W31:Z31"/>
    <mergeCell ref="AZ49:BA49"/>
    <mergeCell ref="AY47:BB47"/>
    <mergeCell ref="AY46:BB46"/>
    <mergeCell ref="AY48:BB48"/>
    <mergeCell ref="AB29:AI29"/>
    <mergeCell ref="AK29:AR29"/>
    <mergeCell ref="AB30:AI30"/>
    <mergeCell ref="AK30:AR30"/>
    <mergeCell ref="AC31:AD31"/>
    <mergeCell ref="AF31:AI31"/>
    <mergeCell ref="AL31:AM31"/>
    <mergeCell ref="AO31:AR31"/>
  </mergeCells>
  <conditionalFormatting sqref="H58:P58 T51:Y58 Z51:AA51 H51:Q57 S51:U57 Z57:AA57 S58">
    <cfRule type="expression" dxfId="1039" priority="71">
      <formula>AND(MOD(ROW(),2)=0,H$32="Proportion",$H51="Overall change in costs (%)")</formula>
    </cfRule>
  </conditionalFormatting>
  <conditionalFormatting sqref="H51:Q58">
    <cfRule type="expression" dxfId="1038" priority="70">
      <formula>MOD(ROW(),2)=0</formula>
    </cfRule>
  </conditionalFormatting>
  <conditionalFormatting sqref="H34:AR39 H40:O40 R40:X40 AA40:AG40 AJ40:AP40">
    <cfRule type="expression" dxfId="1037" priority="365">
      <formula>AND(MOD(ROW(),1)=0,H$32="Proportion",$H34="Overall change in costs (%)")</formula>
    </cfRule>
    <cfRule type="expression" dxfId="1036" priority="364">
      <formula>AND(MOD(ROW(),2)=0,H$32="Proportion",$H34="Overall change in costs (%)")</formula>
    </cfRule>
  </conditionalFormatting>
  <conditionalFormatting sqref="H34:AR40">
    <cfRule type="expression" dxfId="1035" priority="104">
      <formula>MOD(ROW(),2)=0</formula>
    </cfRule>
  </conditionalFormatting>
  <conditionalFormatting sqref="P40 Y40 AQ40">
    <cfRule type="expression" dxfId="1034" priority="371">
      <formula>AND(MOD(ROW(),1)=0,#REF!="Proportion",$H40="Overall change in costs (%)")</formula>
    </cfRule>
    <cfRule type="expression" dxfId="1033" priority="370">
      <formula>AND(MOD(ROW(),2)=0,#REF!="Proportion",$H40="Overall change in costs (%)")</formula>
    </cfRule>
  </conditionalFormatting>
  <conditionalFormatting sqref="P58">
    <cfRule type="expression" dxfId="1032" priority="69">
      <formula>AND(MOD(ROW(),1)=0,#REF!="Proportion",$H58="Overall change in costs (%)")</formula>
    </cfRule>
    <cfRule type="expression" dxfId="1031" priority="68">
      <formula>AND(MOD(ROW(),2)=0,#REF!="Proportion",$H58="Overall change in costs (%)")</formula>
    </cfRule>
  </conditionalFormatting>
  <conditionalFormatting sqref="Q40 Z40 AI40 AR40">
    <cfRule type="expression" dxfId="1030" priority="368">
      <formula>AND(MOD(ROW(),1)=0,P$32="Proportion",$H40="Overall change in costs (%)")</formula>
    </cfRule>
    <cfRule type="expression" dxfId="1029" priority="367">
      <formula>AND(MOD(ROW(),2)=0,P$32="Proportion",$H40="Overall change in costs (%)")</formula>
    </cfRule>
  </conditionalFormatting>
  <conditionalFormatting sqref="Q58">
    <cfRule type="expression" dxfId="1028" priority="74">
      <formula>AND(MOD(ROW(),1)=0,P$32="Proportion",$H58="Overall change in costs (%)")</formula>
    </cfRule>
    <cfRule type="expression" dxfId="1027" priority="73">
      <formula>AND(MOD(ROW(),2)=0,P$32="Proportion",$H58="Overall change in costs (%)")</formula>
    </cfRule>
  </conditionalFormatting>
  <conditionalFormatting sqref="S52:S57">
    <cfRule type="expression" dxfId="1026" priority="103">
      <formula>AND(MOD(ROW(),1)=0,#REF!="Proportion",$H52="Overall change in costs (%)")</formula>
    </cfRule>
    <cfRule type="expression" dxfId="1025" priority="102">
      <formula>AND(MOD(ROW(),2)=0,#REF!="Proportion",$H52="Overall change in costs (%)")</formula>
    </cfRule>
  </conditionalFormatting>
  <conditionalFormatting sqref="S51:U57">
    <cfRule type="expression" dxfId="1024" priority="62">
      <formula>MOD(ROW(),2)=0</formula>
    </cfRule>
  </conditionalFormatting>
  <conditionalFormatting sqref="S51:AU58">
    <cfRule type="expression" dxfId="1023" priority="41">
      <formula>MOD(ROW(),2)=0</formula>
    </cfRule>
  </conditionalFormatting>
  <conditionalFormatting sqref="Y58">
    <cfRule type="expression" dxfId="1022" priority="61">
      <formula>AND(MOD(ROW(),1)=0,#REF!="Proportion",$H58="Overall change in costs (%)")</formula>
    </cfRule>
    <cfRule type="expression" dxfId="1021" priority="60">
      <formula>AND(MOD(ROW(),2)=0,#REF!="Proportion",$H58="Overall change in costs (%)")</formula>
    </cfRule>
  </conditionalFormatting>
  <conditionalFormatting sqref="Z51:AA51 H51:Q57 S51:U57 T51:Y58 Z57:AA57 H58:P58 S58">
    <cfRule type="expression" dxfId="1020" priority="72">
      <formula>AND(MOD(ROW(),1)=0,H$32="Proportion",$H51="Overall change in costs (%)")</formula>
    </cfRule>
  </conditionalFormatting>
  <conditionalFormatting sqref="AA58:AB58">
    <cfRule type="expression" dxfId="1019" priority="128">
      <formula>AND(MOD(ROW(),1)=0,X$32="Proportion",$H58="Overall change in costs (%)")</formula>
    </cfRule>
    <cfRule type="expression" dxfId="1018" priority="129">
      <formula>AND(MOD(ROW(),2)=0,X$32="Proportion",$H58="Overall change in costs (%)")</formula>
    </cfRule>
  </conditionalFormatting>
  <conditionalFormatting sqref="AB51 AI51">
    <cfRule type="expression" dxfId="1017" priority="63">
      <formula>AND(MOD(ROW(),2)=0,AA$32="Proportion",$H51="Overall change in costs (%)")</formula>
    </cfRule>
    <cfRule type="expression" dxfId="1016" priority="75">
      <formula>AND(MOD(ROW(),1)=0,AA$32="Proportion",$H51="Overall change in costs (%)")</formula>
    </cfRule>
  </conditionalFormatting>
  <conditionalFormatting sqref="AB52:AB57">
    <cfRule type="expression" dxfId="1015" priority="81">
      <formula>AND(MOD(ROW(),2)=0,W$32="Proportion",$H52="Overall change in costs (%)")</formula>
    </cfRule>
    <cfRule type="expression" dxfId="1014" priority="80">
      <formula>AND(MOD(ROW(),1)=0,W$32="Proportion",$H52="Overall change in costs (%)")</formula>
    </cfRule>
  </conditionalFormatting>
  <conditionalFormatting sqref="AC51:AD51 AG51:AN51 AP51:AT51 Z52:AA56 Z58">
    <cfRule type="expression" dxfId="1013" priority="79">
      <formula>AND(MOD(ROW(),2)=0,X$32="Proportion",$H51="Overall change in costs (%)")</formula>
    </cfRule>
  </conditionalFormatting>
  <conditionalFormatting sqref="AE51:AF51 AU51 AC52:AH57 AT52:AU57 AC58:AG58">
    <cfRule type="expression" dxfId="1012" priority="85">
      <formula>AND(MOD(ROW(),2)=0,S$32="Proportion",$H51="Overall change in costs (%)")</formula>
    </cfRule>
    <cfRule type="expression" dxfId="1011" priority="84">
      <formula>AND(MOD(ROW(),1)=0,S$32="Proportion",$H51="Overall change in costs (%)")</formula>
    </cfRule>
  </conditionalFormatting>
  <conditionalFormatting sqref="AG51:AN51 AC51:AD51 AP51:AT51 Z52:AA56 Z58">
    <cfRule type="expression" dxfId="1010" priority="78">
      <formula>AND(MOD(ROW(),1)=0,X$32="Proportion",$H51="Overall change in costs (%)")</formula>
    </cfRule>
  </conditionalFormatting>
  <conditionalFormatting sqref="AH40">
    <cfRule type="expression" dxfId="1009" priority="292">
      <formula>AND(MOD(ROW(),1)=0,#REF!="Proportion",$H40="Overall change in costs (%)")</formula>
    </cfRule>
    <cfRule type="expression" dxfId="1008" priority="291">
      <formula>AND(MOD(ROW(),2)=0,#REF!="Proportion",$H40="Overall change in costs (%)")</formula>
    </cfRule>
  </conditionalFormatting>
  <conditionalFormatting sqref="AH58">
    <cfRule type="expression" dxfId="1007" priority="57">
      <formula>AND(MOD(ROW(),1)=0,G$32="Proportion",$H58="Overall change in costs (%)")</formula>
    </cfRule>
    <cfRule type="expression" dxfId="1006" priority="56">
      <formula>AND(MOD(ROW(),2)=0,G$32="Proportion",$H58="Overall change in costs (%)")</formula>
    </cfRule>
  </conditionalFormatting>
  <conditionalFormatting sqref="AI52:AJ57">
    <cfRule type="expression" dxfId="1005" priority="82">
      <formula>AND(MOD(ROW(),1)=0,Z$32="Proportion",$H52="Overall change in costs (%)")</formula>
    </cfRule>
    <cfRule type="expression" dxfId="1004" priority="83">
      <formula>AND(MOD(ROW(),2)=0,Z$32="Proportion",$H52="Overall change in costs (%)")</formula>
    </cfRule>
  </conditionalFormatting>
  <conditionalFormatting sqref="AI58:AJ58">
    <cfRule type="expression" dxfId="1003" priority="93">
      <formula>AND(MOD(ROW(),2)=0,AE$32="Proportion",$H58="Overall change in costs (%)")</formula>
    </cfRule>
    <cfRule type="expression" dxfId="1002" priority="92">
      <formula>AND(MOD(ROW(),1)=0,AE$32="Proportion",$H58="Overall change in costs (%)")</formula>
    </cfRule>
  </conditionalFormatting>
  <conditionalFormatting sqref="AK58:AS58">
    <cfRule type="expression" dxfId="1001" priority="45">
      <formula>AND(MOD(ROW(),2)=0,I$32="Proportion",$H58="Overall change in costs (%)")</formula>
    </cfRule>
    <cfRule type="expression" dxfId="1000" priority="46">
      <formula>AND(MOD(ROW(),1)=0,I$32="Proportion",$H58="Overall change in costs (%)")</formula>
    </cfRule>
  </conditionalFormatting>
  <conditionalFormatting sqref="AM52:AO57">
    <cfRule type="expression" dxfId="999" priority="94">
      <formula>AND(MOD(ROW(),1)=0,AA$32="Proportion",$H52="Overall change in costs (%)")</formula>
    </cfRule>
    <cfRule type="expression" dxfId="998" priority="95">
      <formula>AND(MOD(ROW(),2)=0,AA$32="Proportion",$H52="Overall change in costs (%)")</formula>
    </cfRule>
  </conditionalFormatting>
  <conditionalFormatting sqref="AO51 AK52:AL57 AN52:AO57">
    <cfRule type="expression" dxfId="997" priority="89">
      <formula>AND(MOD(ROW(),2)=0,Z$32="Proportion",$H51="Overall change in costs (%)")</formula>
    </cfRule>
    <cfRule type="expression" dxfId="996" priority="88">
      <formula>AND(MOD(ROW(),1)=0,Z$32="Proportion",$H51="Overall change in costs (%)")</formula>
    </cfRule>
  </conditionalFormatting>
  <conditionalFormatting sqref="AP52:AS57">
    <cfRule type="expression" dxfId="995" priority="96">
      <formula>AND(MOD(ROW(),1)=0,AC$32="Proportion",$H52="Overall change in costs (%)")</formula>
    </cfRule>
    <cfRule type="expression" dxfId="994" priority="97">
      <formula>AND(MOD(ROW(),2)=0,AC$32="Proportion",$H52="Overall change in costs (%)")</formula>
    </cfRule>
  </conditionalFormatting>
  <conditionalFormatting sqref="AR52:AS57">
    <cfRule type="expression" dxfId="993" priority="98">
      <formula>AND(MOD(ROW(),2)=0,AD$32="Proportion",$H52="Overall change in costs (%)")</formula>
    </cfRule>
    <cfRule type="expression" dxfId="992" priority="99">
      <formula>AND(MOD(ROW(),1)=0,AD$32="Proportion",$H52="Overall change in costs (%)")</formula>
    </cfRule>
  </conditionalFormatting>
  <conditionalFormatting sqref="AS52:AS57">
    <cfRule type="expression" dxfId="991" priority="101">
      <formula>AND(MOD(ROW(),1)=0,AG$32="Proportion",$H52="Overall change in costs (%)")</formula>
    </cfRule>
    <cfRule type="expression" dxfId="990" priority="100">
      <formula>AND(MOD(ROW(),2)=0,AG$32="Proportion",$H52="Overall change in costs (%)")</formula>
    </cfRule>
  </conditionalFormatting>
  <conditionalFormatting sqref="AT58:AU58">
    <cfRule type="expression" dxfId="989" priority="77">
      <formula>AND(MOD(ROW(),1)=0,S$32="Proportion",$H58="Overall change in costs (%)")</formula>
    </cfRule>
    <cfRule type="expression" dxfId="988" priority="76">
      <formula>AND(MOD(ROW(),2)=0,S$32="Proportion",$H58="Overall change in costs (%)")</formula>
    </cfRule>
  </conditionalFormatting>
  <conditionalFormatting sqref="AW56">
    <cfRule type="expression" dxfId="987" priority="21">
      <formula>AND(MOD(ROW(),2)=0,AW$32="Proportion",$I56="Overall change in costs (%)")</formula>
    </cfRule>
    <cfRule type="expression" dxfId="986" priority="22">
      <formula>AND(MOD(ROW(),1)=0,AW$32="Proportion",$I56="Overall change in costs (%)")</formula>
    </cfRule>
  </conditionalFormatting>
  <conditionalFormatting sqref="AW52:AX55 AX56">
    <cfRule type="expression" dxfId="985" priority="24">
      <formula>AND(MOD(ROW(),1)=0,AJ$32="Proportion",$I52="Overall change in costs (%)")</formula>
    </cfRule>
    <cfRule type="expression" dxfId="984" priority="25">
      <formula>AND(MOD(ROW(),2)=0,AJ$32="Proportion",$I52="Overall change in costs (%)")</formula>
    </cfRule>
  </conditionalFormatting>
  <conditionalFormatting sqref="AW52:AX57">
    <cfRule type="expression" dxfId="983" priority="20">
      <formula>MOD(ROW(),2)=0</formula>
    </cfRule>
  </conditionalFormatting>
  <conditionalFormatting sqref="AW57:AX57">
    <cfRule type="expression" dxfId="982" priority="34">
      <formula>AND(MOD(ROW(),2)=0,AJ$32="Proportion",$I56="Overall change in costs (%)")</formula>
    </cfRule>
    <cfRule type="expression" dxfId="981" priority="33">
      <formula>AND(MOD(ROW(),1)=0,AJ$32="Proportion",$I56="Overall change in costs (%)")</formula>
    </cfRule>
  </conditionalFormatting>
  <conditionalFormatting sqref="AW58:AX58">
    <cfRule type="expression" dxfId="980" priority="26">
      <formula>AND(MOD(ROW(),2)=0,U$32="Proportion",$I58="Overall change in costs (%)")</formula>
    </cfRule>
    <cfRule type="expression" dxfId="979" priority="27">
      <formula>AND(MOD(ROW(),1)=0,U$32="Proportion",$I58="Overall change in costs (%)")</formula>
    </cfRule>
  </conditionalFormatting>
  <conditionalFormatting sqref="AW51:BC51 AZ57:BC58 AW58:AY58">
    <cfRule type="expression" dxfId="978" priority="28">
      <formula>MOD(ROW(),2)=0</formula>
    </cfRule>
  </conditionalFormatting>
  <conditionalFormatting sqref="AW51:BC51">
    <cfRule type="expression" dxfId="977" priority="29">
      <formula>AND(MOD(ROW(),2)=0,AW$32="Proportion",$I51="Overall change in costs (%)")</formula>
    </cfRule>
    <cfRule type="expression" dxfId="976" priority="30">
      <formula>AND(MOD(ROW(),1)=0,AW$32="Proportion",$I51="Overall change in costs (%)")</formula>
    </cfRule>
  </conditionalFormatting>
  <conditionalFormatting sqref="AY52:AZ56 BA56:BB56">
    <cfRule type="expression" dxfId="975" priority="2">
      <formula>AND(MOD(ROW(),2)=0,AY$32="Proportion",$H52="Overall change in costs (%)")</formula>
    </cfRule>
    <cfRule type="expression" dxfId="974" priority="3">
      <formula>AND(MOD(ROW(),1)=0,AY$32="Proportion",$H52="Overall change in costs (%)")</formula>
    </cfRule>
  </conditionalFormatting>
  <conditionalFormatting sqref="AY58:BB58">
    <cfRule type="expression" dxfId="973" priority="31">
      <formula>AND(MOD(ROW(),2)=0,AB$32="Proportion",$I58="Overall change in costs (%)")</formula>
    </cfRule>
    <cfRule type="expression" dxfId="972" priority="32">
      <formula>AND(MOD(ROW(),1)=0,AB$32="Proportion",$I58="Overall change in costs (%)")</formula>
    </cfRule>
  </conditionalFormatting>
  <conditionalFormatting sqref="AY52:BC56">
    <cfRule type="expression" dxfId="971" priority="1">
      <formula>MOD(ROW(),2)=0</formula>
    </cfRule>
  </conditionalFormatting>
  <conditionalFormatting sqref="AZ57">
    <cfRule type="expression" dxfId="970" priority="40">
      <formula>AND(MOD(ROW(),1)=0,AQ$32="Proportion",$I56="Overall change in costs (%)")</formula>
    </cfRule>
    <cfRule type="expression" dxfId="969" priority="39">
      <formula>AND(MOD(ROW(),2)=0,AQ$32="Proportion",$I56="Overall change in costs (%)")</formula>
    </cfRule>
    <cfRule type="expression" dxfId="968" priority="38">
      <formula>AND(MOD(ROW(),2)=0,AR$32="Proportion",$I56="Overall change in costs (%)")</formula>
    </cfRule>
    <cfRule type="expression" dxfId="967" priority="37">
      <formula>AND(MOD(ROW(),1)=0,AR$32="Proportion",$I56="Overall change in costs (%)")</formula>
    </cfRule>
  </conditionalFormatting>
  <conditionalFormatting sqref="BA57">
    <cfRule type="expression" dxfId="966" priority="35">
      <formula>AND(MOD(ROW(),2)=0,AT$32="Proportion",$I56="Overall change in costs (%)")</formula>
    </cfRule>
    <cfRule type="expression" dxfId="965" priority="36">
      <formula>AND(MOD(ROW(),1)=0,AT$32="Proportion",$I56="Overall change in costs (%)")</formula>
    </cfRule>
  </conditionalFormatting>
  <conditionalFormatting sqref="BA52:BB56">
    <cfRule type="expression" dxfId="964" priority="4">
      <formula>AND(MOD(ROW(),1)=0,AY$32="Proportion",$H52="Overall change in costs (%)")</formula>
    </cfRule>
    <cfRule type="expression" dxfId="963" priority="5">
      <formula>AND(MOD(ROW(),2)=0,AY$32="Proportion",$H52="Overall change in costs (%)")</formula>
    </cfRule>
  </conditionalFormatting>
  <conditionalFormatting sqref="BB57:BC57">
    <cfRule type="expression" dxfId="962" priority="19">
      <formula>AND(MOD(ROW(),2)=0,AO$32="Proportion",$I56="Overall change in costs (%)")</formula>
    </cfRule>
    <cfRule type="expression" dxfId="961" priority="18">
      <formula>AND(MOD(ROW(),1)=0,AO$32="Proportion",$I56="Overall change in costs (%)")</formula>
    </cfRule>
  </conditionalFormatting>
  <conditionalFormatting sqref="BB58:BC58">
    <cfRule type="expression" dxfId="960" priority="17">
      <formula>AND(MOD(ROW(),1)=0,Z$32="Proportion",$I58="Overall change in costs (%)")</formula>
    </cfRule>
    <cfRule type="expression" dxfId="959" priority="16">
      <formula>AND(MOD(ROW(),2)=0,Z$32="Proportion",$I58="Overall change in costs (%)")</formula>
    </cfRule>
  </conditionalFormatting>
  <conditionalFormatting sqref="BC52:BC56">
    <cfRule type="expression" dxfId="958" priority="15">
      <formula>AND(MOD(ROW(),2)=0,AP$32="Proportion",$I52="Overall change in costs (%)")</formula>
    </cfRule>
    <cfRule type="expression" dxfId="957" priority="14">
      <formula>AND(MOD(ROW(),1)=0,AP$32="Proportion",$I52="Overall change in costs (%)")</formula>
    </cfRule>
  </conditionalFormatting>
  <hyperlinks>
    <hyperlink ref="A1" location="Index!A1" display="&lt;&lt;Back to Index" xr:uid="{B1F915EC-EDE5-4D1F-B6D7-A55C506A8AEF}"/>
  </hyperlinks>
  <pageMargins left="0.7" right="0.7" top="0.75" bottom="0.75" header="0.3" footer="0.3"/>
  <pageSetup paperSize="9" orientation="portrait" r:id="rId1"/>
  <headerFooter>
    <oddHeader>&amp;C&amp;"Calibri"&amp;10&amp;KFF0000 OFFICIAL SENSITIVE&amp;1#_x000D_</oddHeader>
  </headerFooter>
  <ignoredErrors>
    <ignoredError sqref="AW61" evalError="1"/>
    <ignoredError sqref="X61 AC61"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E977-F6BE-41C2-A478-E2515844C8C1}">
  <sheetPr>
    <tabColor rgb="FF00B050"/>
  </sheetPr>
  <dimension ref="A1:BD78"/>
  <sheetViews>
    <sheetView showGridLines="0" zoomScale="70" zoomScaleNormal="70" workbookViewId="0">
      <selection activeCell="AK40" sqref="AK40"/>
    </sheetView>
  </sheetViews>
  <sheetFormatPr defaultColWidth="8.81640625" defaultRowHeight="14" x14ac:dyDescent="0.35"/>
  <cols>
    <col min="1" max="1" width="1.81640625" style="30" customWidth="1"/>
    <col min="2" max="2" width="43.36328125" style="30" bestFit="1" customWidth="1"/>
    <col min="3" max="4" width="13.1796875" style="30" customWidth="1"/>
    <col min="5" max="5" width="0.81640625" style="30" customWidth="1"/>
    <col min="6" max="7" width="16.1796875" style="30" customWidth="1"/>
    <col min="8" max="8" width="26.81640625" style="30" customWidth="1"/>
    <col min="9" max="9" width="5.81640625" style="30" customWidth="1"/>
    <col min="10" max="12" width="10.81640625" style="30" customWidth="1"/>
    <col min="13" max="13" width="1.81640625" style="30" customWidth="1"/>
    <col min="14" max="14" width="10.81640625" style="30" customWidth="1"/>
    <col min="15" max="15" width="12.54296875" style="30" customWidth="1"/>
    <col min="16" max="16" width="13.1796875" style="30" customWidth="1"/>
    <col min="17" max="17" width="10.81640625" style="30" customWidth="1"/>
    <col min="18" max="18" width="7.81640625" style="30" customWidth="1"/>
    <col min="19" max="21" width="10.81640625" style="30" customWidth="1"/>
    <col min="22" max="22" width="11.54296875" style="30" customWidth="1"/>
    <col min="23" max="23" width="10.81640625" style="30" customWidth="1"/>
    <col min="24" max="25" width="13.1796875" style="30" customWidth="1"/>
    <col min="26" max="26" width="10.81640625" style="30" customWidth="1"/>
    <col min="27" max="27" width="7.54296875" style="30" customWidth="1"/>
    <col min="28" max="28" width="13.26953125" style="30" bestFit="1" customWidth="1"/>
    <col min="29" max="29" width="11.7265625" style="30" bestFit="1" customWidth="1"/>
    <col min="30" max="30" width="10.54296875" style="30" bestFit="1" customWidth="1"/>
    <col min="31" max="31" width="9.26953125" style="30" bestFit="1" customWidth="1"/>
    <col min="32" max="32" width="12.26953125" style="30" bestFit="1" customWidth="1"/>
    <col min="33" max="33" width="12.81640625" style="30" bestFit="1" customWidth="1"/>
    <col min="34" max="34" width="11.7265625" style="30" bestFit="1" customWidth="1"/>
    <col min="35" max="35" width="9.26953125" style="30" bestFit="1" customWidth="1"/>
    <col min="36" max="36" width="13.26953125" style="30" bestFit="1" customWidth="1"/>
    <col min="37" max="37" width="12.81640625" style="30" bestFit="1" customWidth="1"/>
    <col min="38" max="38" width="13.1796875" style="30" bestFit="1" customWidth="1"/>
    <col min="39" max="39" width="12.81640625" style="30" bestFit="1" customWidth="1"/>
    <col min="40" max="41" width="10.81640625" style="30" bestFit="1" customWidth="1"/>
    <col min="42" max="42" width="12.453125" style="30" customWidth="1"/>
    <col min="43" max="44" width="12.81640625" style="30" bestFit="1" customWidth="1"/>
    <col min="45" max="45" width="10.54296875" style="30" bestFit="1" customWidth="1"/>
    <col min="46" max="46" width="12.81640625" style="30" bestFit="1" customWidth="1"/>
    <col min="47" max="47" width="8.81640625" style="30"/>
    <col min="48" max="48" width="29.1796875" style="30" bestFit="1" customWidth="1"/>
    <col min="49" max="49" width="8.81640625" style="30"/>
    <col min="50" max="50" width="11.453125" style="30" bestFit="1" customWidth="1"/>
    <col min="51" max="51" width="18.26953125" style="30" bestFit="1" customWidth="1"/>
    <col min="52" max="52" width="21.7265625" style="30" bestFit="1" customWidth="1"/>
    <col min="53" max="53" width="22.1796875" style="30" bestFit="1" customWidth="1"/>
    <col min="54" max="16384" width="8.81640625" style="30"/>
  </cols>
  <sheetData>
    <row r="1" spans="1:27" ht="10.4" customHeight="1" x14ac:dyDescent="0.35">
      <c r="A1" s="815" t="s">
        <v>18</v>
      </c>
      <c r="B1" s="816"/>
      <c r="C1" s="722" t="s">
        <v>380</v>
      </c>
      <c r="D1" s="722" t="s">
        <v>380</v>
      </c>
      <c r="E1" s="722" t="s">
        <v>380</v>
      </c>
      <c r="F1" s="722" t="s">
        <v>380</v>
      </c>
      <c r="G1" s="722" t="s">
        <v>380</v>
      </c>
    </row>
    <row r="2" spans="1:27" s="62" customFormat="1" ht="22.5" customHeight="1" x14ac:dyDescent="0.35">
      <c r="A2" s="61" t="s">
        <v>5</v>
      </c>
    </row>
    <row r="3" spans="1:27" s="160" customFormat="1" ht="14.5" thickBot="1" x14ac:dyDescent="0.4">
      <c r="C3" s="160" t="str">
        <f>$A$2&amp;" "&amp;C6&amp;" "&amp;C7</f>
        <v>SAPN Residential Flat rate</v>
      </c>
      <c r="F3" s="160" t="str">
        <f>$A$2&amp;" "&amp;F6&amp;" "&amp;F7</f>
        <v>SAPN Small Business Flat rate</v>
      </c>
      <c r="H3" s="30"/>
      <c r="I3" s="30"/>
      <c r="J3" s="30"/>
      <c r="K3" s="30"/>
      <c r="L3" s="30"/>
      <c r="M3" s="30"/>
      <c r="N3" s="30"/>
      <c r="O3" s="30"/>
      <c r="P3" s="30"/>
      <c r="Q3" s="30"/>
      <c r="R3" s="30"/>
      <c r="S3" s="30"/>
      <c r="T3" s="30"/>
      <c r="U3" s="30"/>
      <c r="V3" s="30"/>
      <c r="W3" s="30"/>
      <c r="X3" s="30"/>
      <c r="Y3" s="30"/>
      <c r="Z3" s="30"/>
      <c r="AA3" s="30"/>
    </row>
    <row r="4" spans="1:27" ht="15.5" x14ac:dyDescent="0.35">
      <c r="B4" s="33" t="s">
        <v>17</v>
      </c>
      <c r="C4" s="355" t="s">
        <v>19</v>
      </c>
      <c r="D4" s="355" t="s">
        <v>272</v>
      </c>
      <c r="E4" s="355"/>
      <c r="F4" s="355" t="s">
        <v>19</v>
      </c>
      <c r="G4" s="355" t="s">
        <v>272</v>
      </c>
      <c r="H4" s="33"/>
      <c r="I4" s="161" t="s">
        <v>89</v>
      </c>
      <c r="J4" s="162"/>
      <c r="K4" s="162"/>
      <c r="L4" s="162"/>
      <c r="M4" s="162"/>
      <c r="N4" s="162"/>
      <c r="O4" s="162"/>
      <c r="P4" s="162"/>
      <c r="Q4" s="162"/>
      <c r="R4" s="162"/>
      <c r="S4" s="162"/>
      <c r="T4" s="162"/>
      <c r="U4" s="162"/>
      <c r="V4" s="162"/>
      <c r="W4" s="162"/>
      <c r="X4" s="162"/>
      <c r="Y4" s="162"/>
      <c r="Z4" s="162"/>
      <c r="AA4" s="698"/>
    </row>
    <row r="5" spans="1:27" ht="5.15" customHeight="1" x14ac:dyDescent="0.35">
      <c r="B5" s="64"/>
      <c r="I5" s="164"/>
      <c r="J5" s="165"/>
      <c r="AA5" s="166"/>
    </row>
    <row r="6" spans="1:27" ht="20.149999999999999" customHeight="1" x14ac:dyDescent="0.3">
      <c r="B6" s="908" t="str">
        <f>A2</f>
        <v>SAPN</v>
      </c>
      <c r="C6" s="167" t="s">
        <v>6</v>
      </c>
      <c r="D6" s="167" t="s">
        <v>6</v>
      </c>
      <c r="E6" s="167"/>
      <c r="F6" s="167" t="s">
        <v>76</v>
      </c>
      <c r="G6" s="167" t="s">
        <v>76</v>
      </c>
      <c r="I6" s="164"/>
      <c r="J6" s="165"/>
      <c r="AA6" s="166"/>
    </row>
    <row r="7" spans="1:27" ht="20.149999999999999" customHeight="1" x14ac:dyDescent="0.35">
      <c r="B7" s="908"/>
      <c r="C7" s="168" t="s">
        <v>19</v>
      </c>
      <c r="D7" s="168" t="s">
        <v>272</v>
      </c>
      <c r="E7" s="168"/>
      <c r="F7" s="168" t="s">
        <v>19</v>
      </c>
      <c r="G7" s="168" t="s">
        <v>272</v>
      </c>
      <c r="I7" s="164"/>
      <c r="AA7" s="166"/>
    </row>
    <row r="8" spans="1:27" ht="2.15" customHeight="1" x14ac:dyDescent="0.35">
      <c r="C8" s="65"/>
      <c r="D8" s="65"/>
      <c r="E8" s="65"/>
      <c r="F8" s="65"/>
      <c r="G8" s="65"/>
      <c r="I8" s="164"/>
      <c r="AA8" s="166"/>
    </row>
    <row r="9" spans="1:27" s="69" customFormat="1" ht="30" customHeight="1" x14ac:dyDescent="0.35">
      <c r="B9" s="51" t="str">
        <f>"DMO "&amp;FY&amp;" price ($ pa, inc GST)"</f>
        <v>DMO 2026-27 price ($ pa, inc GST)</v>
      </c>
      <c r="C9" s="169">
        <f>SUM(SAPN_RESwoCL_FY_cost)</f>
        <v>2333.5996546401943</v>
      </c>
      <c r="D9" s="169">
        <f>SUM(SAPN_REStou_FY_cost)</f>
        <v>2275.6826950173672</v>
      </c>
      <c r="E9" s="169"/>
      <c r="F9" s="169">
        <f>SUM(SAPN_SBwoCL_FY_cost)</f>
        <v>5161.8632840663859</v>
      </c>
      <c r="G9" s="169">
        <f>SUM(SAPN_SBtou_FY_cost)</f>
        <v>4867.6080346642648</v>
      </c>
      <c r="H9" s="30"/>
      <c r="I9" s="164"/>
      <c r="J9" s="30"/>
      <c r="K9" s="30"/>
      <c r="L9" s="30"/>
      <c r="M9" s="30"/>
      <c r="N9" s="30"/>
      <c r="O9" s="30"/>
      <c r="P9" s="30"/>
      <c r="Q9" s="30"/>
      <c r="R9" s="30"/>
      <c r="S9" s="30"/>
      <c r="T9" s="30"/>
      <c r="U9" s="30"/>
      <c r="V9" s="30"/>
      <c r="W9" s="30"/>
      <c r="X9" s="30"/>
      <c r="Y9" s="30"/>
      <c r="Z9" s="30"/>
      <c r="AA9" s="166"/>
    </row>
    <row r="10" spans="1:27" ht="2.15" customHeight="1" x14ac:dyDescent="0.35">
      <c r="B10" s="56"/>
      <c r="C10" s="171"/>
      <c r="D10" s="171"/>
      <c r="E10" s="171"/>
      <c r="F10" s="171"/>
      <c r="G10" s="171"/>
      <c r="H10" s="69"/>
      <c r="I10" s="172"/>
      <c r="J10" s="69"/>
      <c r="K10" s="69"/>
      <c r="L10" s="69"/>
      <c r="M10" s="69"/>
      <c r="N10" s="69"/>
      <c r="O10" s="69"/>
      <c r="P10" s="69"/>
      <c r="Q10" s="69"/>
      <c r="R10" s="69"/>
      <c r="S10" s="69"/>
      <c r="T10" s="69"/>
      <c r="U10" s="69"/>
      <c r="V10" s="69"/>
      <c r="W10" s="69"/>
      <c r="X10" s="69"/>
      <c r="Y10" s="69"/>
      <c r="Z10" s="69"/>
      <c r="AA10" s="170"/>
    </row>
    <row r="11" spans="1:27" s="69" customFormat="1" ht="30" customHeight="1" x14ac:dyDescent="0.35">
      <c r="A11" s="356"/>
      <c r="B11" s="173" t="str">
        <f>"DMO "&amp;PY&amp;" price ($ pa, inc GST)"</f>
        <v>DMO 2025-26 price ($ pa, inc GST)</v>
      </c>
      <c r="C11" s="174">
        <f>SUM(SAPN_RESwoCL_PY_cost)</f>
        <v>2300.5440908863925</v>
      </c>
      <c r="D11" s="174">
        <f>SUM(SAPN_RESwoCL_PY_cost)</f>
        <v>2300.5440908863925</v>
      </c>
      <c r="E11" s="174"/>
      <c r="F11" s="174">
        <f>SUM(SAPN_SBwoCL_PY_cost)</f>
        <v>5541.0016782234652</v>
      </c>
      <c r="G11" s="174">
        <f>SUM(SAPN_SBwoCL_PY_cost)</f>
        <v>5541.0016782234652</v>
      </c>
      <c r="H11" s="30"/>
      <c r="I11" s="164"/>
      <c r="J11" s="30"/>
      <c r="K11" s="30"/>
      <c r="L11" s="30"/>
      <c r="M11" s="30"/>
      <c r="N11" s="30"/>
      <c r="O11" s="30"/>
      <c r="P11" s="30"/>
      <c r="Q11" s="30"/>
      <c r="R11" s="30"/>
      <c r="S11" s="30"/>
      <c r="T11" s="30"/>
      <c r="U11" s="30"/>
      <c r="V11" s="30"/>
      <c r="W11" s="30"/>
      <c r="X11" s="30"/>
      <c r="Y11" s="30"/>
      <c r="Z11" s="30"/>
      <c r="AA11" s="166"/>
    </row>
    <row r="12" spans="1:27" ht="2.15" customHeight="1" x14ac:dyDescent="0.35">
      <c r="A12" s="160"/>
      <c r="B12" s="56"/>
      <c r="C12" s="171"/>
      <c r="D12" s="171"/>
      <c r="E12" s="171"/>
      <c r="F12" s="171"/>
      <c r="G12" s="171"/>
      <c r="H12" s="69"/>
      <c r="I12" s="172"/>
      <c r="J12" s="69"/>
      <c r="K12" s="69"/>
      <c r="L12" s="69"/>
      <c r="M12" s="69"/>
      <c r="N12" s="69"/>
      <c r="O12" s="69"/>
      <c r="P12" s="69"/>
      <c r="Q12" s="69"/>
      <c r="R12" s="69"/>
      <c r="S12" s="69"/>
      <c r="T12" s="69"/>
      <c r="U12" s="69"/>
      <c r="V12" s="69"/>
      <c r="W12" s="69"/>
      <c r="X12" s="69"/>
      <c r="Y12" s="69"/>
      <c r="Z12" s="69"/>
      <c r="AA12" s="170"/>
    </row>
    <row r="13" spans="1:27" ht="20.149999999999999" customHeight="1" x14ac:dyDescent="0.35">
      <c r="A13" s="160"/>
      <c r="B13" s="175" t="s">
        <v>48</v>
      </c>
      <c r="C13" s="244">
        <f>SUM(C14:C15)</f>
        <v>4000</v>
      </c>
      <c r="D13" s="244">
        <f>SUM(D14:D15)</f>
        <v>4000</v>
      </c>
      <c r="E13" s="244"/>
      <c r="F13" s="244">
        <f>SUM(F14:F15)</f>
        <v>10000</v>
      </c>
      <c r="G13" s="244">
        <f>SUM(G14:G15)</f>
        <v>10000</v>
      </c>
      <c r="I13" s="164"/>
      <c r="AA13" s="166"/>
    </row>
    <row r="14" spans="1:27" ht="20.149999999999999" customHeight="1" x14ac:dyDescent="0.35">
      <c r="A14" s="160" t="s">
        <v>19</v>
      </c>
      <c r="B14" s="176" t="s">
        <v>52</v>
      </c>
      <c r="C14" s="177" cm="1">
        <f t="array" ref="C14">_xlfn.XLOOKUP(1,($B$6=DistributionZone)*(C$6=CustomerType)*(C$4=tariffType)*("Usage" = Description),valuesFY)</f>
        <v>4000</v>
      </c>
      <c r="D14" s="177" cm="1">
        <f t="array" ref="D14">_xlfn.XLOOKUP(1,($B$6=DistributionZone)*(D$6=CustomerType)*(D$4=tariffType)*("Usage" = Description),valuesFY)</f>
        <v>4000</v>
      </c>
      <c r="E14" s="177"/>
      <c r="F14" s="177" cm="1">
        <f t="array" ref="F14">_xlfn.XLOOKUP(1,($B$6=DistributionZone)*(F$6=CustomerType)*(F$4=tariffType)*("Usage" = Description),valuesFY)</f>
        <v>10000</v>
      </c>
      <c r="G14" s="177" cm="1">
        <f t="array" ref="G14">_xlfn.XLOOKUP(1,($B$6=DistributionZone)*(G$6=CustomerType)*(G$4=tariffType)*("Usage" = Description),valuesFY)</f>
        <v>10000</v>
      </c>
      <c r="I14" s="164"/>
      <c r="AA14" s="166"/>
    </row>
    <row r="15" spans="1:27" ht="20.149999999999999" customHeight="1" x14ac:dyDescent="0.35">
      <c r="A15" s="160" t="s">
        <v>16</v>
      </c>
      <c r="B15" s="176" t="s">
        <v>51</v>
      </c>
      <c r="C15" s="177"/>
      <c r="D15" s="177"/>
      <c r="E15" s="177"/>
      <c r="F15" s="177"/>
      <c r="G15" s="177"/>
      <c r="I15" s="164"/>
      <c r="AA15" s="166"/>
    </row>
    <row r="16" spans="1:27" ht="2.15" customHeight="1" x14ac:dyDescent="0.35">
      <c r="A16" s="160"/>
      <c r="B16" s="101"/>
      <c r="C16" s="101"/>
      <c r="D16" s="101"/>
      <c r="E16" s="101"/>
      <c r="F16" s="101"/>
      <c r="G16" s="101"/>
      <c r="I16" s="164"/>
      <c r="AA16" s="166"/>
    </row>
    <row r="17" spans="1:45" ht="20.149999999999999" customHeight="1" x14ac:dyDescent="0.35">
      <c r="A17" s="160"/>
      <c r="B17" s="176" t="str">
        <f>"Change from DMO "&amp;PY&amp; " price ($)"</f>
        <v>Change from DMO 2025-26 price ($)</v>
      </c>
      <c r="C17" s="178">
        <f>C9-C11</f>
        <v>33.055563753801835</v>
      </c>
      <c r="D17" s="178">
        <f t="shared" ref="D17:G17" si="0">D9-D11</f>
        <v>-24.861395869025273</v>
      </c>
      <c r="E17" s="178"/>
      <c r="F17" s="178">
        <f t="shared" si="0"/>
        <v>-379.13839415707935</v>
      </c>
      <c r="G17" s="178">
        <f t="shared" si="0"/>
        <v>-673.39364355920043</v>
      </c>
      <c r="I17" s="164"/>
      <c r="AA17" s="166"/>
    </row>
    <row r="18" spans="1:45" ht="20.149999999999999" customHeight="1" thickBot="1" x14ac:dyDescent="0.4">
      <c r="A18" s="160"/>
      <c r="B18" s="179" t="str">
        <f>"Change from DMO "&amp;PY&amp; " price (%)"</f>
        <v>Change from DMO 2025-26 price (%)</v>
      </c>
      <c r="C18" s="180">
        <f>C9/C11-1</f>
        <v>1.4368585190238869E-2</v>
      </c>
      <c r="D18" s="180">
        <f>D9/D11-1</f>
        <v>-1.0806746094332076E-2</v>
      </c>
      <c r="E18" s="180"/>
      <c r="F18" s="180">
        <f>F9/F11-1</f>
        <v>-6.8424161582033127E-2</v>
      </c>
      <c r="G18" s="180">
        <f>G9/G11-1</f>
        <v>-0.12152922570041547</v>
      </c>
      <c r="I18" s="164"/>
      <c r="AA18" s="166"/>
    </row>
    <row r="19" spans="1:45" ht="14.5" thickTop="1" x14ac:dyDescent="0.35">
      <c r="B19" s="181" t="s">
        <v>88</v>
      </c>
      <c r="I19" s="164"/>
      <c r="AA19" s="166"/>
    </row>
    <row r="20" spans="1:45" x14ac:dyDescent="0.35">
      <c r="A20" s="358"/>
      <c r="B20" s="523"/>
      <c r="C20" s="524"/>
      <c r="D20" s="524"/>
      <c r="E20" s="524"/>
      <c r="F20" s="524"/>
      <c r="G20" s="524"/>
      <c r="I20" s="164"/>
      <c r="AA20" s="166"/>
    </row>
    <row r="21" spans="1:45" x14ac:dyDescent="0.35">
      <c r="A21" s="358"/>
      <c r="B21" s="523"/>
      <c r="C21" s="524"/>
      <c r="D21" s="524"/>
      <c r="E21" s="524"/>
      <c r="F21" s="524"/>
      <c r="G21" s="524"/>
      <c r="I21" s="164"/>
      <c r="AA21" s="166"/>
    </row>
    <row r="22" spans="1:45" ht="15.5" x14ac:dyDescent="0.35">
      <c r="B22" s="33"/>
      <c r="E22" s="182"/>
      <c r="I22" s="164"/>
      <c r="AA22" s="166"/>
    </row>
    <row r="23" spans="1:45" ht="15" customHeight="1" thickBot="1" x14ac:dyDescent="0.4">
      <c r="H23" s="33"/>
      <c r="I23" s="183"/>
      <c r="J23" s="184"/>
      <c r="K23" s="184"/>
      <c r="L23" s="184"/>
      <c r="M23" s="184"/>
      <c r="N23" s="184"/>
      <c r="O23" s="184"/>
      <c r="P23" s="184"/>
      <c r="Q23" s="184"/>
      <c r="R23" s="184"/>
      <c r="S23" s="184"/>
      <c r="T23" s="184"/>
      <c r="U23" s="184"/>
      <c r="V23" s="184"/>
      <c r="W23" s="184"/>
      <c r="X23" s="184"/>
      <c r="Y23" s="184"/>
      <c r="Z23" s="184"/>
      <c r="AA23" s="185"/>
    </row>
    <row r="24" spans="1:45" s="186" customFormat="1" ht="15.5" x14ac:dyDescent="0.35">
      <c r="C24" s="31"/>
      <c r="D24" s="31"/>
      <c r="E24" s="31"/>
      <c r="F24" s="31"/>
      <c r="G24" s="31"/>
      <c r="H24" s="33"/>
      <c r="I24" s="30"/>
      <c r="J24" s="30"/>
      <c r="K24" s="30"/>
      <c r="L24" s="30"/>
      <c r="M24" s="30"/>
      <c r="N24" s="30"/>
      <c r="O24" s="30"/>
      <c r="P24" s="30"/>
      <c r="Q24" s="30"/>
      <c r="R24" s="30"/>
      <c r="S24" s="30"/>
      <c r="T24" s="30"/>
      <c r="U24" s="30"/>
      <c r="V24" s="30"/>
      <c r="W24" s="30"/>
      <c r="X24" s="30"/>
      <c r="Y24" s="30"/>
      <c r="Z24" s="30"/>
      <c r="AA24" s="30"/>
    </row>
    <row r="25" spans="1:45" s="186" customFormat="1" ht="15.5" hidden="1" x14ac:dyDescent="0.35">
      <c r="H25" s="33"/>
      <c r="I25" s="30"/>
      <c r="J25" s="30" t="str">
        <f>$J$29</f>
        <v>Residential</v>
      </c>
      <c r="K25" s="30" t="str">
        <f>$J$29</f>
        <v>Residential</v>
      </c>
      <c r="L25" s="30" t="str">
        <f>$J$29</f>
        <v>Residential</v>
      </c>
      <c r="M25" s="30"/>
      <c r="N25" s="30" t="str">
        <f>$J$29</f>
        <v>Residential</v>
      </c>
      <c r="O25" s="30" t="str">
        <f>$J$29</f>
        <v>Residential</v>
      </c>
      <c r="P25" s="30" t="str">
        <f>$J$29</f>
        <v>Residential</v>
      </c>
      <c r="Q25" s="30" t="str">
        <f>$J$29</f>
        <v>Residential</v>
      </c>
      <c r="R25" s="30"/>
      <c r="S25" s="30" t="str">
        <f>$S$29</f>
        <v>Residential</v>
      </c>
      <c r="T25" s="30" t="str">
        <f>$S$29</f>
        <v>Residential</v>
      </c>
      <c r="U25" s="30" t="str">
        <f>$S$29</f>
        <v>Residential</v>
      </c>
      <c r="V25" s="30"/>
      <c r="W25" s="30" t="str">
        <f>$S$29</f>
        <v>Residential</v>
      </c>
      <c r="X25" s="30" t="str">
        <f>$S$29</f>
        <v>Residential</v>
      </c>
      <c r="Y25" s="30" t="str">
        <f>$S$29</f>
        <v>Residential</v>
      </c>
      <c r="Z25" s="30" t="str">
        <f>$S$29</f>
        <v>Residential</v>
      </c>
      <c r="AA25" s="30"/>
    </row>
    <row r="26" spans="1:45" s="186" customFormat="1" ht="15.5" hidden="1" x14ac:dyDescent="0.35">
      <c r="H26" s="33"/>
      <c r="I26" s="30"/>
      <c r="J26" s="30" t="str">
        <f>$J$30</f>
        <v>Flat rate</v>
      </c>
      <c r="K26" s="30" t="str">
        <f>$J$30</f>
        <v>Flat rate</v>
      </c>
      <c r="L26" s="30" t="str">
        <f>$J$30</f>
        <v>Flat rate</v>
      </c>
      <c r="M26" s="30"/>
      <c r="N26" s="30" t="str">
        <f>$J$30</f>
        <v>Flat rate</v>
      </c>
      <c r="O26" s="30" t="str">
        <f>$J$30</f>
        <v>Flat rate</v>
      </c>
      <c r="P26" s="30" t="str">
        <f>$J$30</f>
        <v>Flat rate</v>
      </c>
      <c r="Q26" s="30" t="str">
        <f>$J$30</f>
        <v>Flat rate</v>
      </c>
      <c r="R26" s="30"/>
      <c r="S26" s="30" t="str">
        <f>$S$30</f>
        <v>time of use</v>
      </c>
      <c r="T26" s="30" t="str">
        <f>$S$30</f>
        <v>time of use</v>
      </c>
      <c r="U26" s="30" t="str">
        <f>$S$30</f>
        <v>time of use</v>
      </c>
      <c r="V26" s="30"/>
      <c r="W26" s="30" t="str">
        <f>$S$30</f>
        <v>time of use</v>
      </c>
      <c r="X26" s="30" t="str">
        <f>$S$30</f>
        <v>time of use</v>
      </c>
      <c r="Y26" s="30" t="str">
        <f>$S$30</f>
        <v>time of use</v>
      </c>
      <c r="Z26" s="30" t="str">
        <f>$S$30</f>
        <v>time of use</v>
      </c>
      <c r="AA26" s="30"/>
    </row>
    <row r="27" spans="1:45" s="186" customFormat="1" ht="15.5" hidden="1" x14ac:dyDescent="0.35">
      <c r="H27" s="33"/>
      <c r="I27" s="30"/>
      <c r="J27" s="30"/>
      <c r="K27" s="30" t="str">
        <f>$K$31</f>
        <v>2025-26</v>
      </c>
      <c r="L27" s="30" t="str">
        <f>$K$31</f>
        <v>2025-26</v>
      </c>
      <c r="M27" s="30"/>
      <c r="N27" s="30" t="str">
        <f>$N$31</f>
        <v>2026-27</v>
      </c>
      <c r="O27" s="30" t="str">
        <f>$N$31</f>
        <v>2026-27</v>
      </c>
      <c r="P27" s="30" t="str">
        <f>$N$31</f>
        <v>2026-27</v>
      </c>
      <c r="Q27" s="30" t="str">
        <f>$N$31</f>
        <v>2026-27</v>
      </c>
      <c r="R27" s="30"/>
      <c r="S27" s="30"/>
      <c r="T27" s="30" t="str">
        <f>$T$31</f>
        <v>2025-26</v>
      </c>
      <c r="U27" s="30" t="str">
        <f>$T$31</f>
        <v>2025-26</v>
      </c>
      <c r="V27" s="30"/>
      <c r="W27" s="30" t="str">
        <f>$W$31</f>
        <v>2026-27</v>
      </c>
      <c r="X27" s="30" t="str">
        <f>$W$31</f>
        <v>2026-27</v>
      </c>
      <c r="Y27" s="30" t="str">
        <f>$W$31</f>
        <v>2026-27</v>
      </c>
      <c r="Z27" s="30" t="str">
        <f>$W$31</f>
        <v>2026-27</v>
      </c>
      <c r="AA27" s="30"/>
    </row>
    <row r="28" spans="1:45" s="186" customFormat="1" ht="15.5" x14ac:dyDescent="0.35">
      <c r="H28" s="33" t="s">
        <v>43</v>
      </c>
      <c r="I28" s="29" t="s">
        <v>125</v>
      </c>
      <c r="J28" s="30"/>
      <c r="K28" s="30"/>
      <c r="L28" s="30"/>
      <c r="M28" s="30"/>
      <c r="N28" s="30"/>
      <c r="O28" s="30"/>
      <c r="P28" s="30"/>
      <c r="Q28" s="30"/>
      <c r="R28" s="30"/>
      <c r="S28" s="30"/>
      <c r="T28" s="30"/>
      <c r="U28" s="30"/>
      <c r="V28" s="30"/>
      <c r="W28" s="30"/>
      <c r="X28" s="30"/>
      <c r="Y28" s="30"/>
      <c r="Z28" s="30"/>
      <c r="AA28" s="30"/>
    </row>
    <row r="29" spans="1:45" s="186" customFormat="1" x14ac:dyDescent="0.35">
      <c r="H29" s="909" t="s">
        <v>32</v>
      </c>
      <c r="I29" s="241"/>
      <c r="J29" s="912" t="s">
        <v>6</v>
      </c>
      <c r="K29" s="912"/>
      <c r="L29" s="912"/>
      <c r="M29" s="912"/>
      <c r="N29" s="912"/>
      <c r="O29" s="912"/>
      <c r="P29" s="912"/>
      <c r="Q29" s="912"/>
      <c r="R29" s="192"/>
      <c r="S29" s="912" t="s">
        <v>6</v>
      </c>
      <c r="T29" s="912"/>
      <c r="U29" s="912"/>
      <c r="V29" s="912"/>
      <c r="W29" s="912"/>
      <c r="X29" s="912"/>
      <c r="Y29" s="912"/>
      <c r="Z29" s="912"/>
      <c r="AA29" s="192"/>
      <c r="AB29" s="912" t="s">
        <v>76</v>
      </c>
      <c r="AC29" s="912"/>
      <c r="AD29" s="912"/>
      <c r="AE29" s="912"/>
      <c r="AF29" s="912"/>
      <c r="AG29" s="912"/>
      <c r="AH29" s="912"/>
      <c r="AI29" s="912"/>
      <c r="AJ29" s="192"/>
      <c r="AK29" s="912" t="s">
        <v>76</v>
      </c>
      <c r="AL29" s="912"/>
      <c r="AM29" s="912"/>
      <c r="AN29" s="912"/>
      <c r="AO29" s="912"/>
      <c r="AP29" s="912"/>
      <c r="AQ29" s="912"/>
      <c r="AR29" s="912"/>
      <c r="AS29" s="192"/>
    </row>
    <row r="30" spans="1:45" ht="14.5" thickBot="1" x14ac:dyDescent="0.4">
      <c r="H30" s="909"/>
      <c r="I30" s="241"/>
      <c r="J30" s="913" t="s">
        <v>19</v>
      </c>
      <c r="K30" s="913"/>
      <c r="L30" s="913"/>
      <c r="M30" s="913"/>
      <c r="N30" s="913"/>
      <c r="O30" s="913"/>
      <c r="P30" s="913"/>
      <c r="Q30" s="913"/>
      <c r="R30" s="192"/>
      <c r="S30" s="913" t="s">
        <v>272</v>
      </c>
      <c r="T30" s="913"/>
      <c r="U30" s="913"/>
      <c r="V30" s="913"/>
      <c r="W30" s="913"/>
      <c r="X30" s="913"/>
      <c r="Y30" s="913"/>
      <c r="Z30" s="913"/>
      <c r="AA30" s="192"/>
      <c r="AB30" s="913" t="s">
        <v>19</v>
      </c>
      <c r="AC30" s="913"/>
      <c r="AD30" s="913"/>
      <c r="AE30" s="913"/>
      <c r="AF30" s="913"/>
      <c r="AG30" s="913"/>
      <c r="AH30" s="913"/>
      <c r="AI30" s="913"/>
      <c r="AJ30" s="192"/>
      <c r="AK30" s="913" t="s">
        <v>272</v>
      </c>
      <c r="AL30" s="913"/>
      <c r="AM30" s="913"/>
      <c r="AN30" s="913"/>
      <c r="AO30" s="913"/>
      <c r="AP30" s="913"/>
      <c r="AQ30" s="913"/>
      <c r="AR30" s="913"/>
      <c r="AS30" s="192"/>
    </row>
    <row r="31" spans="1:45" ht="15" customHeight="1" thickTop="1" x14ac:dyDescent="0.35">
      <c r="H31" s="909"/>
      <c r="I31" s="191"/>
      <c r="J31" s="192" t="s">
        <v>67</v>
      </c>
      <c r="K31" s="904" t="str">
        <f>PY</f>
        <v>2025-26</v>
      </c>
      <c r="L31" s="904"/>
      <c r="M31" s="192"/>
      <c r="N31" s="904" t="str">
        <f>FY</f>
        <v>2026-27</v>
      </c>
      <c r="O31" s="904"/>
      <c r="P31" s="904"/>
      <c r="Q31" s="904"/>
      <c r="R31" s="192"/>
      <c r="S31" s="192" t="s">
        <v>67</v>
      </c>
      <c r="T31" s="904" t="str">
        <f>PY</f>
        <v>2025-26</v>
      </c>
      <c r="U31" s="904"/>
      <c r="V31" s="192"/>
      <c r="W31" s="904" t="str">
        <f>FY</f>
        <v>2026-27</v>
      </c>
      <c r="X31" s="904"/>
      <c r="Y31" s="904"/>
      <c r="Z31" s="904"/>
      <c r="AA31" s="192"/>
      <c r="AB31" s="192" t="s">
        <v>67</v>
      </c>
      <c r="AC31" s="904" t="str">
        <f>PY</f>
        <v>2025-26</v>
      </c>
      <c r="AD31" s="904"/>
      <c r="AE31" s="192"/>
      <c r="AF31" s="904" t="str">
        <f>FY</f>
        <v>2026-27</v>
      </c>
      <c r="AG31" s="904"/>
      <c r="AH31" s="904"/>
      <c r="AI31" s="904"/>
      <c r="AJ31" s="192"/>
      <c r="AK31" s="192" t="s">
        <v>67</v>
      </c>
      <c r="AL31" s="904" t="str">
        <f>PY</f>
        <v>2025-26</v>
      </c>
      <c r="AM31" s="904"/>
      <c r="AN31" s="192"/>
      <c r="AO31" s="904" t="str">
        <f>FY</f>
        <v>2026-27</v>
      </c>
      <c r="AP31" s="904"/>
      <c r="AQ31" s="904"/>
      <c r="AR31" s="904"/>
      <c r="AS31" s="192"/>
    </row>
    <row r="32" spans="1:45" ht="39" x14ac:dyDescent="0.35">
      <c r="H32" s="909"/>
      <c r="I32" s="191"/>
      <c r="J32" s="193"/>
      <c r="K32" s="194" t="s">
        <v>21</v>
      </c>
      <c r="L32" s="194" t="s">
        <v>23</v>
      </c>
      <c r="M32" s="194"/>
      <c r="N32" s="194" t="s">
        <v>20</v>
      </c>
      <c r="O32" s="195" t="s">
        <v>151</v>
      </c>
      <c r="P32" s="194" t="s">
        <v>21</v>
      </c>
      <c r="Q32" s="194" t="s">
        <v>23</v>
      </c>
      <c r="R32" s="194"/>
      <c r="S32" s="194"/>
      <c r="T32" s="194" t="s">
        <v>21</v>
      </c>
      <c r="U32" s="194" t="s">
        <v>23</v>
      </c>
      <c r="V32" s="194"/>
      <c r="W32" s="194" t="s">
        <v>20</v>
      </c>
      <c r="X32" s="195" t="s">
        <v>50</v>
      </c>
      <c r="Y32" s="194" t="s">
        <v>21</v>
      </c>
      <c r="Z32" s="194" t="s">
        <v>23</v>
      </c>
      <c r="AA32" s="194"/>
      <c r="AB32" s="194"/>
      <c r="AC32" s="194" t="s">
        <v>21</v>
      </c>
      <c r="AD32" s="194" t="s">
        <v>23</v>
      </c>
      <c r="AE32" s="194"/>
      <c r="AF32" s="194" t="s">
        <v>20</v>
      </c>
      <c r="AG32" s="195" t="s">
        <v>50</v>
      </c>
      <c r="AH32" s="194" t="s">
        <v>21</v>
      </c>
      <c r="AI32" s="194" t="s">
        <v>23</v>
      </c>
      <c r="AJ32" s="194"/>
      <c r="AK32" s="194"/>
      <c r="AL32" s="194" t="s">
        <v>21</v>
      </c>
      <c r="AM32" s="194" t="s">
        <v>23</v>
      </c>
      <c r="AN32" s="194"/>
      <c r="AO32" s="194" t="s">
        <v>20</v>
      </c>
      <c r="AP32" s="195" t="s">
        <v>50</v>
      </c>
      <c r="AQ32" s="194" t="s">
        <v>21</v>
      </c>
      <c r="AR32" s="194" t="s">
        <v>23</v>
      </c>
      <c r="AS32" s="194"/>
    </row>
    <row r="33" spans="2:54" ht="15" customHeight="1" x14ac:dyDescent="0.35">
      <c r="H33" s="909"/>
      <c r="I33" s="191"/>
      <c r="J33" s="194" t="s">
        <v>68</v>
      </c>
      <c r="K33" s="194" t="s">
        <v>45</v>
      </c>
      <c r="L33" s="194" t="s">
        <v>27</v>
      </c>
      <c r="M33" s="194"/>
      <c r="N33" s="194" t="s">
        <v>27</v>
      </c>
      <c r="O33" s="194" t="s">
        <v>27</v>
      </c>
      <c r="P33" s="194" t="s">
        <v>45</v>
      </c>
      <c r="Q33" s="194" t="s">
        <v>27</v>
      </c>
      <c r="R33" s="194"/>
      <c r="S33" s="194"/>
      <c r="T33" s="194" t="s">
        <v>45</v>
      </c>
      <c r="U33" s="194" t="s">
        <v>27</v>
      </c>
      <c r="V33" s="194"/>
      <c r="W33" s="194" t="s">
        <v>27</v>
      </c>
      <c r="X33" s="194" t="s">
        <v>27</v>
      </c>
      <c r="Y33" s="194" t="s">
        <v>45</v>
      </c>
      <c r="Z33" s="194" t="s">
        <v>27</v>
      </c>
      <c r="AA33" s="194"/>
      <c r="AB33" s="194"/>
      <c r="AC33" s="194" t="s">
        <v>45</v>
      </c>
      <c r="AD33" s="194" t="s">
        <v>27</v>
      </c>
      <c r="AE33" s="194"/>
      <c r="AF33" s="194" t="s">
        <v>27</v>
      </c>
      <c r="AG33" s="194" t="s">
        <v>27</v>
      </c>
      <c r="AH33" s="194" t="s">
        <v>45</v>
      </c>
      <c r="AI33" s="194" t="s">
        <v>27</v>
      </c>
      <c r="AJ33" s="194"/>
      <c r="AK33" s="194"/>
      <c r="AL33" s="194" t="s">
        <v>45</v>
      </c>
      <c r="AM33" s="194" t="s">
        <v>27</v>
      </c>
      <c r="AN33" s="194"/>
      <c r="AO33" s="194" t="s">
        <v>27</v>
      </c>
      <c r="AP33" s="194" t="s">
        <v>27</v>
      </c>
      <c r="AQ33" s="194" t="s">
        <v>45</v>
      </c>
      <c r="AR33" s="194" t="s">
        <v>27</v>
      </c>
      <c r="AS33" s="194"/>
    </row>
    <row r="34" spans="2:54" ht="15" customHeight="1" x14ac:dyDescent="0.35">
      <c r="H34" s="196" t="str">
        <f>"DMO "&amp;PY&amp;" price"</f>
        <v>DMO 2025-26 price</v>
      </c>
      <c r="I34" s="196"/>
      <c r="J34" s="672">
        <f>ROUND(SUM(SAPN_RESwoCL_PY_cost),0)</f>
        <v>2301</v>
      </c>
      <c r="K34" s="198"/>
      <c r="L34" s="198"/>
      <c r="M34" s="198"/>
      <c r="N34" s="198"/>
      <c r="O34" s="198"/>
      <c r="P34" s="198"/>
      <c r="Q34" s="198"/>
      <c r="R34" s="198"/>
      <c r="S34" s="204">
        <f>ROUND(SUM(SAPN_REStou_PY_cost),0)</f>
        <v>0</v>
      </c>
      <c r="T34" s="197"/>
      <c r="U34" s="198"/>
      <c r="V34" s="198"/>
      <c r="W34" s="198"/>
      <c r="X34" s="198"/>
      <c r="Y34" s="200"/>
      <c r="Z34" s="198"/>
      <c r="AA34" s="200"/>
      <c r="AB34" s="204">
        <f>ROUND(SUM(SAPN_SBwoCL_PY_cost),0)</f>
        <v>5541</v>
      </c>
      <c r="AC34" s="197"/>
      <c r="AD34" s="198"/>
      <c r="AE34" s="198"/>
      <c r="AF34" s="198"/>
      <c r="AG34" s="198"/>
      <c r="AH34" s="198"/>
      <c r="AI34" s="198"/>
      <c r="AJ34" s="200"/>
      <c r="AK34" s="668">
        <f>ROUND(SUM(AL35:AL39),0)</f>
        <v>0</v>
      </c>
      <c r="AL34" s="663"/>
      <c r="AM34" s="664"/>
      <c r="AN34" s="199"/>
      <c r="AO34" s="199"/>
      <c r="AP34" s="198"/>
      <c r="AQ34" s="198"/>
      <c r="AR34" s="198"/>
      <c r="AS34" s="200"/>
    </row>
    <row r="35" spans="2:54" ht="15" customHeight="1" x14ac:dyDescent="0.35">
      <c r="H35" s="201" t="s">
        <v>63</v>
      </c>
      <c r="I35" s="201"/>
      <c r="J35" s="200"/>
      <c r="K35" s="197" cm="1">
        <f t="array" ref="K35">_xlfn.XLOOKUP(1,($B$6=Wholesale_DistributionZone)*(J$29=Wholesale_CustomerType)*(J$30=Wholesale_TariffL2)*("Total inc GST"=Wholesale_Description),Wholesale_PY_CostTotal)</f>
        <v>858.79927885285167</v>
      </c>
      <c r="L35" s="198">
        <f>K35/J$34</f>
        <v>0.37322871745017455</v>
      </c>
      <c r="M35" s="198"/>
      <c r="N35" s="202">
        <f>IF(OR(K35=0,P35=""),"",P35/K35-1)</f>
        <v>-1.8624618055812947E-2</v>
      </c>
      <c r="O35" s="202">
        <f>(P35-K35)/J34</f>
        <v>-6.9512423099704485E-3</v>
      </c>
      <c r="P35" s="197" cm="1">
        <f t="array" ref="P35">_xlfn.XLOOKUP(1,($B$6=Wholesale_DistributionZone)*(J$29=Wholesale_CustomerType)*(J$30=Wholesale_TariffL2)*("Total inc GST"=Wholesale_Description),Wholesale_FY_CostTotal)</f>
        <v>842.80447029760967</v>
      </c>
      <c r="Q35" s="198">
        <f>P35/J$40</f>
        <v>0.36109874477189791</v>
      </c>
      <c r="R35" s="270"/>
      <c r="S35" s="198"/>
      <c r="T35" s="663" cm="1">
        <f t="array" ref="T35">_xlfn.XLOOKUP(1,($B$6=Network_DistributionZone)*(S$29=Network_CustomerType)*(S$30=Network_TariffType)*("Total inc GST"=Network_Description),Network_PY_CostTotal)</f>
        <v>0</v>
      </c>
      <c r="U35" s="664" t="str">
        <f>IFERROR(T35/S$34,"")</f>
        <v/>
      </c>
      <c r="V35" s="287"/>
      <c r="W35" s="288" t="str">
        <f>IF(OR(T35=0,Y35=""),"",Y35/T35-1)</f>
        <v/>
      </c>
      <c r="X35" s="202" t="str">
        <f>IFERROR((Y35-T35)/S34,"")</f>
        <v/>
      </c>
      <c r="Y35" s="197" cm="1">
        <f t="array" ref="Y35">_xlfn.XLOOKUP(1,($B$6=Wholesale_DistributionZone)*(S$29=Wholesale_CustomerType)*(S$30=Wholesale_TariffType)*("Total inc GST"=Wholesale_Description),Wholesale_FY_CostTotal)</f>
        <v>842.80447029760956</v>
      </c>
      <c r="Z35" s="198">
        <f>Y35/S$40</f>
        <v>0.3703007338741694</v>
      </c>
      <c r="AA35" s="200"/>
      <c r="AB35" s="200"/>
      <c r="AC35" s="197" cm="1">
        <f t="array" ref="AC35">_xlfn.XLOOKUP(1,($B$6=Wholesale_DistributionZone)*(AB$29=Wholesale_CustomerType)*(AB$30=Wholesale_TariffL2)*("Total inc GST"=Wholesale_Description),Wholesale_PY_CostTotal)</f>
        <v>2124.1700443102077</v>
      </c>
      <c r="AD35" s="198">
        <f>AC35/AB$34</f>
        <v>0.38335499807078283</v>
      </c>
      <c r="AE35" s="198"/>
      <c r="AF35" s="202">
        <f>IF(OR(AC35=0,AH35=""),"",AH35/AC35-1)</f>
        <v>-1.8273385725476876E-2</v>
      </c>
      <c r="AG35" s="202">
        <f>(AH35-AC35)/AB34</f>
        <v>-7.0051937495368673E-3</v>
      </c>
      <c r="AH35" s="197" cm="1">
        <f t="array" ref="AH35">_xlfn.XLOOKUP(1,($B$6=Wholesale_DistributionZone)*(AB$29=Wholesale_CustomerType)*(AK$30=Wholesale_TariffL2)*("Total inc GST"=Wholesale_Description),Wholesale_FY_CostTotal)</f>
        <v>2085.3542657440239</v>
      </c>
      <c r="AI35" s="198">
        <f>AH35/AB$40</f>
        <v>0.40398184148470051</v>
      </c>
      <c r="AJ35" s="200"/>
      <c r="AK35" s="665"/>
      <c r="AL35" s="663" cm="1">
        <f t="array" ref="AL35">_xlfn.XLOOKUP(1,($B$6=Wholesale_DistributionZone)*(AK$29=Wholesale_CustomerType)*(AK$30=Wholesale_TariffType)*("Total inc GST"=Wholesale_Description),Wholesale_PY_CostTotal)</f>
        <v>0</v>
      </c>
      <c r="AM35" s="664" t="str">
        <f>IFERROR(AL35/AK$34,"")</f>
        <v/>
      </c>
      <c r="AN35" s="199"/>
      <c r="AO35" s="203" t="str">
        <f>IF(OR(AL35=0,AQ35=""),"",AQ35/AL35-1)</f>
        <v/>
      </c>
      <c r="AP35" s="202" t="str">
        <f>IFERROR((AQ35-AL35)/AK34,"")</f>
        <v/>
      </c>
      <c r="AQ35" s="197" cm="1">
        <f t="array" ref="AQ35">_xlfn.XLOOKUP(1,($B$6=Wholesale_DistributionZone)*(AK$29=Wholesale_CustomerType)*(AK$30=Wholesale_TariffType)*("Total inc GST"=Wholesale_Description),Wholesale_FY_CostTotal)</f>
        <v>2085.3542657440239</v>
      </c>
      <c r="AR35" s="198">
        <f>AQ35/AK$40</f>
        <v>0.42838008745768774</v>
      </c>
      <c r="AS35" s="200"/>
    </row>
    <row r="36" spans="2:54" ht="15" customHeight="1" x14ac:dyDescent="0.35">
      <c r="H36" s="201" t="s">
        <v>62</v>
      </c>
      <c r="I36" s="201"/>
      <c r="J36" s="200"/>
      <c r="K36" s="197" cm="1">
        <f t="array" ref="K36">_xlfn.XLOOKUP(1,($B$6=Network_DistributionZone)*(J$29=Network_CustomerType)*(J$30=Network_TariffL2)*("Total inc GST"=Network_Description),Network_PY_CostTotal)</f>
        <v>896.99139399817057</v>
      </c>
      <c r="L36" s="198">
        <f>K36/J$34</f>
        <v>0.38982676836078684</v>
      </c>
      <c r="M36" s="198"/>
      <c r="N36" s="202">
        <f>IF(OR(K36=0,P36=""),"",P36/K36-1)</f>
        <v>8.6233798388255289E-2</v>
      </c>
      <c r="O36" s="202">
        <f>(P36-K36)/J34</f>
        <v>3.3616242949169151E-2</v>
      </c>
      <c r="P36" s="197" cm="1">
        <f t="array" ref="P36">_xlfn.XLOOKUP(1,($B$6=Network_DistributionZone)*(J$29=Network_CustomerType)*(J$30=Network_TariffL2)*("Blended"=Network_TariffType)*("Total inc GST"=Network_Description),Network_FY_CostTotal)</f>
        <v>974.34236902420878</v>
      </c>
      <c r="Q36" s="198">
        <f>P36/J$40</f>
        <v>0.41745602785955815</v>
      </c>
      <c r="R36" s="270"/>
      <c r="S36" s="198"/>
      <c r="T36" s="663" cm="1">
        <f t="array" ref="T36">_xlfn.XLOOKUP(1,($B$6=Wholesale_DistributionZone)*(S$29=Wholesale_CustomerType)*(S$30=Wholesale_TariffType)*("Total inc GST"=Wholesale_Description),Wholesale_PY_CostTotal)</f>
        <v>0</v>
      </c>
      <c r="U36" s="664" t="str">
        <f t="shared" ref="U36:U39" si="1">IFERROR(T36/S$34,"")</f>
        <v/>
      </c>
      <c r="V36" s="287"/>
      <c r="W36" s="288" t="str">
        <f>IF(OR(T36=0,Y36=""),"",Y36/T36-1)</f>
        <v/>
      </c>
      <c r="X36" s="202" t="str">
        <f t="shared" ref="X36:X39" si="2">IFERROR((Y36-T36)/S35,"")</f>
        <v/>
      </c>
      <c r="Y36" s="197" cm="1">
        <f t="array" ref="Y36">_xlfn.XLOOKUP(1,($B$6=Network_DistributionZone)*(S$29=Network_CustomerType)*(S$30=Network_TariffType)*("Total inc GST"=Network_Description),Network_FY_CostTotal)</f>
        <v>919.90042697875083</v>
      </c>
      <c r="Z36" s="198">
        <f>Y36/S$40</f>
        <v>0.4041741770556902</v>
      </c>
      <c r="AA36" s="200"/>
      <c r="AB36" s="200"/>
      <c r="AC36" s="197" cm="1">
        <f t="array" ref="AC36">_xlfn.XLOOKUP(1,($B$6=Network_DistributionZone)*(AB$29=Network_CustomerType)*(AB$30=Network_TariffL2)*("Total inc GST"=Network_Description),Network_PY_CostTotal)</f>
        <v>2281.9764034447339</v>
      </c>
      <c r="AD36" s="198">
        <f>AC36/AB$34</f>
        <v>0.41183475969044109</v>
      </c>
      <c r="AE36" s="198"/>
      <c r="AF36" s="202">
        <f>IF(OR(AC36=0,AH36=""),"",AH36/AC36-1)</f>
        <v>1.0100289888888891E-2</v>
      </c>
      <c r="AG36" s="202">
        <f>(AH36-AC36)/AB34</f>
        <v>4.1596504591943665E-3</v>
      </c>
      <c r="AH36" s="197" cm="1">
        <f t="array" ref="AH36">_xlfn.XLOOKUP(1,($B$6=Network_DistributionZone)*(AB$29=Network_CustomerType)*(AB$30=Network_TariffL2)*("Blended"=Network_TariffType)*("Total inc GST"=Network_Description),Network_FY_CostTotal)</f>
        <v>2305.0250266391299</v>
      </c>
      <c r="AI36" s="198">
        <f>AH36/AB$40</f>
        <v>0.44653720004632508</v>
      </c>
      <c r="AJ36" s="200"/>
      <c r="AK36" s="665"/>
      <c r="AL36" s="663" cm="1">
        <f t="array" ref="AL36">_xlfn.XLOOKUP(1,($B$6=Wholesale_DistributionZone)*(AK$29=Wholesale_CustomerType)*(AK$30=Wholesale_TariffType)*("Total inc GST"=Wholesale_Description),Wholesale_PY_CostTotal)</f>
        <v>0</v>
      </c>
      <c r="AM36" s="664" t="str">
        <f t="shared" ref="AM36:AM39" si="3">IFERROR(AL36/AK$34,"")</f>
        <v/>
      </c>
      <c r="AN36" s="199"/>
      <c r="AO36" s="203" t="str">
        <f>IF(OR(AL36=0,AQ36=""),"",AQ36/AL36-1)</f>
        <v/>
      </c>
      <c r="AP36" s="202" t="str">
        <f t="shared" ref="AP36:AP39" si="4">IFERROR((AQ36-AL36)/AK35,"")</f>
        <v/>
      </c>
      <c r="AQ36" s="197" cm="1">
        <f t="array" ref="AQ36">_xlfn.XLOOKUP(1,($B$6=Network_DistributionZone)*(AK$29=Network_CustomerType)*(AK$30=Network_TariffType)*("Total inc GST"=Network_Description),Network_FY_CostTotal)</f>
        <v>2028.4250922011354</v>
      </c>
      <c r="AR36" s="198">
        <f>AQ36/AK$40</f>
        <v>0.41668551606432525</v>
      </c>
      <c r="AS36" s="200"/>
    </row>
    <row r="37" spans="2:54" ht="15" customHeight="1" x14ac:dyDescent="0.35">
      <c r="H37" s="201" t="s">
        <v>64</v>
      </c>
      <c r="I37" s="201"/>
      <c r="J37" s="200"/>
      <c r="K37" s="197" cm="1">
        <f t="array" ref="K37">_xlfn.XLOOKUP(1,($B$6=Enviro_DistributionZone)*(J$29=Enviro_CustomerType)*(J$30=Enviro_TariffL2)*("Total inc GST"=Enviro_Description),Enviro_PY_CostTotal)</f>
        <v>72.246775704569899</v>
      </c>
      <c r="L37" s="198">
        <f>K37/J$34</f>
        <v>3.1397990310547547E-2</v>
      </c>
      <c r="M37" s="198"/>
      <c r="N37" s="202">
        <f>IF(OR(K37=0,P37=""),"",P37/K37-1)</f>
        <v>-0.35330454350452134</v>
      </c>
      <c r="O37" s="202">
        <f>(P37-K37)/J34</f>
        <v>-1.1093052633627386E-2</v>
      </c>
      <c r="P37" s="197" cm="1">
        <f t="array" ref="P37">_xlfn.XLOOKUP(1,($B$6=Enviro_DistributionZone)*(J$29=Enviro_CustomerType)*(J$30=Enviro_TariffL2)*("Total inc GST"=Enviro_Description),Enviro_FY_CostTotal)</f>
        <v>46.721661594593286</v>
      </c>
      <c r="Q37" s="198">
        <f>P37/J$40</f>
        <v>2.0017849869148795E-2</v>
      </c>
      <c r="R37" s="270"/>
      <c r="S37" s="198"/>
      <c r="T37" s="663" cm="1">
        <f t="array" ref="T37">_xlfn.XLOOKUP(1,($B$6=Enviro_DistributionZone)*(S$29=Enviro_CustomerType)*(S$30=Enviro_TariffType)*("Total inc GST"=Enviro_Description),Enviro_PY_CostTotal)</f>
        <v>0</v>
      </c>
      <c r="U37" s="664" t="str">
        <f t="shared" si="1"/>
        <v/>
      </c>
      <c r="V37" s="287"/>
      <c r="W37" s="288" t="str">
        <f>IF(OR(T37=0,Y37=""),"",Y37/T37-1)</f>
        <v/>
      </c>
      <c r="X37" s="202" t="str">
        <f t="shared" si="2"/>
        <v/>
      </c>
      <c r="Y37" s="197" cm="1">
        <f t="array" ref="Y37">_xlfn.XLOOKUP(1,($B$6=Enviro_DistributionZone)*(S$29=Enviro_CustomerType)*(S$30=Enviro_TariffType)*("Total inc GST"=Enviro_Description),Enviro_FY_CostTotal)</f>
        <v>46.721661594593286</v>
      </c>
      <c r="Z37" s="198">
        <f>Y37/S$40</f>
        <v>2.052797082363501E-2</v>
      </c>
      <c r="AA37" s="200"/>
      <c r="AB37" s="200"/>
      <c r="AC37" s="197" cm="1">
        <f t="array" ref="AC37">_xlfn.XLOOKUP(1,($B$6=Enviro_DistributionZone)*(AB$29=Enviro_CustomerType)*(AB$30=Enviro_TariffL2)*("Total inc GST"=Enviro_Description),Enviro_PY_CostTotal)</f>
        <v>180.61693926142473</v>
      </c>
      <c r="AD37" s="198">
        <f>AC37/AB$34</f>
        <v>3.2596451770695672E-2</v>
      </c>
      <c r="AE37" s="198"/>
      <c r="AF37" s="202">
        <f>IF(OR(AC37=0,AH37=""),"",AH37/AC37-1)</f>
        <v>-0.35330454350452134</v>
      </c>
      <c r="AG37" s="202">
        <f>(AH37-AC37)/AB34</f>
        <v>-1.1516474512712781E-2</v>
      </c>
      <c r="AH37" s="197" cm="1">
        <f t="array" ref="AH37">_xlfn.XLOOKUP(1,($B$6=Enviro_DistributionZone)*(AB$29=Enviro_CustomerType)*(AB$30=Enviro_TariffL2)*("Total inc GST"=Enviro_Description),Enviro_FY_CostTotal)</f>
        <v>116.80415398648321</v>
      </c>
      <c r="AI37" s="198">
        <f>AH37/AB$40</f>
        <v>2.2627693527021157E-2</v>
      </c>
      <c r="AJ37" s="200"/>
      <c r="AK37" s="665"/>
      <c r="AL37" s="663" cm="1">
        <f t="array" ref="AL37">_xlfn.XLOOKUP(1,($B$6=Enviro_DistributionZone)*(AK$29=Enviro_CustomerType)*(AK$30=Enviro_TariffType)*("Total inc GST"=Enviro_Description),Enviro_PY_CostTotal)</f>
        <v>0</v>
      </c>
      <c r="AM37" s="664" t="str">
        <f t="shared" si="3"/>
        <v/>
      </c>
      <c r="AN37" s="199"/>
      <c r="AO37" s="203" t="str">
        <f>IF(OR(AL37=0,AQ37=""),"",AQ37/AL37-1)</f>
        <v/>
      </c>
      <c r="AP37" s="202" t="str">
        <f t="shared" si="4"/>
        <v/>
      </c>
      <c r="AQ37" s="197" cm="1">
        <f t="array" ref="AQ37">_xlfn.XLOOKUP(1,($B$6=Enviro_DistributionZone)*(AK$29=Enviro_CustomerType)*(AK$30=Enviro_TariffType)*("Total inc GST"=Enviro_Description),Enviro_FY_CostTotal)</f>
        <v>116.80415398648321</v>
      </c>
      <c r="AR37" s="198">
        <f>AQ37/AK$40</f>
        <v>2.399427978358324E-2</v>
      </c>
      <c r="AS37" s="200"/>
    </row>
    <row r="38" spans="2:54" ht="15" customHeight="1" x14ac:dyDescent="0.35">
      <c r="H38" s="201" t="s">
        <v>159</v>
      </c>
      <c r="I38" s="201"/>
      <c r="J38" s="200"/>
      <c r="K38" s="197" cm="1">
        <f t="array" ref="K38">_xlfn.XLOOKUP(1,($B$6=Retail_DistributionZone)*(J$29=Retail_CustomerType)*(J$30=Retail_TariffL2)*("Total inc GST"=Retail_Description),Retail_PY_CostTotal)</f>
        <v>334.4739968776168</v>
      </c>
      <c r="L38" s="198">
        <f>K38/J$34</f>
        <v>0.14536027678297123</v>
      </c>
      <c r="M38" s="198"/>
      <c r="N38" s="202">
        <f>IF(OR(K38=0,P38=""),"",P38/K38-1)</f>
        <v>-1.4227779966964338E-2</v>
      </c>
      <c r="O38" s="202">
        <f>(P38-K38)/J34</f>
        <v>-2.0681540340051438E-3</v>
      </c>
      <c r="P38" s="197" cm="1">
        <f t="array" ref="P38">_xlfn.XLOOKUP(1,($B$6=Retail_DistributionZone)*(J$29=Retail_CustomerType)*(J$30=Retail_TariffL2)*("Total inc GST"=Retail_Description),Retail_FY_CostTotal)</f>
        <v>329.71517444537096</v>
      </c>
      <c r="Q38" s="198">
        <f>P38/J$40</f>
        <v>0.14126614157899356</v>
      </c>
      <c r="R38" s="270"/>
      <c r="S38" s="198"/>
      <c r="T38" s="663" cm="1">
        <f t="array" ref="T38">_xlfn.XLOOKUP(1,($B$6=Retail_DistributionZone)*(S$29=Retail_CustomerType)*(S$30=Retail_TariffType)*("Total inc GST"=Retail_Description),Retail_PY_CostTotal)</f>
        <v>0</v>
      </c>
      <c r="U38" s="664" t="str">
        <f t="shared" si="1"/>
        <v/>
      </c>
      <c r="V38" s="287"/>
      <c r="W38" s="288" t="str">
        <f>IF(OR(T38=0,Y38=""),"",Y38/T38-1)</f>
        <v/>
      </c>
      <c r="X38" s="202" t="str">
        <f t="shared" si="2"/>
        <v/>
      </c>
      <c r="Y38" s="197" cm="1">
        <f t="array" ref="Y38">_xlfn.XLOOKUP(1,($B$6=Retail_DistributionZone)*(S$29=Retail_CustomerType)*(S$30=Retail_TariffType)*("Total inc GST"=Retail_Description),Retail_FY_CostTotal)</f>
        <v>329.71517444537096</v>
      </c>
      <c r="Z38" s="198">
        <f>Y38/S$40</f>
        <v>0.1448660696157166</v>
      </c>
      <c r="AA38" s="200"/>
      <c r="AB38" s="200"/>
      <c r="AC38" s="197" cm="1">
        <f t="array" ref="AC38">_xlfn.XLOOKUP(1,($B$6=Retail_DistributionZone)*(AB$29=Retail_CustomerType)*(AB$30=Retail_TariffL2)*("Total inc GST"=Retail_Description),Retail_PY_CostTotal)</f>
        <v>344.72810660251821</v>
      </c>
      <c r="AD38" s="198">
        <f>AC38/AB$34</f>
        <v>6.2214060025720663E-2</v>
      </c>
      <c r="AE38" s="198"/>
      <c r="AF38" s="202">
        <f>IF(OR(AC38=0,AH38=""),"",AH38/AC38-1)</f>
        <v>6.9600953810455835E-4</v>
      </c>
      <c r="AG38" s="202">
        <f>(AH38-AC38)/AB34</f>
        <v>4.3301579182116862E-5</v>
      </c>
      <c r="AH38" s="197" cm="1">
        <f t="array" ref="AH38">_xlfn.XLOOKUP(1,($B$6=Retail_DistributionZone)*(AB$29=Retail_CustomerType)*(AB$30=Retail_TariffL2)*("Total inc GST"=Retail_Description),Retail_FY_CostTotal)</f>
        <v>344.96804065276632</v>
      </c>
      <c r="AI38" s="198">
        <f>AH38/AB$40</f>
        <v>6.6828368975739308E-2</v>
      </c>
      <c r="AJ38" s="200"/>
      <c r="AK38" s="665"/>
      <c r="AL38" s="663" cm="1">
        <f t="array" ref="AL38">_xlfn.XLOOKUP(1,($B$6=Retail_DistributionZone)*(AK$29=Retail_CustomerType)*(AK$30=Retail_TariffType)*("Total inc GST"=Retail_Description),Retail_PY_CostTotal)</f>
        <v>0</v>
      </c>
      <c r="AM38" s="664" t="str">
        <f t="shared" si="3"/>
        <v/>
      </c>
      <c r="AN38" s="199"/>
      <c r="AO38" s="203" t="str">
        <f>IF(OR(AL38=0,AQ38=""),"",AQ38/AL38-1)</f>
        <v/>
      </c>
      <c r="AP38" s="202" t="str">
        <f t="shared" si="4"/>
        <v/>
      </c>
      <c r="AQ38" s="197" cm="1">
        <f t="array" ref="AQ38">_xlfn.XLOOKUP(1,($B$6=Retail_DistributionZone)*(AK$29=Retail_CustomerType)*(AK$30=Retail_TariffType)*("Total inc GST"=Retail_Description),Retail_FY_CostTotal)</f>
        <v>344.96804065276632</v>
      </c>
      <c r="AR38" s="198">
        <f>AQ38/AK$40</f>
        <v>7.0864429057675912E-2</v>
      </c>
      <c r="AS38" s="200"/>
    </row>
    <row r="39" spans="2:54" ht="15" customHeight="1" x14ac:dyDescent="0.35">
      <c r="H39" s="201" t="s">
        <v>192</v>
      </c>
      <c r="I39" s="201"/>
      <c r="J39" s="200"/>
      <c r="K39" s="197">
        <f>SUM(K35:K38)/(1-RetailMargin_RES)-SUM(K35:K38)</f>
        <v>138.0326454531837</v>
      </c>
      <c r="L39" s="198">
        <f>K39/J$34</f>
        <v>5.9988111887520082E-2</v>
      </c>
      <c r="M39" s="198"/>
      <c r="N39" s="202">
        <f>IF(OR(K39=0,P39=""),"",P39/K39-1)</f>
        <v>1.4368585190237093E-2</v>
      </c>
      <c r="O39" s="202">
        <f>(P39-K39)/J34</f>
        <v>8.6194429605731138E-4</v>
      </c>
      <c r="P39" s="197">
        <f>SUM(P35:P38)/(1-RetailMargin_RES)-SUM(P35:P38)</f>
        <v>140.01597927841158</v>
      </c>
      <c r="Q39" s="198">
        <f>P39/J$40</f>
        <v>5.9989708345506244E-2</v>
      </c>
      <c r="R39" s="270"/>
      <c r="S39" s="198"/>
      <c r="T39" s="663">
        <f>SUM(T35:T38)/(1-RetailMargin_RES)-SUM(T35:T38)</f>
        <v>0</v>
      </c>
      <c r="U39" s="664" t="str">
        <f t="shared" si="1"/>
        <v/>
      </c>
      <c r="V39" s="287"/>
      <c r="W39" s="288" t="str">
        <f>IF(OR(T39=0,Y39=""),"",Y39/T39-1)</f>
        <v/>
      </c>
      <c r="X39" s="202" t="str">
        <f t="shared" si="2"/>
        <v/>
      </c>
      <c r="Y39" s="197">
        <f>SUM(Y35:Y38)/(1-RetailMargin_RES)-SUM(Y35:Y38)</f>
        <v>136.54096170104231</v>
      </c>
      <c r="Z39" s="198">
        <f>Y39/S$40</f>
        <v>5.999163519377957E-2</v>
      </c>
      <c r="AA39" s="200"/>
      <c r="AB39" s="200"/>
      <c r="AC39" s="197">
        <f>SUM(AC35:AC38)/(1-RetailMargin_PY_SB)-SUM(AC35:AC38)</f>
        <v>609.5101846045809</v>
      </c>
      <c r="AD39" s="198">
        <f>AC39/AB$34</f>
        <v>0.11000003331611277</v>
      </c>
      <c r="AE39" s="198"/>
      <c r="AF39" s="202">
        <f>IF(OR(AC39=0,AH39=""),"",AH39/AC39-1)</f>
        <v>-0.49186772449929073</v>
      </c>
      <c r="AG39" s="202">
        <f>(AH39-AC39)/AB34</f>
        <v>-5.4105466082042558E-2</v>
      </c>
      <c r="AH39" s="197">
        <f>SUM(AH35:AH38)/(1-RetailMargin_FY_SB)-SUM(AH35:AH38)</f>
        <v>309.7117970439831</v>
      </c>
      <c r="AI39" s="198">
        <f>AH39/AB$40</f>
        <v>5.9998410895773555E-2</v>
      </c>
      <c r="AJ39" s="200"/>
      <c r="AK39" s="665"/>
      <c r="AL39" s="663">
        <f>SUM(AL35:AL38)/(1-RetailMargin_FY_SB)-SUM(AL35:AL38)</f>
        <v>0</v>
      </c>
      <c r="AM39" s="664" t="str">
        <f t="shared" si="3"/>
        <v/>
      </c>
      <c r="AN39" s="199"/>
      <c r="AO39" s="203" t="str">
        <f>IF(OR(AL39=0,AQ39=""),"",AQ39/AL39-1)</f>
        <v/>
      </c>
      <c r="AP39" s="202" t="str">
        <f t="shared" si="4"/>
        <v/>
      </c>
      <c r="AQ39" s="197">
        <f>SUM(AQ35:AQ38)/(1-RetailMargin_FY_SB)-SUM(AQ35:AQ38)</f>
        <v>292.05648207985632</v>
      </c>
      <c r="AR39" s="198">
        <f>AQ39/AK$40</f>
        <v>5.9995168874251506E-2</v>
      </c>
      <c r="AS39" s="200"/>
    </row>
    <row r="40" spans="2:54" ht="14.5" thickBot="1" x14ac:dyDescent="0.4">
      <c r="B40" s="181"/>
      <c r="H40" s="205" t="str">
        <f>"DMO "&amp;FY&amp;" price"</f>
        <v>DMO 2026-27 price</v>
      </c>
      <c r="I40" s="205"/>
      <c r="J40" s="545">
        <f>ROUND(SUM(P35:P39),0)</f>
        <v>2334</v>
      </c>
      <c r="K40" s="207"/>
      <c r="L40" s="207"/>
      <c r="M40" s="207"/>
      <c r="N40" s="207">
        <f>J40/J34-1</f>
        <v>1.4341590612777066E-2</v>
      </c>
      <c r="O40" s="207"/>
      <c r="P40" s="207"/>
      <c r="Q40" s="207"/>
      <c r="R40" s="271"/>
      <c r="S40" s="545">
        <f>ROUND(SUM(Y35:Y39),0)</f>
        <v>2276</v>
      </c>
      <c r="T40" s="206"/>
      <c r="U40" s="207"/>
      <c r="V40" s="207"/>
      <c r="W40" s="207" t="str">
        <f>IFERROR(S40/S34-1,"")</f>
        <v/>
      </c>
      <c r="X40" s="207"/>
      <c r="Y40" s="208"/>
      <c r="Z40" s="208"/>
      <c r="AA40" s="208"/>
      <c r="AB40" s="545">
        <f>ROUND(SUM(AH35:AH39),0)</f>
        <v>5162</v>
      </c>
      <c r="AC40" s="206"/>
      <c r="AD40" s="207"/>
      <c r="AE40" s="207"/>
      <c r="AF40" s="207">
        <f>AB40/AB34-1</f>
        <v>-6.8399205919509098E-2</v>
      </c>
      <c r="AG40" s="207"/>
      <c r="AH40" s="207"/>
      <c r="AI40" s="207"/>
      <c r="AJ40" s="208"/>
      <c r="AK40" s="545">
        <f>ROUND(SUM(AQ35:AQ39),0)</f>
        <v>4868</v>
      </c>
      <c r="AL40" s="206"/>
      <c r="AM40" s="207"/>
      <c r="AN40" s="207"/>
      <c r="AO40" s="207" t="str">
        <f>IFERROR(AK40/AK34-1,"")</f>
        <v/>
      </c>
      <c r="AP40" s="207"/>
      <c r="AQ40" s="207"/>
      <c r="AR40" s="207"/>
      <c r="AS40" s="208"/>
    </row>
    <row r="41" spans="2:54" ht="14.5" thickTop="1" x14ac:dyDescent="0.35">
      <c r="H41" s="209"/>
      <c r="P41" s="210"/>
    </row>
    <row r="42" spans="2:54" x14ac:dyDescent="0.35">
      <c r="O42" s="211"/>
      <c r="P42" s="210"/>
      <c r="R42" s="35"/>
      <c r="S42" s="210"/>
      <c r="Y42" s="210"/>
      <c r="Z42" s="242"/>
    </row>
    <row r="43" spans="2:54" x14ac:dyDescent="0.35">
      <c r="J43" s="210"/>
      <c r="K43" s="68"/>
      <c r="N43" s="215"/>
      <c r="O43" s="211"/>
      <c r="P43" s="216"/>
      <c r="Q43" s="216"/>
      <c r="R43" s="216"/>
      <c r="S43" s="216"/>
      <c r="T43" s="216"/>
      <c r="U43" s="216"/>
      <c r="V43" s="216"/>
      <c r="W43" s="216"/>
      <c r="X43" s="216"/>
      <c r="Y43" s="216"/>
      <c r="Z43" s="216"/>
    </row>
    <row r="44" spans="2:54" s="66" customFormat="1" x14ac:dyDescent="0.35"/>
    <row r="45" spans="2:54" s="585" customFormat="1" ht="14.5" x14ac:dyDescent="0.35">
      <c r="H45" s="217" t="s">
        <v>125</v>
      </c>
      <c r="S45" s="160"/>
      <c r="T45" s="160" t="s">
        <v>278</v>
      </c>
      <c r="U45" s="160" t="s">
        <v>279</v>
      </c>
      <c r="V45" s="160" t="s">
        <v>284</v>
      </c>
      <c r="W45" s="160" t="s">
        <v>272</v>
      </c>
      <c r="X45" s="160" t="s">
        <v>272</v>
      </c>
      <c r="Y45" s="160" t="s">
        <v>278</v>
      </c>
      <c r="Z45" s="160" t="s">
        <v>279</v>
      </c>
      <c r="AA45" s="160" t="s">
        <v>284</v>
      </c>
      <c r="AB45" s="160" t="s">
        <v>272</v>
      </c>
      <c r="AL45" s="160" t="s">
        <v>278</v>
      </c>
      <c r="AM45" s="160" t="s">
        <v>279</v>
      </c>
      <c r="AN45" s="160" t="s">
        <v>284</v>
      </c>
      <c r="AO45" s="160" t="s">
        <v>272</v>
      </c>
      <c r="AP45" s="160"/>
      <c r="AQ45" s="160" t="s">
        <v>278</v>
      </c>
      <c r="AR45" s="160" t="s">
        <v>279</v>
      </c>
      <c r="AS45" s="160" t="s">
        <v>284</v>
      </c>
      <c r="AT45" s="160" t="s">
        <v>272</v>
      </c>
      <c r="AU45" s="160"/>
      <c r="AV45" s="160" t="s">
        <v>125</v>
      </c>
      <c r="AW45" s="671"/>
      <c r="AX45" s="160" t="s">
        <v>272</v>
      </c>
      <c r="AY45" s="160" t="s">
        <v>278</v>
      </c>
      <c r="AZ45" s="160" t="s">
        <v>279</v>
      </c>
      <c r="BA45" s="160" t="s">
        <v>284</v>
      </c>
      <c r="BB45" s="160" t="s">
        <v>272</v>
      </c>
    </row>
    <row r="46" spans="2:54" s="219" customFormat="1" x14ac:dyDescent="0.35">
      <c r="H46" s="220" t="s">
        <v>32</v>
      </c>
      <c r="I46" s="221"/>
      <c r="J46" s="220"/>
      <c r="K46" s="907" t="s">
        <v>6</v>
      </c>
      <c r="L46" s="907"/>
      <c r="M46" s="907"/>
      <c r="N46" s="907"/>
      <c r="O46" s="907"/>
      <c r="P46" s="907"/>
      <c r="Q46" s="223"/>
      <c r="R46" s="30"/>
      <c r="S46" s="220"/>
      <c r="T46" s="907" t="s">
        <v>6</v>
      </c>
      <c r="U46" s="907"/>
      <c r="V46" s="907"/>
      <c r="W46" s="907"/>
      <c r="X46" s="907"/>
      <c r="Y46" s="907"/>
      <c r="Z46" s="220"/>
      <c r="AA46" s="220"/>
      <c r="AB46" s="220"/>
      <c r="AC46" s="907" t="s">
        <v>76</v>
      </c>
      <c r="AD46" s="907"/>
      <c r="AE46" s="907"/>
      <c r="AF46" s="907"/>
      <c r="AG46" s="907"/>
      <c r="AH46" s="907"/>
      <c r="AI46" s="220"/>
      <c r="AJ46" s="220"/>
      <c r="AK46" s="907" t="s">
        <v>76</v>
      </c>
      <c r="AL46" s="907"/>
      <c r="AM46" s="907"/>
      <c r="AN46" s="907"/>
      <c r="AO46" s="907"/>
      <c r="AP46" s="907"/>
      <c r="AQ46" s="907"/>
      <c r="AR46" s="907"/>
      <c r="AS46" s="907"/>
      <c r="AT46" s="220"/>
      <c r="AV46" s="546" t="s">
        <v>32</v>
      </c>
      <c r="AW46" s="546"/>
      <c r="AX46" s="900" t="s">
        <v>6</v>
      </c>
      <c r="AY46" s="900"/>
      <c r="AZ46" s="900"/>
      <c r="BA46" s="900"/>
      <c r="BB46" s="546"/>
    </row>
    <row r="47" spans="2:54" s="219" customFormat="1" ht="14.5" thickBot="1" x14ac:dyDescent="0.4">
      <c r="H47" s="220"/>
      <c r="I47" s="220"/>
      <c r="J47" s="220"/>
      <c r="K47" s="905" t="s">
        <v>19</v>
      </c>
      <c r="L47" s="905"/>
      <c r="M47" s="905"/>
      <c r="N47" s="905"/>
      <c r="O47" s="905"/>
      <c r="P47" s="905"/>
      <c r="Q47" s="223"/>
      <c r="R47" s="30"/>
      <c r="S47" s="515"/>
      <c r="T47" s="905" t="s">
        <v>257</v>
      </c>
      <c r="U47" s="905"/>
      <c r="V47" s="905"/>
      <c r="W47" s="905"/>
      <c r="X47" s="905"/>
      <c r="Y47" s="905"/>
      <c r="Z47" s="515"/>
      <c r="AA47" s="515"/>
      <c r="AB47" s="220"/>
      <c r="AC47" s="905" t="s">
        <v>19</v>
      </c>
      <c r="AD47" s="905"/>
      <c r="AE47" s="905"/>
      <c r="AF47" s="905"/>
      <c r="AG47" s="905"/>
      <c r="AH47" s="905"/>
      <c r="AI47" s="220"/>
      <c r="AJ47" s="515"/>
      <c r="AK47" s="905" t="s">
        <v>272</v>
      </c>
      <c r="AL47" s="905"/>
      <c r="AM47" s="905"/>
      <c r="AN47" s="905"/>
      <c r="AO47" s="905"/>
      <c r="AP47" s="905"/>
      <c r="AQ47" s="905"/>
      <c r="AR47" s="905"/>
      <c r="AS47" s="905"/>
      <c r="AT47" s="515"/>
      <c r="AV47" s="546"/>
      <c r="AW47" s="546"/>
      <c r="AX47" s="899" t="s">
        <v>300</v>
      </c>
      <c r="AY47" s="899"/>
      <c r="AZ47" s="899"/>
      <c r="BA47" s="899"/>
      <c r="BB47" s="546"/>
    </row>
    <row r="48" spans="2:54" s="219" customFormat="1" ht="14.5" thickBot="1" x14ac:dyDescent="0.4">
      <c r="H48" s="220"/>
      <c r="I48" s="221"/>
      <c r="J48" s="222"/>
      <c r="K48" s="910" t="str">
        <f>PY</f>
        <v>2025-26</v>
      </c>
      <c r="L48" s="910"/>
      <c r="M48" s="222"/>
      <c r="N48" s="225"/>
      <c r="O48" s="910" t="str">
        <f>FY</f>
        <v>2026-27</v>
      </c>
      <c r="P48" s="910"/>
      <c r="Q48" s="223"/>
      <c r="R48" s="30"/>
      <c r="S48" s="517"/>
      <c r="T48" s="910" t="str">
        <f>PY</f>
        <v>2025-26</v>
      </c>
      <c r="U48" s="910"/>
      <c r="V48" s="222"/>
      <c r="W48" s="225"/>
      <c r="X48" s="910" t="str">
        <f>FY</f>
        <v>2026-27</v>
      </c>
      <c r="Y48" s="910"/>
      <c r="Z48" s="517"/>
      <c r="AA48" s="517"/>
      <c r="AB48" s="220"/>
      <c r="AC48" s="910" t="str">
        <f>PY</f>
        <v>2025-26</v>
      </c>
      <c r="AD48" s="910"/>
      <c r="AE48" s="222"/>
      <c r="AF48" s="225"/>
      <c r="AG48" s="910" t="str">
        <f>FY</f>
        <v>2026-27</v>
      </c>
      <c r="AH48" s="910"/>
      <c r="AI48" s="220"/>
      <c r="AJ48" s="517"/>
      <c r="AK48" s="905" t="str">
        <f>PY</f>
        <v>2025-26</v>
      </c>
      <c r="AL48" s="905"/>
      <c r="AM48" s="905"/>
      <c r="AN48" s="905"/>
      <c r="AO48" s="220"/>
      <c r="AP48" s="905" t="str">
        <f>FY</f>
        <v>2026-27</v>
      </c>
      <c r="AQ48" s="905"/>
      <c r="AR48" s="905"/>
      <c r="AS48" s="905"/>
      <c r="AT48" s="517"/>
      <c r="AV48" s="546"/>
      <c r="AW48" s="547"/>
      <c r="AX48" s="899" t="str">
        <f>FY</f>
        <v>2026-27</v>
      </c>
      <c r="AY48" s="899"/>
      <c r="AZ48" s="899"/>
      <c r="BA48" s="899"/>
      <c r="BB48" s="546"/>
    </row>
    <row r="49" spans="1:56" s="228" customFormat="1" ht="27" customHeight="1" x14ac:dyDescent="0.35">
      <c r="H49" s="220"/>
      <c r="I49" s="226"/>
      <c r="J49" s="224"/>
      <c r="K49" s="225" t="s">
        <v>46</v>
      </c>
      <c r="L49" s="225" t="s">
        <v>47</v>
      </c>
      <c r="M49" s="225"/>
      <c r="N49" s="225"/>
      <c r="O49" s="225" t="s">
        <v>46</v>
      </c>
      <c r="P49" s="225" t="s">
        <v>47</v>
      </c>
      <c r="Q49" s="223"/>
      <c r="R49" s="30"/>
      <c r="S49" s="516"/>
      <c r="T49" s="225" t="s">
        <v>46</v>
      </c>
      <c r="U49" s="902" t="s">
        <v>47</v>
      </c>
      <c r="V49" s="902"/>
      <c r="W49" s="225"/>
      <c r="X49" s="225" t="s">
        <v>46</v>
      </c>
      <c r="Y49" s="902" t="s">
        <v>47</v>
      </c>
      <c r="Z49" s="902"/>
      <c r="AA49" s="306"/>
      <c r="AB49" s="220"/>
      <c r="AC49" s="225" t="s">
        <v>46</v>
      </c>
      <c r="AD49" s="225" t="s">
        <v>47</v>
      </c>
      <c r="AE49" s="225"/>
      <c r="AF49" s="225"/>
      <c r="AG49" s="225" t="s">
        <v>46</v>
      </c>
      <c r="AH49" s="225" t="s">
        <v>47</v>
      </c>
      <c r="AI49" s="220"/>
      <c r="AJ49" s="227"/>
      <c r="AK49" s="225" t="s">
        <v>46</v>
      </c>
      <c r="AL49" s="901" t="s">
        <v>47</v>
      </c>
      <c r="AM49" s="901"/>
      <c r="AN49" s="901"/>
      <c r="AO49" s="225"/>
      <c r="AP49" s="225" t="s">
        <v>46</v>
      </c>
      <c r="AQ49" s="901" t="s">
        <v>47</v>
      </c>
      <c r="AR49" s="901"/>
      <c r="AS49" s="901"/>
      <c r="AT49" s="225"/>
      <c r="AV49" s="546"/>
      <c r="AW49" s="549"/>
      <c r="AX49" s="548" t="s">
        <v>46</v>
      </c>
      <c r="AY49" s="897" t="s">
        <v>47</v>
      </c>
      <c r="AZ49" s="897"/>
      <c r="BA49" s="555"/>
      <c r="BB49" s="546"/>
    </row>
    <row r="50" spans="1:56" s="228" customFormat="1" ht="25" x14ac:dyDescent="0.35">
      <c r="H50" s="220"/>
      <c r="I50" s="226"/>
      <c r="J50" s="223"/>
      <c r="K50" s="44" t="s">
        <v>262</v>
      </c>
      <c r="L50" s="44" t="s">
        <v>268</v>
      </c>
      <c r="M50" s="44"/>
      <c r="N50" s="44"/>
      <c r="O50" s="44" t="s">
        <v>262</v>
      </c>
      <c r="P50" s="44" t="s">
        <v>268</v>
      </c>
      <c r="Q50" s="223"/>
      <c r="R50" s="30"/>
      <c r="S50" s="44" t="s">
        <v>262</v>
      </c>
      <c r="T50" s="44" t="s">
        <v>263</v>
      </c>
      <c r="U50" s="44" t="s">
        <v>264</v>
      </c>
      <c r="V50" s="44" t="s">
        <v>277</v>
      </c>
      <c r="W50" s="44"/>
      <c r="X50" s="44" t="s">
        <v>262</v>
      </c>
      <c r="Y50" s="44" t="s">
        <v>263</v>
      </c>
      <c r="Z50" s="44" t="s">
        <v>264</v>
      </c>
      <c r="AA50" s="44" t="s">
        <v>271</v>
      </c>
      <c r="AB50" s="44"/>
      <c r="AC50" s="44" t="s">
        <v>262</v>
      </c>
      <c r="AD50" s="44" t="s">
        <v>268</v>
      </c>
      <c r="AE50" s="44"/>
      <c r="AF50" s="44"/>
      <c r="AG50" s="44" t="s">
        <v>262</v>
      </c>
      <c r="AH50" s="44" t="s">
        <v>268</v>
      </c>
      <c r="AI50" s="44"/>
      <c r="AJ50" s="44"/>
      <c r="AK50" s="44" t="s">
        <v>272</v>
      </c>
      <c r="AL50" s="44" t="s">
        <v>263</v>
      </c>
      <c r="AM50" s="44" t="s">
        <v>264</v>
      </c>
      <c r="AN50" s="44" t="s">
        <v>277</v>
      </c>
      <c r="AO50" s="44"/>
      <c r="AP50" s="44" t="s">
        <v>272</v>
      </c>
      <c r="AQ50" s="44" t="s">
        <v>263</v>
      </c>
      <c r="AR50" s="44" t="s">
        <v>264</v>
      </c>
      <c r="AS50" s="44" t="s">
        <v>277</v>
      </c>
      <c r="AT50" s="44"/>
      <c r="AV50" s="546"/>
      <c r="AW50" s="549"/>
      <c r="AX50" s="550" t="s">
        <v>262</v>
      </c>
      <c r="AY50" s="550" t="s">
        <v>263</v>
      </c>
      <c r="AZ50" s="550" t="s">
        <v>264</v>
      </c>
      <c r="BA50" s="550" t="s">
        <v>277</v>
      </c>
      <c r="BB50" s="550"/>
    </row>
    <row r="51" spans="1:56" x14ac:dyDescent="0.35">
      <c r="H51" s="196"/>
      <c r="I51" s="196"/>
      <c r="J51" s="197"/>
      <c r="K51" s="229" t="s">
        <v>266</v>
      </c>
      <c r="L51" s="229" t="s">
        <v>246</v>
      </c>
      <c r="M51" s="229"/>
      <c r="N51" s="229"/>
      <c r="O51" s="229" t="s">
        <v>266</v>
      </c>
      <c r="P51" s="229" t="s">
        <v>246</v>
      </c>
      <c r="Q51" s="198"/>
      <c r="S51" s="690" t="s">
        <v>266</v>
      </c>
      <c r="T51" s="690" t="s">
        <v>246</v>
      </c>
      <c r="U51" s="690" t="s">
        <v>246</v>
      </c>
      <c r="V51" s="690" t="s">
        <v>246</v>
      </c>
      <c r="W51" s="229"/>
      <c r="X51" s="229" t="s">
        <v>266</v>
      </c>
      <c r="Y51" s="229" t="s">
        <v>246</v>
      </c>
      <c r="Z51" s="229" t="s">
        <v>246</v>
      </c>
      <c r="AA51" s="229" t="s">
        <v>246</v>
      </c>
      <c r="AB51" s="229"/>
      <c r="AC51" s="229" t="s">
        <v>266</v>
      </c>
      <c r="AD51" s="229" t="s">
        <v>246</v>
      </c>
      <c r="AE51" s="230"/>
      <c r="AF51" s="230"/>
      <c r="AG51" s="229" t="s">
        <v>266</v>
      </c>
      <c r="AH51" s="229" t="s">
        <v>246</v>
      </c>
      <c r="AI51" s="229"/>
      <c r="AJ51" s="229"/>
      <c r="AK51" s="229" t="s">
        <v>266</v>
      </c>
      <c r="AL51" s="229" t="s">
        <v>246</v>
      </c>
      <c r="AM51" s="229" t="s">
        <v>246</v>
      </c>
      <c r="AN51" s="229"/>
      <c r="AO51" s="230"/>
      <c r="AP51" s="229" t="s">
        <v>266</v>
      </c>
      <c r="AQ51" s="229" t="s">
        <v>246</v>
      </c>
      <c r="AR51" s="229" t="s">
        <v>246</v>
      </c>
      <c r="AS51" s="229" t="s">
        <v>246</v>
      </c>
      <c r="AT51" s="229"/>
      <c r="AV51" s="196"/>
      <c r="AW51" s="196"/>
      <c r="AX51" s="229" t="s">
        <v>266</v>
      </c>
      <c r="AY51" s="229" t="s">
        <v>246</v>
      </c>
      <c r="AZ51" s="229" t="s">
        <v>246</v>
      </c>
      <c r="BA51" s="229" t="s">
        <v>246</v>
      </c>
      <c r="BB51" s="196"/>
    </row>
    <row r="52" spans="1:56" x14ac:dyDescent="0.35">
      <c r="H52" s="201" t="s">
        <v>63</v>
      </c>
      <c r="I52" s="201"/>
      <c r="J52" s="197"/>
      <c r="K52" s="231" cm="1">
        <f t="array" ref="K52">(_xlfn.XLOOKUP(1,($A$2=Wholesale_DistributionZone)*($K$46=Wholesale_CustomerType)*($K$47=Wholesale_TariffType)*("Total"=Wholesale_Description),Wholesale_PY_FixedFees)*1.1/365)*100</f>
        <v>4.1695256295746885</v>
      </c>
      <c r="L52" s="231" cm="1">
        <f t="array" ref="L52">_xlfn.XLOOKUP(1,($A$2=Wholesale_DistributionZone)*($K$46=Wholesale_CustomerType)*($K$47=Wholesale_TariffType)*("Total"=Wholesale_Description),Wholesale_PY_VarFees)*1.1/10</f>
        <v>21.089512757622604</v>
      </c>
      <c r="M52" s="232"/>
      <c r="N52" s="233"/>
      <c r="O52" s="231" cm="1">
        <f t="array" ref="O52">(_xlfn.XLOOKUP(1,($A$2=Wholesale_DistributionZone)*($K$46=Wholesale_CustomerType)*($K$47=Wholesale_TariffType)*("Total"=Wholesale_Description),Wholesale_FY_FixedFees)*1.1/365)*100</f>
        <v>3.9556</v>
      </c>
      <c r="P52" s="231" cm="1">
        <f t="array" ref="P52">_xlfn.XLOOKUP(1,($A$2=Wholesale_DistributionZone)*($K$46=Wholesale_CustomerType)*($K$47=Wholesale_TariffType)*("Total"=Wholesale_Description),Wholesale_FY_VarFees)*1.1/10</f>
        <v>20.709163257440245</v>
      </c>
      <c r="Q52" s="198"/>
      <c r="S52" s="691" cm="1">
        <f t="array" ref="S52">(_xlfn.XLOOKUP(1,($A$2=Network_DistributionZone)*($T$46=Network_CustomerType)*($T$47=Network_TariffType)*("Total"=Network_Description),Network_PY_FixedFees)*1.1/365)*100</f>
        <v>0</v>
      </c>
      <c r="T52" s="691" cm="1">
        <f t="array" ref="T52">_xlfn.XLOOKUP(1,($A$2=Network_DistributionZone)*($T$46=Network_CustomerType)*($T$47=Network_TariffType)*("Total"=Network_Description),Network_PY_VarFees)*1.1/10</f>
        <v>0</v>
      </c>
      <c r="U52" s="692" cm="1">
        <f t="array" ref="U52">_xlfn.XLOOKUP(1,($A$2=Network_DistributionZone)*($T$46=Network_CustomerType)*(T$45=Network_TariffType),Network_PY_VarFees)*1.1/10</f>
        <v>0</v>
      </c>
      <c r="V52" s="692" cm="1">
        <f t="array" ref="V52">_xlfn.XLOOKUP(1,($A$2=Network_DistributionZone)*($T$46=Network_CustomerType)*(U$45=Network_TariffType),Network_PY_VarFees)*1.1/10</f>
        <v>0</v>
      </c>
      <c r="W52" s="233"/>
      <c r="X52" s="231" cm="1">
        <f t="array" ref="X52">(_xlfn.XLOOKUP(1,($A$2=Wholesale_DistributionZone)*($T$46=Wholesale_CustomerType)*($T$47=Wholesale_TariffType)*("Total"=Wholesale_Description),Wholesale_FY_FixedFees)*1.1/365)*100</f>
        <v>3.9556</v>
      </c>
      <c r="Y52" s="231" cm="1">
        <f t="array" ref="Y52">(_xlfn.XLOOKUP(1,($A$2=Wholesale_DistributionZone)*($T$46=Wholesale_CustomerType)*(Y$45=Wholesale_TariffType)*("Total"=Wholesale_Description),Wholesale_FY_VarFees))*1.1/10</f>
        <v>28.217470995149732</v>
      </c>
      <c r="Z52" s="231" cm="1">
        <f t="array" ref="Z52">(_xlfn.XLOOKUP(1,($A$2=Wholesale_DistributionZone)*($T$46=Wholesale_CustomerType)*(Z$45=Wholesale_TariffType)*("Total"=Wholesale_Description),Wholesale_FY_VarFees))*1.1/10</f>
        <v>17.692536784624359</v>
      </c>
      <c r="AA52" s="231" cm="1">
        <f t="array" ref="AA52">(_xlfn.XLOOKUP(1,($A$2=Wholesale_DistributionZone)*($T$46=Wholesale_CustomerType)*(AA$45=Wholesale_TariffType)*("Total"=Wholesale_Description),Wholesale_FY_VarFees))*1.1/10</f>
        <v>8.967440544900434</v>
      </c>
      <c r="AB52" s="232"/>
      <c r="AC52" s="232" cm="1">
        <f t="array" ref="AC52">(_xlfn.XLOOKUP(1,($A$2=Wholesale_DistributionZone)*($AC$46=Wholesale_CustomerType)*($AC$47=Wholesale_TariffType)*("Total"=Wholesale_Description),Wholesale_PY_FixedFees)*1.1/365)*100</f>
        <v>4.1695256295746885</v>
      </c>
      <c r="AD52" s="232" cm="1">
        <f t="array" ref="AD52">_xlfn.XLOOKUP(1,($A$2=Wholesale_DistributionZone)*($AC$46=Wholesale_CustomerType)*($AC$47=Wholesale_TariffType)*("Total"=Wholesale_Description),Wholesale_PY_VarFees)*1.1/10</f>
        <v>21.089512757622604</v>
      </c>
      <c r="AE52" s="232"/>
      <c r="AF52" s="233"/>
      <c r="AG52" s="232" cm="1">
        <f t="array" ref="AG52">(_xlfn.XLOOKUP(1,($A$2=Wholesale_DistributionZone)*($AC$46=Wholesale_CustomerType)*($AC$47=Wholesale_TariffType)*("Total"=Wholesale_Description),Wholesale_FY_FixedFees)*1.1/365)*100</f>
        <v>3.9556</v>
      </c>
      <c r="AH52" s="232" cm="1">
        <f t="array" ref="AH52">_xlfn.XLOOKUP(1,($A$2=Wholesale_DistributionZone)*($AC$46=Wholesale_CustomerType)*($AC$47=Wholesale_TariffType)*("Total"=Wholesale_Description),Wholesale_FY_VarFees)*1.1/10</f>
        <v>20.709163257440245</v>
      </c>
      <c r="AI52" s="232"/>
      <c r="AJ52" s="232"/>
      <c r="AK52" s="666" cm="1">
        <f t="array" ref="AK52">_xlfn.XLOOKUP(1,($A$2=Network_DistributionZone)*($AK$46=Network_CustomerType)*(AK$50=Network_TariffType)*("Total"=Network_Description),Network_PY_FixedFees)*1.1/365*100</f>
        <v>0</v>
      </c>
      <c r="AL52" s="666" cm="1">
        <f t="array" ref="AL52">_xlfn.XLOOKUP(1,($A$2=Network_DistributionZone)*($AK$46=Network_CustomerType)*(AL$45=Network_TariffType),Network_PY_VarFees)*1.1/10</f>
        <v>0</v>
      </c>
      <c r="AM52" s="666" cm="1">
        <f t="array" ref="AM52">_xlfn.XLOOKUP(1,($A$2=Network_DistributionZone)*($AK$46=Network_CustomerType)*(AM$45=Network_TariffType),Network_PY_VarFees)*1.1/10</f>
        <v>0</v>
      </c>
      <c r="AN52" s="666" cm="1">
        <f t="array" ref="AN52">_xlfn.XLOOKUP(1,($A$2=Network_DistributionZone)*($AK$46=Network_CustomerType)*(AN$45=Network_TariffType),Network_PY_VarFees)*1.1/10</f>
        <v>0</v>
      </c>
      <c r="AO52" s="235"/>
      <c r="AP52" s="232" cm="1">
        <f t="array" ref="AP52">(_xlfn.XLOOKUP(1,($A$2=Wholesale_DistributionZone)*($AK$46=Wholesale_CustomerType)*($AK$47=Wholesale_TariffType)*("Total"=Wholesale_Description),Wholesale_FY_FixedFees)*1.1/365)*100</f>
        <v>3.9556</v>
      </c>
      <c r="AQ52" s="232" cm="1">
        <f t="array" ref="AQ52">(_xlfn.XLOOKUP(1,($A$2=Wholesale_DistributionZone)*($AK$46=Wholesale_CustomerType)*(AQ$45=Wholesale_TariffType)*("Total"=Wholesale_Description),Wholesale_FY_VarFees))*1.1/10</f>
        <v>38.606556416777828</v>
      </c>
      <c r="AR52" s="232" cm="1">
        <f t="array" ref="AR52">(_xlfn.XLOOKUP(1,($A$2=Wholesale_DistributionZone)*($AK$46=Wholesale_CustomerType)*(AR$45=Wholesale_TariffType)*("Total"=Wholesale_Description),Wholesale_FY_VarFees))*1.1/10</f>
        <v>20.074512046950471</v>
      </c>
      <c r="AS52" s="232" cm="1">
        <f t="array" ref="AS52">(_xlfn.XLOOKUP(1,($A$2=Wholesale_DistributionZone)*($AK$46=Wholesale_CustomerType)*(AS$45=Wholesale_TariffType)*("Total"=Wholesale_Description),Wholesale_FY_VarFees))*1.1/10</f>
        <v>17.858611472456097</v>
      </c>
      <c r="AT52" s="232"/>
      <c r="AV52" s="552" t="s">
        <v>62</v>
      </c>
      <c r="AW52" s="232"/>
      <c r="AX52" s="231" cm="1">
        <f t="array" ref="AX52">(_xlfn.XLOOKUP(1,($A$2=Network_DistributionZone)*($AX$46=Network_CustomerType)*($AX$45=Network_TariffType)*("Total"=Network_Description),Network_FY_FixedFees)*1.1/365)*100</f>
        <v>74.959586531986815</v>
      </c>
      <c r="AY52" s="231" cm="1">
        <f t="array" ref="AY52">(_xlfn.XLOOKUP(1,($A$2=Network_DistributionZone)*($AX$46=Network_CustomerType)*($AY$45=Network_TariffType),Network_FY_VarFees))*1.1/10</f>
        <v>23.463000000000001</v>
      </c>
      <c r="AZ52" s="232" cm="1">
        <f t="array" ref="AZ52">_xlfn.XLOOKUP(1,($A$2=Network_DistributionZone)*($AX$46=Network_CustomerType)*(AZ$45=Network_TariffType),Network_FY_VarFees)*1.1/10</f>
        <v>11.737000000000002</v>
      </c>
      <c r="BA52" s="232" cm="1">
        <f t="array" ref="BA52">_xlfn.XLOOKUP(1,($A$2=Network_DistributionZone)*($AX$46=Network_CustomerType)*(BA$45=Network_TariffType),Network_FY_VarFees)*1.1/10</f>
        <v>5.8849999999999998</v>
      </c>
      <c r="BB52" s="232"/>
    </row>
    <row r="53" spans="1:56" x14ac:dyDescent="0.35">
      <c r="H53" s="201" t="s">
        <v>62</v>
      </c>
      <c r="I53" s="201"/>
      <c r="J53" s="197"/>
      <c r="K53" s="231" cm="1">
        <f t="array" ref="K53">(_xlfn.XLOOKUP(1,($A$2=Network_DistributionZone)*($K$46=Network_CustomerType)*($K$47=Network_TariffType)*("Total"=Network_Description),Network_PY_FixedFees)*1.1/365)*100</f>
        <v>70.835998355663193</v>
      </c>
      <c r="L53" s="231" cm="1">
        <f t="array" ref="L53">_xlfn.XLOOKUP(1,($A$2=Network_DistributionZone)*($K$46=Network_CustomerType)*($K$47=Network_TariffType)*("Total"=Network_Description),Network_PY_VarFees)*1.1/10</f>
        <v>15.961000000000002</v>
      </c>
      <c r="M53" s="232"/>
      <c r="N53" s="233"/>
      <c r="O53" s="231" cm="1">
        <f t="array" ref="O53">(_xlfn.XLOOKUP(1,($A$2=Network_DistributionZone)*($K$46=Network_CustomerType)*("Blended"=Network_TariffType)*("Total"=Network_Description),Network_FY_FixedFees)*1.1/365)*100</f>
        <v>74.959586531986801</v>
      </c>
      <c r="P53" s="231" cm="1">
        <f t="array" ref="P53">_xlfn.XLOOKUP(1,($A$2=Network_DistributionZone)*($K$46=Network_CustomerType)*("Blended"=Network_TariffType)*("Total"=Network_Description),Network_FY_VarFees)*1.1/10</f>
        <v>17.518496954561428</v>
      </c>
      <c r="Q53" s="198"/>
      <c r="S53" s="691" cm="1">
        <f t="array" ref="S53">(_xlfn.XLOOKUP(1,($A$2=Wholesale_DistributionZone)*($T$46=Wholesale_CustomerType)*($T$47=Wholesale_TariffType)*("Total"=Wholesale_Description),Wholesale_PY_FixedFees)*1.1/365)*100</f>
        <v>0</v>
      </c>
      <c r="T53" s="691" cm="1">
        <f t="array" ref="T53">_xlfn.XLOOKUP(1,($A$2=Wholesale_DistributionZone)*($T$46=Wholesale_CustomerType)*($T$47=Wholesale_TariffType)*("Total"=Wholesale_Description),Wholesale_PY_VarFees)*1.1/10</f>
        <v>0</v>
      </c>
      <c r="U53" s="692" cm="1">
        <f t="array" ref="U53">_xlfn.XLOOKUP(1,($A$2=Wholesale_DistributionZone)*($T$46=Wholesale_CustomerType)*(T$45=Wholesale_TariffType)*("Total"=Wholesale_Description),Wholesale_PY_VarFees)*1.1/10</f>
        <v>0</v>
      </c>
      <c r="V53" s="692" cm="1">
        <f t="array" ref="V53">_xlfn.XLOOKUP(1,($A$2=Wholesale_DistributionZone)*($T$46=Wholesale_CustomerType)*(U$45=Wholesale_TariffType)*("Total"=Wholesale_Description),Wholesale_PY_VarFees)*1.1/10</f>
        <v>0</v>
      </c>
      <c r="W53" s="233"/>
      <c r="X53" s="231" cm="1">
        <f t="array" ref="X53">(_xlfn.XLOOKUP(1,($A$2=Network_DistributionZone)*($K$46=Network_CustomerType)*($T$47=Network_TariffType)*("Total"=Network_Description),Network_FY_FixedFees)*1.1/365)*100</f>
        <v>74.959586531986815</v>
      </c>
      <c r="Y53" s="231" cm="1">
        <f t="array" ref="Y53">_xlfn.XLOOKUP(1,($A$2=Network_DistributionZone)*($T$46=Network_CustomerType)*(Y$45=Network_TariffType),Network_FY_VarFees)*1.1/10</f>
        <v>23.463000000000001</v>
      </c>
      <c r="Z53" s="231" cm="1">
        <f t="array" ref="Z53">_xlfn.XLOOKUP(1,($A$2=Network_DistributionZone)*($T$46=Network_CustomerType)*(Z$45=Network_TariffType),Network_FY_VarFees)*1.1/10</f>
        <v>11.737000000000002</v>
      </c>
      <c r="AA53" s="231" cm="1">
        <f t="array" ref="AA53">_xlfn.XLOOKUP(1,($A$2=Network_DistributionZone)*($T$46=Network_CustomerType)*(AA$45=Network_TariffType),Network_FY_VarFees)*1.1/10</f>
        <v>5.8849999999999998</v>
      </c>
      <c r="AB53" s="232"/>
      <c r="AC53" s="232" cm="1">
        <f t="array" ref="AC53">_xlfn.XLOOKUP(1,($A$2=Network_DistributionZone)*($AC$46=Network_CustomerType)*(AC$47=Network_TariffType)*("Total"=Network_Description),Network_PY_FixedFees)*1.1/365*100</f>
        <v>72.788055738283248</v>
      </c>
      <c r="AD53" s="232" cm="1">
        <f t="array" ref="AD53">_xlfn.XLOOKUP(1,($A$2=Network_DistributionZone)*($AC$46=Network_CustomerType)*(AC$47=Network_TariffType)*("Total"=Network_Description),Network_PY_VarFees)*1.1/10</f>
        <v>20.163</v>
      </c>
      <c r="AE53" s="232"/>
      <c r="AF53" s="233"/>
      <c r="AG53" s="232" cm="1">
        <f t="array" ref="AG53">_xlfn.XLOOKUP(1,($A$2=Network_DistributionZone)*($AC$46=Network_CustomerType)*("Blended"=Network_TariffType)*("Total"=Network_Description),Network_FY_FixedFees)*1.1/365*100</f>
        <v>75.978726460445557</v>
      </c>
      <c r="AH53" s="232" cm="1">
        <f t="array" ref="AH53">_xlfn.XLOOKUP(1,($A$2=Network_DistributionZone)*($AC$46=Network_CustomerType)*("Blended"=Network_TariffType)*("Total"=Network_Description),Network_FY_VarFees)*1.1/10</f>
        <v>20.277026750585037</v>
      </c>
      <c r="AI53" s="232"/>
      <c r="AJ53" s="232"/>
      <c r="AK53" s="666" cm="1">
        <f t="array" ref="AK53">_xlfn.XLOOKUP(1,($A$2=Wholesale_DistributionZone)*($AK$46=Wholesale_CustomerType)*(AK$50=Wholesale_TariffType)*("Total"=Wholesale_Description),Wholesale_PY_FixedFees)*1.1/365*100</f>
        <v>0</v>
      </c>
      <c r="AL53" s="666" cm="1">
        <f t="array" ref="AL53">_xlfn.XLOOKUP(1,($A$2=Wholesale_DistributionZone)*($AK$46=Wholesale_CustomerType)*(AL$45=Wholesale_TariffType)*("Total"=Wholesale_Description),Wholesale_PY_VarFees)*1.1/10</f>
        <v>0</v>
      </c>
      <c r="AM53" s="666" cm="1">
        <f t="array" ref="AM53">_xlfn.XLOOKUP(1,($A$2=Wholesale_DistributionZone)*($AK$46=Wholesale_CustomerType)*(AM$45=Wholesale_TariffType)*("Total"=Wholesale_Description),Wholesale_PY_VarFees)*1.1/10</f>
        <v>0</v>
      </c>
      <c r="AN53" s="666" cm="1">
        <f t="array" ref="AN53">_xlfn.XLOOKUP(1,($A$2=Wholesale_DistributionZone)*($AK$46=Wholesale_CustomerType)*(AN$45=Wholesale_TariffType)*("Total"=Wholesale_Description),Wholesale_PY_VarFees)*1.1/10</f>
        <v>0</v>
      </c>
      <c r="AO53" s="235"/>
      <c r="AP53" s="232" cm="1">
        <f t="array" ref="AP53">_xlfn.XLOOKUP(1,($A$2=Network_DistributionZone)*($AK$46=Network_CustomerType)*(AP$50=Network_TariffType)*("Total"=Network_Description),Network_FY_FixedFees)*1.1/365*100</f>
        <v>75.978726460445557</v>
      </c>
      <c r="AQ53" s="232" cm="1">
        <f t="array" ref="AQ53">_xlfn.XLOOKUP(1,($A$2=Network_DistributionZone)*($AK$46=Network_CustomerType)*(AQ$45=Network_TariffType),Network_FY_VarFees)*1.1/10</f>
        <v>31.592000000000002</v>
      </c>
      <c r="AR53" s="232" cm="1">
        <f t="array" ref="AR53">_xlfn.XLOOKUP(1,($A$2=Network_DistributionZone)*($AK$46=Network_CustomerType)*(AR$45=Network_TariffType),Network_FY_VarFees)*1.1/10</f>
        <v>11.869</v>
      </c>
      <c r="AS53" s="232" cm="1">
        <f t="array" ref="AS53">_xlfn.XLOOKUP(1,($A$2=Network_DistributionZone)*($AK$46=Network_CustomerType)*(AS$45=Network_TariffType),Network_FY_VarFees)*1.1/10</f>
        <v>21.978000000000002</v>
      </c>
      <c r="AT53" s="232"/>
      <c r="AV53" s="552" t="s">
        <v>63</v>
      </c>
      <c r="AW53" s="232"/>
      <c r="AX53" s="231" cm="1">
        <f t="array" ref="AX53">(_xlfn.XLOOKUP(1,($A$2=Wholesale_DistributionZone)*($AX$46=Wholesale_CustomerType)*($AX$45=Wholesale_TariffType)*("Total"=Wholesale_Description),Wholesale_FY_FixedFees)*1.1/365)*100</f>
        <v>3.9556</v>
      </c>
      <c r="AY53" s="231" cm="1">
        <f t="array" ref="AY53">_xlfn.XLOOKUP(1,($A$2=Wholesale_DistributionZone)*($AX$46=Wholesale_CustomerType)*($AY$45=Wholesale_TariffType)*("Total"=Wholesale_Description),Wholesale_FY_VarFees)*1.1/10</f>
        <v>28.217470995149732</v>
      </c>
      <c r="AZ53" s="232" cm="1">
        <f t="array" ref="AZ53">_xlfn.XLOOKUP(1,($A$2=Wholesale_DistributionZone)*($AX$46=Wholesale_CustomerType)*(AZ$45=Wholesale_TariffType)*("Total"=Wholesale_Description),Wholesale_FY_VarFees)*1.1/10</f>
        <v>17.692536784624359</v>
      </c>
      <c r="BA53" s="232" cm="1">
        <f t="array" ref="BA53">_xlfn.XLOOKUP(1,($A$2=Wholesale_DistributionZone)*($AX$46=Wholesale_CustomerType)*(BA$45=Wholesale_TariffType)*("Total"=Wholesale_Description),Wholesale_FY_VarFees)*1.1/10</f>
        <v>8.967440544900434</v>
      </c>
      <c r="BB53" s="232"/>
    </row>
    <row r="54" spans="1:56" x14ac:dyDescent="0.35">
      <c r="H54" s="201" t="s">
        <v>64</v>
      </c>
      <c r="I54" s="201"/>
      <c r="J54" s="197"/>
      <c r="K54" s="231" cm="1">
        <f t="array" ref="K54">(_xlfn.XLOOKUP(1,($A$2=Enviro_DistributionZone)*($K$46=Enviro_CustomerType)*($K$47=Enviro_TariffType)*("Total"=Enviro_Description),Enviro_PY_FixedFees)*1.1/365)*100</f>
        <v>0</v>
      </c>
      <c r="L54" s="231" cm="1">
        <f t="array" ref="L54">_xlfn.XLOOKUP(1,($A$2=Enviro_DistributionZone)*($K$46=Enviro_CustomerType)*($K$47=Enviro_TariffType)*("Total"=Enviro_Description),Enviro_PY_VarFees)*1.1/10</f>
        <v>1.8061693926142475</v>
      </c>
      <c r="M54" s="232"/>
      <c r="N54" s="233"/>
      <c r="O54" s="231" cm="1">
        <f t="array" ref="O54">(_xlfn.XLOOKUP(1,($A$2=Enviro_DistributionZone)*($K$46=Enviro_CustomerType)*($K$47=Enviro_TariffType)*("Total"=Enviro_Description),Enviro_FY_FixedFees)*1.1/365)*100</f>
        <v>0</v>
      </c>
      <c r="P54" s="231" cm="1">
        <f t="array" ref="P54">_xlfn.XLOOKUP(1,($A$2=Enviro_DistributionZone)*($K$46=Enviro_CustomerType)*($K$47=Enviro_TariffType)*("Total"=Enviro_Description),Enviro_FY_VarFees)*1.1/10</f>
        <v>1.1680415398648323</v>
      </c>
      <c r="Q54" s="198"/>
      <c r="S54" s="691" cm="1">
        <f t="array" ref="S54">_xlfn.IFNA((_xlfn.XLOOKUP(1,($A$2=Enviro_DistributionZone)*($T$46=Enviro_CustomerType)*($T$47=Enviro_TariffType)*("Total"=Enviro_Description),Enviro_PY_FixedFees)*1.1/365),0)*100</f>
        <v>0</v>
      </c>
      <c r="T54" s="691" cm="1">
        <f t="array" ref="T54">_xlfn.IFNA(_xlfn.XLOOKUP(1,($A$2=Enviro_DistributionZone)*($T$46=Enviro_CustomerType)*($T$47=Enviro_TariffType)*("Total"=Enviro_Description),Enviro_PY_VarFees),0)*1.1/10</f>
        <v>0</v>
      </c>
      <c r="U54" s="692" cm="1">
        <f t="array" ref="U54">_xlfn.XLOOKUP(1,($A$2=Enviro_DistributionZone)*($T$46=Enviro_CustomerType)*(T$45=Enviro_TariffType)*("Total"=Enviro_Description),Enviro_PY_VarFees)*1.1/10</f>
        <v>0</v>
      </c>
      <c r="V54" s="692" cm="1">
        <f t="array" ref="V54">_xlfn.XLOOKUP(1,($A$2=Enviro_DistributionZone)*($T$46=Enviro_CustomerType)*(U$45=Enviro_TariffType)*("Total"=Enviro_Description),Enviro_PY_VarFees)*1.1/10</f>
        <v>0</v>
      </c>
      <c r="W54" s="233"/>
      <c r="X54" s="231" cm="1">
        <f t="array" ref="X54">_xlfn.IFNA((_xlfn.XLOOKUP(1,($A$2=Enviro_DistributionZone)*($K$46=Enviro_CustomerType)*($T$47=Enviro_TariffType)*("Total"=Enviro_Description),Enviro_FY_FixedFees)*1.1/365),0)*100</f>
        <v>0</v>
      </c>
      <c r="Y54" s="231" cm="1">
        <f t="array" ref="Y54">_xlfn.IFNA(_xlfn.XLOOKUP(1,($A$2=Enviro_DistributionZone)*($T$46=Enviro_CustomerType)*($Y$45=Enviro_TariffType)*("Total"=Enviro_Description),Enviro_FY_VarFees),0)*1.1/10</f>
        <v>1.1680415398648323</v>
      </c>
      <c r="Z54" s="231" cm="1">
        <f t="array" ref="Z54">_xlfn.XLOOKUP(1,($A$2=Enviro_DistributionZone)*($T$46=Enviro_CustomerType)*(Z$45=Enviro_TariffType)*("Total"=Enviro_Description),Enviro_FY_VarFees)*1.1/10</f>
        <v>1.1680415398648323</v>
      </c>
      <c r="AA54" s="231" cm="1">
        <f t="array" ref="AA54">_xlfn.XLOOKUP(1,($A$2=Enviro_DistributionZone)*($T$46=Enviro_CustomerType)*(AA$45=Enviro_TariffType)*("Total"=Enviro_Description),Enviro_FY_VarFees)*1.1/10</f>
        <v>1.1680415398648323</v>
      </c>
      <c r="AB54" s="232"/>
      <c r="AC54" s="232" cm="1">
        <f t="array" ref="AC54">_xlfn.XLOOKUP(1,($A$2=Enviro_DistributionZone)*($AC$46=Enviro_CustomerType)*(AC$47=Enviro_TariffType)*("Total"=Enviro_Description),Enviro_PY_FixedFees)*1.1/365*100</f>
        <v>0</v>
      </c>
      <c r="AD54" s="232" cm="1">
        <f t="array" ref="AD54">_xlfn.XLOOKUP(1,($A$2=Enviro_DistributionZone)*($AC$46=Enviro_CustomerType)*(AC$47=Enviro_TariffType)*("Total"=Enviro_Description),Enviro_PY_VarFees)*1.1/10</f>
        <v>1.8061693926142475</v>
      </c>
      <c r="AE54" s="232"/>
      <c r="AF54" s="233"/>
      <c r="AG54" s="232" cm="1">
        <f t="array" ref="AG54">_xlfn.XLOOKUP(1,($A$2=Enviro_DistributionZone)*($AC$46=Enviro_CustomerType)*(AC$47=Enviro_TariffType)*("Total"=Enviro_Description),Enviro_FY_FixedFees)*1.1/365*100</f>
        <v>0</v>
      </c>
      <c r="AH54" s="232" cm="1">
        <f t="array" ref="AH54">_xlfn.XLOOKUP(1,($A$2=Enviro_DistributionZone)*($AC$46=Enviro_CustomerType)*(AC$47=Enviro_TariffType)*("Total"=Enviro_Description),Enviro_FY_VarFees)*1.1/10</f>
        <v>1.1680415398648323</v>
      </c>
      <c r="AI54" s="232"/>
      <c r="AJ54" s="231"/>
      <c r="AK54" s="666" cm="1">
        <f t="array" ref="AK54">_xlfn.IFNA(_xlfn.XLOOKUP(1,($A$2=Enviro_DistributionZone)*($AK$46=Enviro_CustomerType)*(AK$50=Enviro_TariffType)*("Total"=Enviro_Description),Enviro_PY_FixedFees),0)*1.1/365*100</f>
        <v>0</v>
      </c>
      <c r="AL54" s="666" cm="1">
        <f t="array" ref="AL54">_xlfn.IFNA(_xlfn.XLOOKUP(1,($A$2=Enviro_DistributionZone)*($AK$46=Enviro_CustomerType)*(AL$45=Enviro_TariffType)*("Total"=Enviro_Description),Enviro_PY_VarFees),0)*1.1/10</f>
        <v>0</v>
      </c>
      <c r="AM54" s="666" cm="1">
        <f t="array" ref="AM54">_xlfn.IFNA(_xlfn.XLOOKUP(1,($A$2=Enviro_DistributionZone)*($AK$46=Enviro_CustomerType)*(AM$45=Enviro_TariffType)*("Total"=Enviro_Description),Enviro_PY_VarFees),0)*1.1/10</f>
        <v>0</v>
      </c>
      <c r="AN54" s="666" cm="1">
        <f t="array" ref="AN54">_xlfn.IFNA(_xlfn.XLOOKUP(1,($A$2=Enviro_DistributionZone)*($AK$46=Enviro_CustomerType)*(AN$45=Enviro_TariffType)*("Total"=Enviro_Description),Enviro_PY_VarFees),0)*1.1/10</f>
        <v>0</v>
      </c>
      <c r="AO54" s="235"/>
      <c r="AP54" s="232" cm="1">
        <f t="array" ref="AP54">_xlfn.IFNA(_xlfn.XLOOKUP(1,($A$2=Enviro_DistributionZone)*($AK$46=Enviro_CustomerType)*($AP$50=Enviro_TariffType)*("Total"=Enviro_Description),Enviro_FY_FixedFees)*1.1/365,0)*100</f>
        <v>0</v>
      </c>
      <c r="AQ54" s="232" cm="1">
        <f t="array" ref="AQ54">_xlfn.XLOOKUP(1,($A$2=Enviro_DistributionZone)*($AK$46=Enviro_CustomerType)*(AQ$45=Enviro_TariffType)*("Total"=Enviro_Description),Enviro_FY_VarFees)*1.1/10</f>
        <v>1.1680415398648323</v>
      </c>
      <c r="AR54" s="232" cm="1">
        <f t="array" ref="AR54">_xlfn.XLOOKUP(1,($A$2=Enviro_DistributionZone)*($AK$46=Enviro_CustomerType)*(AR$45=Enviro_TariffType)*("Total"=Enviro_Description),Enviro_FY_VarFees)*1.1/10</f>
        <v>1.1680415398648323</v>
      </c>
      <c r="AS54" s="232" cm="1">
        <f t="array" ref="AS54">_xlfn.XLOOKUP(1,($A$2=Enviro_DistributionZone)*($AK$46=Enviro_CustomerType)*(AS$45=Enviro_TariffType)*("Total"=Enviro_Description),Enviro_FY_VarFees)*1.1/10</f>
        <v>1.1680415398648323</v>
      </c>
      <c r="AT54" s="232"/>
      <c r="AV54" s="552" t="s">
        <v>64</v>
      </c>
      <c r="AW54" s="232"/>
      <c r="AX54" s="231" cm="1">
        <f t="array" ref="AX54">_xlfn.IFNA((_xlfn.XLOOKUP(1,($A$2=Enviro_DistributionZone)*($AX$46=Enviro_CustomerType)*($AX$45=Enviro_TariffType)*("Total"=Enviro_Description),Enviro_FY_FixedFees)*1.1/365),0)*100</f>
        <v>0</v>
      </c>
      <c r="AY54" s="231" cm="1">
        <f t="array" ref="AY54">_xlfn.IFNA(_xlfn.XLOOKUP(1,($A$2=Enviro_DistributionZone)*($AX$46=Enviro_CustomerType)*($AY$45=Enviro_TariffType)*("Total"=Enviro_Description),Enviro_FY_VarFees),0)*1.1/10</f>
        <v>1.1680415398648323</v>
      </c>
      <c r="AZ54" s="232" cm="1">
        <f t="array" ref="AZ54">_xlfn.XLOOKUP(1,($A$2=Enviro_DistributionZone)*($AX$46=Enviro_CustomerType)*(AZ$45=Enviro_TariffType)*("Total"=Enviro_Description),Enviro_FY_VarFees)*1.1/10</f>
        <v>1.1680415398648323</v>
      </c>
      <c r="BA54" s="232" cm="1">
        <f t="array" ref="BA54">_xlfn.XLOOKUP(1,($A$2=Enviro_DistributionZone)*($AX$46=Enviro_CustomerType)*(BA$45=Enviro_TariffType)*("Total"=Enviro_Description),Enviro_FY_VarFees)*1.1/10</f>
        <v>1.1680415398648323</v>
      </c>
      <c r="BB54" s="232"/>
    </row>
    <row r="55" spans="1:56" x14ac:dyDescent="0.35">
      <c r="H55" s="201" t="s">
        <v>159</v>
      </c>
      <c r="I55" s="201"/>
      <c r="J55" s="197"/>
      <c r="K55" s="231" cm="1">
        <f t="array" ref="K55">((_xlfn.XLOOKUP(1,($A$2=Retail_DistributionZone)*($K$46=Retail_CustomerType)*($K$47=Retail_TariffType)*("Total"=Retail_Description),Retail_PY_FixedFees)*(1+CPIPY))*1.1/365)*100</f>
        <v>91.636711473319664</v>
      </c>
      <c r="L55" s="231" cm="1">
        <f t="array" ref="L55">(_xlfn.XLOOKUP(1,($A$2=Retail_DistributionZone)*($K$46=Retail_CustomerType)*($K$47=Retail_TariffType)*("Total"=Retail_Description),Retail_PY_VarFees)*(1+CPIPY))*1.1/10</f>
        <v>0</v>
      </c>
      <c r="M55" s="232"/>
      <c r="N55" s="233"/>
      <c r="O55" s="231" cm="1">
        <f t="array" ref="O55">((_xlfn.XLOOKUP(1,($A$2=Retail_DistributionZone)*($K$46=Retail_CustomerType)*($K$47=Retail_TariffType)*("Total"=Retail_Description),Retail_FY_FixedFees)*(1+CPI))*1.1/365)*100</f>
        <v>90.332924505581104</v>
      </c>
      <c r="P55" s="231" cm="1">
        <f t="array" ref="P55">(_xlfn.XLOOKUP(1,($A$2=Retail_DistributionZone)*($K$46=Retail_CustomerType)*($K$47=Retail_TariffType)*("Total"=Retail_Description),Retail_FY_VarFees)*(1+CPI))*1.1/10</f>
        <v>0</v>
      </c>
      <c r="Q55" s="198"/>
      <c r="S55" s="691" cm="1">
        <f t="array" ref="S55">((_xlfn.XLOOKUP(1,($A$2=Retail_DistributionZone)*($T$46=Retail_CustomerType)*($T$47=Retail_TariffType)*("Total"=Retail_Description),Retail_PY_FixedFees)*(1+CPIPY))*1.1/365)*100</f>
        <v>0</v>
      </c>
      <c r="T55" s="691" cm="1">
        <f t="array" ref="T55">(_xlfn.XLOOKUP(1,($A$2=Retail_DistributionZone)*($K$46=Retail_CustomerType)*($K$47=Retail_TariffType)*("Total"=Retail_Description),Retail_PY_VarFees)*(1+CPIPY))*1.1/10</f>
        <v>0</v>
      </c>
      <c r="U55" s="692" cm="1">
        <f t="array" ref="U55">_xlfn.IFNA((_xlfn.XLOOKUP(1,($A$2=Retail_DistributionZone)*($T$46=Retail_CustomerType)*(T$45=Retail_TariffType)*("Total"=Retail_Description),Retail_PY_VarFees)*(1+CPI)),0)*1.1/10</f>
        <v>0</v>
      </c>
      <c r="V55" s="692" cm="1">
        <f t="array" ref="V55">_xlfn.IFNA((_xlfn.XLOOKUP(1,($A$2=Retail_DistributionZone)*($T$46=Retail_CustomerType)*(U$45=Retail_TariffType)*("Total"=Retail_Description),Retail_PY_VarFees)*(1+CPI)),0)*1.1/10</f>
        <v>0</v>
      </c>
      <c r="W55" s="233"/>
      <c r="X55" s="231" cm="1">
        <f t="array" ref="X55">((_xlfn.XLOOKUP(1,($A$2=Retail_DistributionZone)*($T$46=Retail_CustomerType)*($T$47=Retail_TariffType)*("Total"=Retail_Description),Retail_FY_FixedFees)*(1+CPI))*1.1/365)*100</f>
        <v>90.332924505581104</v>
      </c>
      <c r="Y55" s="231" cm="1">
        <f t="array" ref="Y55">(_xlfn.XLOOKUP(1,($A$2=Retail_DistributionZone)*($T$46=Retail_CustomerType)*($T$47=Retail_TariffType)*("Total"=Retail_Description),Retail_FY_VarFees)*(1+CPI))*1.1/10</f>
        <v>0</v>
      </c>
      <c r="Z55" s="231" cm="1">
        <f t="array" ref="Z55">_xlfn.IFNA((_xlfn.XLOOKUP(1,($A$2=Retail_DistributionZone)*($T$46=Retail_CustomerType)*(Z$45=Retail_TariffType)*("Total"=Retail_Description),Retail_FY_VarFees)*(1+CPI)),0)*1.1/10</f>
        <v>0</v>
      </c>
      <c r="AA55" s="231" cm="1">
        <f t="array" ref="AA55">_xlfn.IFNA((_xlfn.XLOOKUP(1,($A$2=Retail_DistributionZone)*($T$46=Retail_CustomerType)*(AA$45=Retail_TariffType)*("Total"=Retail_Description),Retail_FY_VarFees)*(1+CPI)),0)*1.1/10</f>
        <v>0</v>
      </c>
      <c r="AB55" s="232"/>
      <c r="AC55" s="232" cm="1">
        <f t="array" ref="AC55">(_xlfn.XLOOKUP(1,($A$2=Retail_DistributionZone)*($AC$46=Retail_CustomerType)*(AC$47=Retail_TariffType)*("Total"=Retail_Description),Retail_PY_FixedFees)*(1+CPIPY))*1.1/365*100</f>
        <v>94.446056603429653</v>
      </c>
      <c r="AD55" s="232" cm="1">
        <f t="array" ref="AD55">(_xlfn.XLOOKUP(1,($A$2=Retail_DistributionZone)*($AC$46=Retail_CustomerType)*(AC$47=Retail_TariffType)*("Total"=Retail_Description),Retail_PY_VarFees)*(1+CPIPY))*1.1/10</f>
        <v>0</v>
      </c>
      <c r="AE55" s="232"/>
      <c r="AF55" s="233"/>
      <c r="AG55" s="232" cm="1">
        <f t="array" ref="AG55">(_xlfn.XLOOKUP(1,($A$2=Retail_DistributionZone)*($AC$46=Retail_CustomerType)*(AC$47=Retail_TariffType)*("Total"=Retail_Description),Retail_FY_FixedFees)*(1+CPI))*1.1/365*100</f>
        <v>94.511791959662006</v>
      </c>
      <c r="AH55" s="232" cm="1">
        <f t="array" ref="AH55">(_xlfn.XLOOKUP(1,($A$2=Retail_DistributionZone)*($AC$46=Retail_CustomerType)*(AC$47=Retail_TariffType)*("Total"=Retail_Description),Retail_FY_VarFees)*(1+CPI))*1.1/10</f>
        <v>0</v>
      </c>
      <c r="AI55" s="232"/>
      <c r="AJ55" s="232"/>
      <c r="AK55" s="666" cm="1">
        <f t="array" ref="AK55">(_xlfn.XLOOKUP(1,($A$2=Retail_DistributionZone)*($AK$46=Retail_CustomerType)*(AK$50=Retail_TariffType)*("Total"=Retail_Description),Retail_PY_FixedFees)*(1+CPIPY))*1.1/365*100</f>
        <v>0</v>
      </c>
      <c r="AL55" s="666" cm="1">
        <f t="array" ref="AL55">_xlfn.IFNA((_xlfn.XLOOKUP(1,($A$2=Retail_DistributionZone)*($AK$46=Retail_CustomerType)*($AK$47=Retail_TariffType)*("Total"=Retail_Description),Retail_PY_VarFees)*(1+CPIPY)),0)*1.1/10</f>
        <v>0</v>
      </c>
      <c r="AM55" s="666" cm="1">
        <f t="array" ref="AM55">_xlfn.IFNA((_xlfn.XLOOKUP(1,($A$2=Retail_DistributionZone)*($AK$46=Retail_CustomerType)*($AK$47=Retail_TariffType)*("Total"=Retail_Description),Retail_PY_VarFees)*(1+CPIPY)),0)*1.1/10</f>
        <v>0</v>
      </c>
      <c r="AN55" s="666" cm="1">
        <f t="array" ref="AN55">_xlfn.IFNA((_xlfn.XLOOKUP(1,($A$2=Retail_DistributionZone)*($AK$46=Retail_CustomerType)*($AK$47=Retail_TariffType)*("Total"=Retail_Description),Retail_PY_VarFees)*(1+CPIPY)),0)*1.1/10</f>
        <v>0</v>
      </c>
      <c r="AO55" s="235"/>
      <c r="AP55" s="232" cm="1">
        <f t="array" ref="AP55">(_xlfn.XLOOKUP(1,($A$2=Retail_DistributionZone)*($AK$46=Retail_CustomerType)*(AP$50=Retail_TariffType)*("Total"=Retail_Description),Retail_FY_FixedFees)*(1+CPI))*1.1/365*100</f>
        <v>94.511791959662006</v>
      </c>
      <c r="AQ55" s="232" cm="1">
        <f t="array" ref="AQ55">_xlfn.IFNA((_xlfn.XLOOKUP(1,($A$2=Retail_DistributionZone)*($AK$46=Retail_CustomerType)*(AQ$45=Retail_TariffType)*("Total"=Retail_Description),Retail_FY_VarFees)*(1+CPI)),0)*1.1/10</f>
        <v>0</v>
      </c>
      <c r="AR55" s="232" cm="1">
        <f t="array" ref="AR55">_xlfn.IFNA((_xlfn.XLOOKUP(1,($A$2=Retail_DistributionZone)*($AK$46=Retail_CustomerType)*(AR$45=Retail_TariffType)*("Total"=Retail_Description),Retail_FY_VarFees)*(1+CPI)),0)*1.1/10</f>
        <v>0</v>
      </c>
      <c r="AS55" s="232" cm="1">
        <f t="array" ref="AS55">_xlfn.IFNA((_xlfn.XLOOKUP(1,($A$2=Retail_DistributionZone)*($AK$46=Retail_CustomerType)*(AS$45=Retail_TariffType)*("Total"=Retail_Description),Retail_FY_VarFees)*(1+CPI)),0)*1.1/10</f>
        <v>0</v>
      </c>
      <c r="AT55" s="232"/>
      <c r="AV55" s="552" t="s">
        <v>159</v>
      </c>
      <c r="AW55" s="232"/>
      <c r="AX55" s="231" cm="1">
        <f t="array" ref="AX55">((_xlfn.XLOOKUP(1,($A$2=Retail_DistributionZone)*($AX$46=Retail_CustomerType)*($AX$45=Retail_TariffType)*("Total"=Retail_Description),Retail_FY_FixedFees)*(1+CPI))*1.1/365)*100</f>
        <v>90.332924505581104</v>
      </c>
      <c r="AY55" s="231" cm="1">
        <f t="array" ref="AY55">(_xlfn.XLOOKUP(1,($A$2=Retail_DistributionZone)*($AX$46=Retail_CustomerType)*($AX$45=Retail_TariffType)*("Total"=Retail_Description),Retail_FY_VarFees)*(1+CPI))*1.1/10</f>
        <v>0</v>
      </c>
      <c r="AZ55" s="232" cm="1">
        <f t="array" ref="AZ55">_xlfn.IFNA((_xlfn.XLOOKUP(1,($A$2=Retail_DistributionZone)*($AX$46=Retail_CustomerType)*(AZ$45=Retail_TariffType)*("Total"=Retail_Description),Retail_FY_VarFees)*(1+CPI)),0)*1.1/10</f>
        <v>0</v>
      </c>
      <c r="BA55" s="232" cm="1">
        <f t="array" ref="BA55">_xlfn.IFNA((_xlfn.XLOOKUP(1,($A$2=Retail_DistributionZone)*($AX$46=Retail_CustomerType)*(BA$45=Retail_TariffType)*("Total"=Retail_Description),Retail_FY_VarFees)*(1+CPI)),0)*1.1/10</f>
        <v>0</v>
      </c>
      <c r="BB55" s="232"/>
    </row>
    <row r="56" spans="1:56" ht="14.5" thickBot="1" x14ac:dyDescent="0.4">
      <c r="H56" s="201" t="s">
        <v>261</v>
      </c>
      <c r="I56" s="201"/>
      <c r="J56" s="197"/>
      <c r="K56" s="231">
        <f>(SUM(K52:K55)/(1-RetailMargin_RES)-SUM(K52:K55))</f>
        <v>10.636738433524954</v>
      </c>
      <c r="L56" s="231">
        <f>SUM(L52:L55)/(1-RetailMargin_RES)-SUM(L52:L55)</f>
        <v>2.4802137542704372</v>
      </c>
      <c r="M56" s="232"/>
      <c r="N56" s="233"/>
      <c r="O56" s="231">
        <f>SUM(O52:O55)/(1-RetailMargin_RES)-SUM(O52:O55)</f>
        <v>10.803070917291592</v>
      </c>
      <c r="P56" s="231">
        <f>SUM(P52:P55)/(1-RetailMargin_RES)-SUM(P52:P55)</f>
        <v>2.514619260757442</v>
      </c>
      <c r="Q56" s="198"/>
      <c r="S56" s="691">
        <f>(SUM(S52:S55)/(1-RetailMargin_RES)-SUM(S52:S55))</f>
        <v>0</v>
      </c>
      <c r="T56" s="691">
        <f>SUM(T52:T55)/(1-RetailMargin_RES)-SUM(T52:T55)</f>
        <v>0</v>
      </c>
      <c r="U56" s="692">
        <f>SUM(U52:U55)/(1-RetailMargin_RES)-SUM(U52:U55)</f>
        <v>0</v>
      </c>
      <c r="V56" s="692">
        <f>SUM(V52:V55)/(1-RetailMargin_RES)-SUM(V52:V55)</f>
        <v>0</v>
      </c>
      <c r="W56" s="233"/>
      <c r="X56" s="231">
        <f>SUM(X52:X55)/(1-RetailMargin_RES)-SUM(X52:X55)</f>
        <v>10.803070917291592</v>
      </c>
      <c r="Y56" s="231">
        <f>SUM(Y52:Y55)/(1-RetailMargin_RES)-SUM(Y52:Y55)</f>
        <v>3.3733093107456114</v>
      </c>
      <c r="Z56" s="231">
        <f>SUM(Z52:Z55)/(1-RetailMargin_RES)-SUM(Z52:Z55)</f>
        <v>1.9530369143290969</v>
      </c>
      <c r="AA56" s="231">
        <f>SUM(AA52:AA55)/(1-RetailMargin_RES)-SUM(AA52:AA55)</f>
        <v>1.0225839628573574</v>
      </c>
      <c r="AB56" s="232"/>
      <c r="AC56" s="232">
        <f>SUM(AC52:AC55)/(1-RetailMargin_PY_SB)-SUM(AC52:AC55)</f>
        <v>21.184719299822063</v>
      </c>
      <c r="AD56" s="232">
        <f>SUM(AD52:AD55)/(1-RetailMargin_PY_SB)-SUM(AD52:AD55)</f>
        <v>5.3218595916023048</v>
      </c>
      <c r="AE56" s="232"/>
      <c r="AF56" s="233"/>
      <c r="AG56" s="232">
        <f>SUM(AG52:AG55)/(1-RetailMargin_FY_SB)-SUM(AG52:AG55)</f>
        <v>11.134858622560074</v>
      </c>
      <c r="AH56" s="232">
        <f>SUM(AH52:AH55)/(1-RetailMargin_FY_SB)-SUM(AH52:AH55)</f>
        <v>2.690695630716391</v>
      </c>
      <c r="AI56" s="232"/>
      <c r="AJ56" s="232"/>
      <c r="AK56" s="666">
        <f>SUM(AK52:AK55)/(1-RetailMargin_PY_SB)-SUM(AK52:AK55)</f>
        <v>0</v>
      </c>
      <c r="AL56" s="666">
        <f>SUM(AL52:AL55)/(1-RetailMargin_PY_SB)-SUM(AL52:AL55)</f>
        <v>0</v>
      </c>
      <c r="AM56" s="666">
        <f>SUM(AM52:AM55)/(1-RetailMargin_PY_SB)-SUM(AM52:AM55)</f>
        <v>0</v>
      </c>
      <c r="AN56" s="666">
        <f>SUM(AN52:AN55)/(1-RetailMargin_PY_SB)-SUM(AN52:AN55)</f>
        <v>0</v>
      </c>
      <c r="AO56" s="235"/>
      <c r="AP56" s="232">
        <f>SUM(AP52:AP55)/(1-RetailMargin_FY_SB)-SUM(AP52:AP55)</f>
        <v>11.134858622560074</v>
      </c>
      <c r="AQ56" s="232">
        <f>SUM(AQ52:AQ55)/(1-RetailMargin_FY_SB)-SUM(AQ52:AQ55)</f>
        <v>4.5553147631899549</v>
      </c>
      <c r="AR56" s="232">
        <f>SUM(AR52:AR55)/(1-RetailMargin_FY_SB)-SUM(AR52:AR55)</f>
        <v>2.1135034204350234</v>
      </c>
      <c r="AS56" s="232">
        <f>SUM(AS52:AS55)/(1-RetailMargin_FY_SB)-SUM(AS52:AS55)</f>
        <v>2.6173182773821893</v>
      </c>
      <c r="AT56" s="232"/>
      <c r="AV56" s="201" t="s">
        <v>261</v>
      </c>
      <c r="AW56" s="232"/>
      <c r="AX56" s="231">
        <f>SUM(AX52:AX55)/(1-RetailMargin_RES)-SUM(AX52:AX55)</f>
        <v>10.803070917291592</v>
      </c>
      <c r="AY56" s="231">
        <f>SUM(AY52:AY55)/(1-RetailMargin_RES)-SUM(AY52:AY55)</f>
        <v>3.3733093107456114</v>
      </c>
      <c r="AZ56" s="231">
        <f>SUM(AZ52:AZ55)/(1-RetailMargin_RES)-SUM(AZ52:AZ55)</f>
        <v>1.9530369143290969</v>
      </c>
      <c r="BA56" s="231">
        <f>SUM(BA52:BA55)/(1-RetailMargin_RES)-SUM(BA52:BA55)</f>
        <v>1.0225839628573574</v>
      </c>
      <c r="BB56" s="232"/>
    </row>
    <row r="57" spans="1:56" s="296" customFormat="1" ht="15" thickTop="1" thickBot="1" x14ac:dyDescent="0.4">
      <c r="H57" s="294" t="s">
        <v>55</v>
      </c>
      <c r="I57" s="294"/>
      <c r="J57" s="295"/>
      <c r="K57" s="236">
        <f>SUM(K52:K56)</f>
        <v>177.27897389208249</v>
      </c>
      <c r="L57" s="236">
        <f>SUM(L52:L56)</f>
        <v>41.336895904507287</v>
      </c>
      <c r="M57" s="236"/>
      <c r="N57" s="243"/>
      <c r="O57" s="236">
        <f>SUM(O52:O56)</f>
        <v>180.05118195485952</v>
      </c>
      <c r="P57" s="236">
        <f>SUM(P52:P56)</f>
        <v>41.910321012623946</v>
      </c>
      <c r="Q57" s="295"/>
      <c r="S57" s="693">
        <f>SUM(S52:S56)</f>
        <v>0</v>
      </c>
      <c r="T57" s="693">
        <f>SUM(T52:T56)</f>
        <v>0</v>
      </c>
      <c r="U57" s="693">
        <f>SUM(U52:U56)</f>
        <v>0</v>
      </c>
      <c r="V57" s="693">
        <f>SUM(V52:V56)</f>
        <v>0</v>
      </c>
      <c r="W57" s="243"/>
      <c r="X57" s="236">
        <f>SUM(X52:X56)</f>
        <v>180.05118195485952</v>
      </c>
      <c r="Y57" s="236">
        <f>SUM(Y52:Y56)</f>
        <v>56.221821845760175</v>
      </c>
      <c r="Z57" s="236">
        <f>SUM(Z52:Z56)</f>
        <v>32.550615238818288</v>
      </c>
      <c r="AA57" s="236">
        <f>SUM(AA52:AA56)</f>
        <v>17.043066047622624</v>
      </c>
      <c r="AB57" s="236"/>
      <c r="AC57" s="236">
        <f>SUM(AC52:AC56)</f>
        <v>192.58835727110966</v>
      </c>
      <c r="AD57" s="236">
        <f>SUM(AD52:AD56)</f>
        <v>48.380541741839153</v>
      </c>
      <c r="AE57" s="298"/>
      <c r="AF57" s="299"/>
      <c r="AG57" s="236">
        <f>SUM(AG52:AG56)</f>
        <v>185.58097704266763</v>
      </c>
      <c r="AH57" s="236">
        <f>SUM(AH52:AH56)</f>
        <v>44.844927178606504</v>
      </c>
      <c r="AI57" s="236"/>
      <c r="AJ57" s="236"/>
      <c r="AK57" s="667">
        <f>SUM(AK52:AK56)</f>
        <v>0</v>
      </c>
      <c r="AL57" s="667">
        <f>SUM(AL52:AL56)</f>
        <v>0</v>
      </c>
      <c r="AM57" s="667">
        <f>SUM(AM52:AM56)</f>
        <v>0</v>
      </c>
      <c r="AN57" s="667">
        <f>SUM(AN52:AN56)</f>
        <v>0</v>
      </c>
      <c r="AO57" s="298"/>
      <c r="AP57" s="236">
        <f>SUM(AP52:AP56)</f>
        <v>185.58097704266763</v>
      </c>
      <c r="AQ57" s="236">
        <f>SUM(AQ52:AQ56)</f>
        <v>75.921912719832619</v>
      </c>
      <c r="AR57" s="236">
        <f>SUM(AR52:AR56)</f>
        <v>35.225057007250328</v>
      </c>
      <c r="AS57" s="236">
        <f>SUM(AS52:AS56)</f>
        <v>43.621971289703119</v>
      </c>
      <c r="AT57" s="236"/>
      <c r="AV57" s="553" t="s">
        <v>339</v>
      </c>
      <c r="AW57" s="551"/>
      <c r="AX57" s="554" t="s">
        <v>247</v>
      </c>
      <c r="AY57" s="551">
        <f>SSO!$J$36/10</f>
        <v>2.6201556521929623</v>
      </c>
      <c r="AZ57" s="551">
        <f>SSO!$J$35/10</f>
        <v>2.6201556521929623</v>
      </c>
      <c r="BA57" s="551">
        <f>SSO!$J$37/10</f>
        <v>2.6201556521929619</v>
      </c>
      <c r="BB57" s="551"/>
    </row>
    <row r="58" spans="1:56" ht="15" thickTop="1" thickBot="1" x14ac:dyDescent="0.4">
      <c r="H58" s="205"/>
      <c r="I58" s="205"/>
      <c r="J58" s="206"/>
      <c r="K58" s="237"/>
      <c r="L58" s="237"/>
      <c r="M58" s="207"/>
      <c r="N58" s="207"/>
      <c r="O58" s="237"/>
      <c r="P58" s="237"/>
      <c r="Q58" s="207"/>
      <c r="S58" s="207"/>
      <c r="T58" s="237"/>
      <c r="U58" s="237"/>
      <c r="V58" s="207"/>
      <c r="W58" s="207"/>
      <c r="X58" s="237"/>
      <c r="Y58" s="237"/>
      <c r="Z58" s="207"/>
      <c r="AA58" s="207"/>
      <c r="AB58" s="207"/>
      <c r="AC58" s="207"/>
      <c r="AD58" s="207"/>
      <c r="AE58" s="207"/>
      <c r="AF58" s="207"/>
      <c r="AG58" s="207"/>
      <c r="AH58" s="206"/>
      <c r="AI58" s="207"/>
      <c r="AJ58" s="207"/>
      <c r="AK58" s="206"/>
      <c r="AL58" s="206"/>
      <c r="AM58" s="206"/>
      <c r="AN58" s="206"/>
      <c r="AO58" s="206"/>
      <c r="AP58" s="206"/>
      <c r="AQ58" s="206"/>
      <c r="AR58" s="207"/>
      <c r="AS58" s="207"/>
      <c r="AT58" s="206"/>
      <c r="AV58" s="206" t="s">
        <v>55</v>
      </c>
      <c r="AW58" s="206"/>
      <c r="AX58" s="812">
        <f>SUM(AX52:AX57)</f>
        <v>180.05118195485952</v>
      </c>
      <c r="AY58" s="812">
        <f>SUM(AY52:AY57)</f>
        <v>58.841977497953138</v>
      </c>
      <c r="AZ58" s="812">
        <f t="shared" ref="AZ58:BA58" si="5">SUM(AZ52:AZ57)</f>
        <v>35.170770891011252</v>
      </c>
      <c r="BA58" s="812">
        <f t="shared" si="5"/>
        <v>19.663221699815587</v>
      </c>
      <c r="BB58" s="206"/>
    </row>
    <row r="59" spans="1:56" s="585" customFormat="1" ht="14.5" thickTop="1" x14ac:dyDescent="0.35">
      <c r="A59" s="697" t="s">
        <v>380</v>
      </c>
      <c r="C59" s="160"/>
      <c r="D59" s="160"/>
      <c r="E59" s="160"/>
      <c r="F59" s="160"/>
      <c r="G59" s="160"/>
      <c r="H59" s="160">
        <v>1</v>
      </c>
      <c r="I59" s="160">
        <v>2</v>
      </c>
      <c r="J59" s="160">
        <v>3</v>
      </c>
      <c r="K59" s="160">
        <v>4</v>
      </c>
      <c r="L59" s="160">
        <v>5</v>
      </c>
      <c r="M59" s="160">
        <f>L59+1</f>
        <v>6</v>
      </c>
      <c r="N59" s="160">
        <f t="shared" ref="N59:AS59" si="6">M59+1</f>
        <v>7</v>
      </c>
      <c r="O59" s="160">
        <f t="shared" si="6"/>
        <v>8</v>
      </c>
      <c r="P59" s="160">
        <f t="shared" si="6"/>
        <v>9</v>
      </c>
      <c r="Q59" s="160">
        <f t="shared" si="6"/>
        <v>10</v>
      </c>
      <c r="R59" s="160">
        <f t="shared" si="6"/>
        <v>11</v>
      </c>
      <c r="S59" s="160">
        <f t="shared" si="6"/>
        <v>12</v>
      </c>
      <c r="T59" s="160">
        <f t="shared" si="6"/>
        <v>13</v>
      </c>
      <c r="U59" s="160">
        <f t="shared" si="6"/>
        <v>14</v>
      </c>
      <c r="V59" s="160">
        <f t="shared" si="6"/>
        <v>15</v>
      </c>
      <c r="W59" s="160">
        <f t="shared" si="6"/>
        <v>16</v>
      </c>
      <c r="X59" s="160">
        <f t="shared" si="6"/>
        <v>17</v>
      </c>
      <c r="Y59" s="160">
        <f t="shared" si="6"/>
        <v>18</v>
      </c>
      <c r="Z59" s="160">
        <f t="shared" si="6"/>
        <v>19</v>
      </c>
      <c r="AA59" s="160">
        <f t="shared" si="6"/>
        <v>20</v>
      </c>
      <c r="AB59" s="160">
        <f t="shared" si="6"/>
        <v>21</v>
      </c>
      <c r="AC59" s="160">
        <f t="shared" si="6"/>
        <v>22</v>
      </c>
      <c r="AD59" s="160">
        <f t="shared" si="6"/>
        <v>23</v>
      </c>
      <c r="AE59" s="160">
        <f t="shared" si="6"/>
        <v>24</v>
      </c>
      <c r="AF59" s="160">
        <f t="shared" si="6"/>
        <v>25</v>
      </c>
      <c r="AG59" s="160">
        <f t="shared" si="6"/>
        <v>26</v>
      </c>
      <c r="AH59" s="160">
        <f t="shared" si="6"/>
        <v>27</v>
      </c>
      <c r="AI59" s="160">
        <f t="shared" si="6"/>
        <v>28</v>
      </c>
      <c r="AJ59" s="160">
        <f t="shared" si="6"/>
        <v>29</v>
      </c>
      <c r="AK59" s="160">
        <f t="shared" si="6"/>
        <v>30</v>
      </c>
      <c r="AL59" s="160">
        <f t="shared" si="6"/>
        <v>31</v>
      </c>
      <c r="AM59" s="160">
        <f t="shared" si="6"/>
        <v>32</v>
      </c>
      <c r="AN59" s="160">
        <f t="shared" si="6"/>
        <v>33</v>
      </c>
      <c r="AO59" s="160">
        <f t="shared" si="6"/>
        <v>34</v>
      </c>
      <c r="AP59" s="160">
        <f t="shared" si="6"/>
        <v>35</v>
      </c>
      <c r="AQ59" s="160">
        <f t="shared" si="6"/>
        <v>36</v>
      </c>
      <c r="AR59" s="160">
        <f t="shared" si="6"/>
        <v>37</v>
      </c>
      <c r="AS59" s="160">
        <f t="shared" si="6"/>
        <v>38</v>
      </c>
      <c r="AT59" s="160"/>
      <c r="AU59" s="160"/>
      <c r="AV59" s="160"/>
      <c r="AW59" s="160"/>
      <c r="AX59" s="160"/>
      <c r="AY59" s="160"/>
      <c r="AZ59" s="160"/>
      <c r="BA59" s="160"/>
      <c r="BB59" s="160"/>
      <c r="BC59" s="160"/>
      <c r="BD59" s="160"/>
    </row>
    <row r="60" spans="1:56" s="585" customFormat="1" x14ac:dyDescent="0.35">
      <c r="A60" s="697" t="s">
        <v>380</v>
      </c>
      <c r="C60" s="160"/>
      <c r="D60" s="160"/>
      <c r="E60" s="160"/>
      <c r="F60" s="160"/>
      <c r="G60" s="160"/>
      <c r="H60" s="160"/>
      <c r="I60" s="160"/>
      <c r="J60" s="160" t="s">
        <v>275</v>
      </c>
      <c r="K60" s="160"/>
      <c r="L60" s="160" cm="1">
        <f t="array" ref="L60">_xlfn.XLOOKUP(1,($A$2=Wholesale_DistributionZone)*(K46=Wholesale_CustomerType)*(K$47=Wholesale_TariffType),Wholesale_Usage)</f>
        <v>4000</v>
      </c>
      <c r="M60" s="160"/>
      <c r="N60" s="160"/>
      <c r="O60" s="160"/>
      <c r="P60" s="160" cm="1">
        <f t="array" ref="P60">_xlfn.XLOOKUP(1,($A$2=Wholesale_DistributionZone)*(K46=Wholesale_CustomerType)*(K$47=Wholesale_TariffType),Wholesale_Usage)</f>
        <v>4000</v>
      </c>
      <c r="Q60" s="160"/>
      <c r="R60" s="160"/>
      <c r="S60" s="160"/>
      <c r="T60" s="160" cm="1">
        <f t="array" ref="T60">_xlfn.XLOOKUP(1,($A$2=Wholesale_DistributionZone)*($T$46=Wholesale_CustomerType)*(T$45=Wholesale_TariffType),Wholesale_Usage)</f>
        <v>2054.6441546346314</v>
      </c>
      <c r="U60" s="160" cm="1">
        <f t="array" ref="U60">_xlfn.XLOOKUP(1,($A$2=Wholesale_DistributionZone)*($T$46=Wholesale_CustomerType)*(U$45=Wholesale_TariffType),Wholesale_Usage)</f>
        <v>849.83914277723261</v>
      </c>
      <c r="V60" s="160" cm="1">
        <f t="array" ref="V60">_xlfn.XLOOKUP(1,($A$2=Wholesale_DistributionZone)*($T$46=Wholesale_CustomerType)*(V$45=Wholesale_TariffType),Wholesale_Usage)</f>
        <v>1095.5167025881362</v>
      </c>
      <c r="W60" s="160"/>
      <c r="X60" s="160"/>
      <c r="Y60" s="160" cm="1">
        <f t="array" ref="Y60">_xlfn.XLOOKUP(1,($A$2=Wholesale_DistributionZone)*($T$46=Wholesale_CustomerType)*(Y$45=Wholesale_TariffType),Wholesale_Usage)</f>
        <v>2054.6441546346314</v>
      </c>
      <c r="Z60" s="160" cm="1">
        <f t="array" ref="Z60">_xlfn.XLOOKUP(1,($A$2=Wholesale_DistributionZone)*($T$46=Wholesale_CustomerType)*(Z$45=Wholesale_TariffType),Wholesale_Usage)</f>
        <v>849.83914277723261</v>
      </c>
      <c r="AA60" s="160" cm="1">
        <f t="array" ref="AA60">_xlfn.XLOOKUP(1,($A$2=Wholesale_DistributionZone)*($T$46=Wholesale_CustomerType)*(AA$45=Wholesale_TariffType),Wholesale_Usage)</f>
        <v>1095.5167025881362</v>
      </c>
      <c r="AB60" s="160"/>
      <c r="AC60" s="160"/>
      <c r="AD60" s="160" cm="1">
        <f t="array" ref="AD60">_xlfn.XLOOKUP(1,($A$2=Wholesale_DistributionZone)*(AC46=Wholesale_CustomerType)*(AC$47=Wholesale_TariffType),Wholesale_Usage)</f>
        <v>10000</v>
      </c>
      <c r="AE60" s="160"/>
      <c r="AF60" s="160"/>
      <c r="AG60" s="160"/>
      <c r="AH60" s="160" cm="1">
        <f t="array" ref="AH60">_xlfn.XLOOKUP(1,($A$2=Wholesale_DistributionZone)*(AC46=Wholesale_CustomerType)*(AC$47=Wholesale_TariffType),Wholesale_Usage)</f>
        <v>10000</v>
      </c>
      <c r="AI60" s="160"/>
      <c r="AJ60" s="160"/>
      <c r="AK60" s="160"/>
      <c r="AL60" s="160" cm="1">
        <f t="array" ref="AL60">_xlfn.XLOOKUP(1,($A$2=Wholesale_DistributionZone)*($T$46=Wholesale_CustomerType)*(AL$45=Wholesale_TariffType),Wholesale_Usage)</f>
        <v>2054.6441546346314</v>
      </c>
      <c r="AM60" s="160" cm="1">
        <f t="array" ref="AM60">_xlfn.XLOOKUP(1,($A$2=Wholesale_DistributionZone)*($T$46=Wholesale_CustomerType)*(AM$45=Wholesale_TariffType),Wholesale_Usage)</f>
        <v>849.83914277723261</v>
      </c>
      <c r="AN60" s="160" cm="1">
        <f t="array" ref="AN60">_xlfn.XLOOKUP(1,($A$2=Wholesale_DistributionZone)*($T$46=Wholesale_CustomerType)*(AN$45=Wholesale_TariffType),Wholesale_Usage)</f>
        <v>1095.5167025881362</v>
      </c>
      <c r="AO60" s="160"/>
      <c r="AP60" s="160"/>
      <c r="AQ60" s="160" cm="1">
        <f t="array" ref="AQ60">_xlfn.XLOOKUP(1,($A$2=Wholesale_DistributionZone)*($AK$46=Wholesale_CustomerType)*(AQ$45=Wholesale_TariffType),Wholesale_Usage)</f>
        <v>818.79677302339985</v>
      </c>
      <c r="AR60" s="160" cm="1">
        <f t="array" ref="AR60">_xlfn.XLOOKUP(1,($A$2=Wholesale_DistributionZone)*($AK$46=Wholesale_CustomerType)*(AR$45=Wholesale_TariffType),Wholesale_Usage)</f>
        <v>5197.5109421105981</v>
      </c>
      <c r="AS60" s="160" cm="1">
        <f t="array" ref="AS60">_xlfn.XLOOKUP(1,($A$2=Wholesale_DistributionZone)*($AK$46=Wholesale_CustomerType)*(AS$45=Wholesale_TariffType),Wholesale_Usage)</f>
        <v>3983.692284866001</v>
      </c>
      <c r="AT60" s="160"/>
      <c r="AU60" s="160"/>
      <c r="AV60" s="160"/>
      <c r="AW60" s="160"/>
      <c r="AX60" s="160"/>
      <c r="AY60" s="160"/>
      <c r="AZ60" s="160"/>
      <c r="BA60" s="160"/>
      <c r="BB60" s="160"/>
      <c r="BC60" s="160"/>
      <c r="BD60" s="160"/>
    </row>
    <row r="61" spans="1:56" s="585" customFormat="1" x14ac:dyDescent="0.35">
      <c r="A61" s="697" t="s">
        <v>380</v>
      </c>
      <c r="C61" s="160"/>
      <c r="D61" s="160"/>
      <c r="E61" s="160"/>
      <c r="F61" s="160"/>
      <c r="G61" s="160"/>
      <c r="H61" s="160"/>
      <c r="I61" s="160"/>
      <c r="J61" s="160" t="s">
        <v>273</v>
      </c>
      <c r="K61" s="160">
        <f>K57*365</f>
        <v>64706.825470610107</v>
      </c>
      <c r="L61" s="160">
        <f>L57*L60</f>
        <v>165347.58361802914</v>
      </c>
      <c r="M61" s="160"/>
      <c r="N61" s="160"/>
      <c r="O61" s="160">
        <f>O57*365</f>
        <v>65718.681413523722</v>
      </c>
      <c r="P61" s="160">
        <f>P57*P60</f>
        <v>167641.28405049577</v>
      </c>
      <c r="Q61" s="160"/>
      <c r="R61" s="160" t="s">
        <v>273</v>
      </c>
      <c r="S61" s="160">
        <f>S57*365</f>
        <v>0</v>
      </c>
      <c r="T61" s="160">
        <f>T57*T60</f>
        <v>0</v>
      </c>
      <c r="U61" s="160">
        <f>U57*U60</f>
        <v>0</v>
      </c>
      <c r="V61" s="160">
        <f>V57*V60</f>
        <v>0</v>
      </c>
      <c r="W61" s="160">
        <f>W57*W60</f>
        <v>0</v>
      </c>
      <c r="X61" s="160">
        <f>X57*365</f>
        <v>65718.681413523722</v>
      </c>
      <c r="Y61" s="160">
        <f>Y57*Y60</f>
        <v>115515.83761830076</v>
      </c>
      <c r="Z61" s="160">
        <f>Z57*Z60</f>
        <v>27662.786951428858</v>
      </c>
      <c r="AA61" s="160">
        <f>AA57*AA60</f>
        <v>18670.963518483357</v>
      </c>
      <c r="AB61" s="160">
        <f>AB57*AB60</f>
        <v>0</v>
      </c>
      <c r="AC61" s="160">
        <f>AC57*365</f>
        <v>70294.750403955026</v>
      </c>
      <c r="AD61" s="160">
        <f>AD57*AD60</f>
        <v>483805.4174183915</v>
      </c>
      <c r="AE61" s="160">
        <f>AE57*AE60</f>
        <v>0</v>
      </c>
      <c r="AF61" s="160"/>
      <c r="AG61" s="160">
        <f>AG57*365</f>
        <v>67737.056620573683</v>
      </c>
      <c r="AH61" s="160">
        <f>AH57*AH60</f>
        <v>448449.27178606502</v>
      </c>
      <c r="AI61" s="160"/>
      <c r="AJ61" s="160"/>
      <c r="AK61" s="160">
        <f>AK57*365</f>
        <v>0</v>
      </c>
      <c r="AL61" s="160">
        <f>AL57*AL60</f>
        <v>0</v>
      </c>
      <c r="AM61" s="160">
        <f>AM57*AM60</f>
        <v>0</v>
      </c>
      <c r="AN61" s="160">
        <f>AN57*AN60</f>
        <v>0</v>
      </c>
      <c r="AO61" s="160"/>
      <c r="AP61" s="160">
        <f>AP57*365</f>
        <v>67737.056620573683</v>
      </c>
      <c r="AQ61" s="160">
        <f>AQ57*AQ60</f>
        <v>62164.617136763161</v>
      </c>
      <c r="AR61" s="160">
        <f>AR57*AR60</f>
        <v>183082.61923165317</v>
      </c>
      <c r="AS61" s="160">
        <f>AS57*AS60</f>
        <v>173776.5104774365</v>
      </c>
      <c r="AT61" s="160">
        <f>AT57*365</f>
        <v>0</v>
      </c>
      <c r="AU61" s="160"/>
      <c r="AV61" s="160"/>
      <c r="AW61" s="160"/>
      <c r="AX61" s="160"/>
      <c r="AY61" s="160"/>
      <c r="AZ61" s="160"/>
      <c r="BA61" s="160"/>
      <c r="BB61" s="160"/>
      <c r="BC61" s="160"/>
      <c r="BD61" s="160"/>
    </row>
    <row r="62" spans="1:56" s="585" customFormat="1" x14ac:dyDescent="0.35">
      <c r="A62" s="697" t="s">
        <v>380</v>
      </c>
      <c r="C62" s="160"/>
      <c r="D62" s="160"/>
      <c r="E62" s="160"/>
      <c r="F62" s="160"/>
      <c r="G62" s="160"/>
      <c r="H62" s="160"/>
      <c r="I62" s="160"/>
      <c r="J62" s="160" t="s">
        <v>373</v>
      </c>
      <c r="K62" s="160">
        <f>SUM(K61:L61)/100</f>
        <v>2300.5440908863925</v>
      </c>
      <c r="L62" s="160"/>
      <c r="M62" s="160"/>
      <c r="N62" s="160"/>
      <c r="O62" s="160">
        <f>SUM(O61:P61)/100</f>
        <v>2333.5996546401952</v>
      </c>
      <c r="P62" s="160"/>
      <c r="Q62" s="160"/>
      <c r="R62" s="160" t="s">
        <v>274</v>
      </c>
      <c r="S62" s="160">
        <f>SUM(S61:Y61)/100</f>
        <v>1812.3451903182449</v>
      </c>
      <c r="T62" s="160"/>
      <c r="U62" s="160"/>
      <c r="V62" s="160"/>
      <c r="W62" s="160"/>
      <c r="X62" s="160">
        <f>SUM(X61:AA61)/100</f>
        <v>2275.6826950173672</v>
      </c>
      <c r="Y62" s="160"/>
      <c r="Z62" s="160"/>
      <c r="AA62" s="160"/>
      <c r="AB62" s="160"/>
      <c r="AC62" s="160">
        <f>SUM(AC61:AD61)/100</f>
        <v>5541.0016782234652</v>
      </c>
      <c r="AD62" s="160"/>
      <c r="AE62" s="160"/>
      <c r="AF62" s="160"/>
      <c r="AG62" s="160">
        <f>SUM(AG61:AH61)/100</f>
        <v>5161.8632840663868</v>
      </c>
      <c r="AH62" s="160"/>
      <c r="AI62" s="160"/>
      <c r="AJ62" s="160"/>
      <c r="AK62" s="160">
        <f>SUM(AK61:AQ61)/100</f>
        <v>1299.0167375733683</v>
      </c>
      <c r="AL62" s="160"/>
      <c r="AM62" s="160"/>
      <c r="AN62" s="160"/>
      <c r="AO62" s="160"/>
      <c r="AP62" s="160">
        <f>SUM(AP61:AT61)/100</f>
        <v>4867.6080346642657</v>
      </c>
      <c r="AQ62" s="160"/>
      <c r="AR62" s="160"/>
      <c r="AS62" s="160"/>
      <c r="AT62" s="160"/>
      <c r="AU62" s="160"/>
      <c r="AV62" s="160"/>
      <c r="AW62" s="160"/>
      <c r="AX62" s="160"/>
      <c r="AY62" s="160"/>
      <c r="AZ62" s="160"/>
      <c r="BA62" s="160"/>
      <c r="BB62" s="160"/>
      <c r="BC62" s="160"/>
      <c r="BD62" s="160"/>
    </row>
    <row r="63" spans="1:56" s="160" customFormat="1" x14ac:dyDescent="0.35">
      <c r="AP63" s="66"/>
    </row>
    <row r="64" spans="1:56" x14ac:dyDescent="0.35">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66"/>
      <c r="AT64" s="160"/>
      <c r="AU64" s="160"/>
      <c r="AV64" s="160"/>
    </row>
    <row r="65" spans="7:48" s="228" customFormat="1" x14ac:dyDescent="0.35">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row>
    <row r="66" spans="7:48" x14ac:dyDescent="0.35">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row>
    <row r="67" spans="7:48" x14ac:dyDescent="0.35">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row>
    <row r="68" spans="7:48" x14ac:dyDescent="0.35">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row>
    <row r="69" spans="7:48" x14ac:dyDescent="0.35">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row>
    <row r="70" spans="7:48" x14ac:dyDescent="0.35">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row>
    <row r="71" spans="7:48" x14ac:dyDescent="0.35">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row>
    <row r="72" spans="7:48" s="64" customFormat="1" x14ac:dyDescent="0.35">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row>
    <row r="73" spans="7:48" x14ac:dyDescent="0.35">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row>
    <row r="74" spans="7:48" x14ac:dyDescent="0.35">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row>
    <row r="75" spans="7:48" s="218" customFormat="1" x14ac:dyDescent="0.35"/>
    <row r="76" spans="7:48" s="218" customFormat="1" x14ac:dyDescent="0.35"/>
    <row r="77" spans="7:48" s="218" customFormat="1" x14ac:dyDescent="0.35"/>
    <row r="78" spans="7:48" s="272" customFormat="1" x14ac:dyDescent="0.35"/>
  </sheetData>
  <sheetProtection algorithmName="SHA-256" hashValue="54g0PZ2AOj/A5geMZkdLJf6wTquH/3h8MeEUVtT/9nY=" saltValue="3/mNyGBJg8dEG4/3zW70Xg==" spinCount="100000" sheet="1" autoFilter="0"/>
  <mergeCells count="43">
    <mergeCell ref="U49:V49"/>
    <mergeCell ref="Y49:Z49"/>
    <mergeCell ref="AL49:AN49"/>
    <mergeCell ref="AQ49:AS49"/>
    <mergeCell ref="K48:L48"/>
    <mergeCell ref="O48:P48"/>
    <mergeCell ref="T48:U48"/>
    <mergeCell ref="X48:Y48"/>
    <mergeCell ref="AC48:AD48"/>
    <mergeCell ref="K46:P46"/>
    <mergeCell ref="T46:Y46"/>
    <mergeCell ref="AC46:AH46"/>
    <mergeCell ref="AK46:AS46"/>
    <mergeCell ref="K47:P47"/>
    <mergeCell ref="T47:Y47"/>
    <mergeCell ref="AC47:AH47"/>
    <mergeCell ref="AK47:AS47"/>
    <mergeCell ref="A1:B1"/>
    <mergeCell ref="B6:B7"/>
    <mergeCell ref="H29:H33"/>
    <mergeCell ref="J29:Q29"/>
    <mergeCell ref="S29:Z29"/>
    <mergeCell ref="N31:Q31"/>
    <mergeCell ref="T31:U31"/>
    <mergeCell ref="W31:Z31"/>
    <mergeCell ref="J30:Q30"/>
    <mergeCell ref="S30:Z30"/>
    <mergeCell ref="K31:L31"/>
    <mergeCell ref="AX46:BA46"/>
    <mergeCell ref="AX47:BA47"/>
    <mergeCell ref="AX48:BA48"/>
    <mergeCell ref="AY49:AZ49"/>
    <mergeCell ref="AB29:AI29"/>
    <mergeCell ref="AB30:AI30"/>
    <mergeCell ref="AC31:AD31"/>
    <mergeCell ref="AF31:AI31"/>
    <mergeCell ref="AK29:AR29"/>
    <mergeCell ref="AK30:AR30"/>
    <mergeCell ref="AL31:AM31"/>
    <mergeCell ref="AO31:AR31"/>
    <mergeCell ref="AG48:AH48"/>
    <mergeCell ref="AK48:AN48"/>
    <mergeCell ref="AP48:AS48"/>
  </mergeCells>
  <conditionalFormatting sqref="H58:P58 S51:Y58 Z51:AA53 H51:Q57 Z57:AA57">
    <cfRule type="expression" dxfId="956" priority="63">
      <formula>AND(MOD(ROW(),2)=0,H$32="Proportion",$H51="Overall change in costs (%)")</formula>
    </cfRule>
  </conditionalFormatting>
  <conditionalFormatting sqref="H51:Q58">
    <cfRule type="expression" dxfId="955" priority="62">
      <formula>MOD(ROW(),2)=0</formula>
    </cfRule>
  </conditionalFormatting>
  <conditionalFormatting sqref="H34:AR39 H40:O40 R40:X40 AA40:AG40 AJ40:AP40">
    <cfRule type="expression" dxfId="954" priority="348">
      <formula>AND(MOD(ROW(),1)=0,H$32="Proportion",$H34="Overall change in costs (%)")</formula>
    </cfRule>
    <cfRule type="expression" dxfId="953" priority="347">
      <formula>AND(MOD(ROW(),2)=0,H$32="Proportion",$H34="Overall change in costs (%)")</formula>
    </cfRule>
  </conditionalFormatting>
  <conditionalFormatting sqref="H34:AS40">
    <cfRule type="expression" dxfId="952" priority="47">
      <formula>MOD(ROW(),2)=0</formula>
    </cfRule>
  </conditionalFormatting>
  <conditionalFormatting sqref="P40 Y40">
    <cfRule type="expression" dxfId="951" priority="353">
      <formula>AND(MOD(ROW(),2)=0,#REF!="Proportion",$H40="Overall change in costs (%)")</formula>
    </cfRule>
    <cfRule type="expression" dxfId="950" priority="354">
      <formula>AND(MOD(ROW(),1)=0,#REF!="Proportion",$H40="Overall change in costs (%)")</formula>
    </cfRule>
  </conditionalFormatting>
  <conditionalFormatting sqref="P58">
    <cfRule type="expression" dxfId="949" priority="61">
      <formula>AND(MOD(ROW(),1)=0,#REF!="Proportion",$H58="Overall change in costs (%)")</formula>
    </cfRule>
    <cfRule type="expression" dxfId="948" priority="60">
      <formula>AND(MOD(ROW(),2)=0,#REF!="Proportion",$H58="Overall change in costs (%)")</formula>
    </cfRule>
  </conditionalFormatting>
  <conditionalFormatting sqref="Q40 Z40 AI40 AR40">
    <cfRule type="expression" dxfId="947" priority="351">
      <formula>AND(MOD(ROW(),1)=0,P$32="Proportion",$H40="Overall change in costs (%)")</formula>
    </cfRule>
    <cfRule type="expression" dxfId="946" priority="350">
      <formula>AND(MOD(ROW(),2)=0,P$32="Proportion",$H40="Overall change in costs (%)")</formula>
    </cfRule>
  </conditionalFormatting>
  <conditionalFormatting sqref="Q58">
    <cfRule type="expression" dxfId="945" priority="66">
      <formula>AND(MOD(ROW(),1)=0,P$32="Proportion",$H58="Overall change in costs (%)")</formula>
    </cfRule>
    <cfRule type="expression" dxfId="944" priority="65">
      <formula>AND(MOD(ROW(),2)=0,P$32="Proportion",$H58="Overall change in costs (%)")</formula>
    </cfRule>
  </conditionalFormatting>
  <conditionalFormatting sqref="S52:S57">
    <cfRule type="expression" dxfId="943" priority="93">
      <formula>AND(MOD(ROW(),1)=0,#REF!="Proportion",$H52="Overall change in costs (%)")</formula>
    </cfRule>
    <cfRule type="expression" dxfId="942" priority="92">
      <formula>AND(MOD(ROW(),2)=0,#REF!="Proportion",$H52="Overall change in costs (%)")</formula>
    </cfRule>
  </conditionalFormatting>
  <conditionalFormatting sqref="S51:U57">
    <cfRule type="expression" dxfId="941" priority="57">
      <formula>MOD(ROW(),2)=0</formula>
    </cfRule>
  </conditionalFormatting>
  <conditionalFormatting sqref="S51:AT58">
    <cfRule type="expression" dxfId="940" priority="50">
      <formula>MOD(ROW(),2)=0</formula>
    </cfRule>
  </conditionalFormatting>
  <conditionalFormatting sqref="Y58">
    <cfRule type="expression" dxfId="939" priority="55">
      <formula>AND(MOD(ROW(),2)=0,#REF!="Proportion",$H58="Overall change in costs (%)")</formula>
    </cfRule>
    <cfRule type="expression" dxfId="938" priority="56">
      <formula>AND(MOD(ROW(),1)=0,#REF!="Proportion",$H58="Overall change in costs (%)")</formula>
    </cfRule>
  </conditionalFormatting>
  <conditionalFormatting sqref="Z51:AA53 H51:Q57 S51:Y58 Z57:AA57 H58:P58">
    <cfRule type="expression" dxfId="937" priority="64">
      <formula>AND(MOD(ROW(),1)=0,H$32="Proportion",$H51="Overall change in costs (%)")</formula>
    </cfRule>
  </conditionalFormatting>
  <conditionalFormatting sqref="Z52:AA56 AG51:AN51 AC51:AD51 AP51:AT51 Z58">
    <cfRule type="expression" dxfId="936" priority="70">
      <formula>AND(MOD(ROW(),1)=0,X$32="Proportion",$H51="Overall change in costs (%)")</formula>
    </cfRule>
  </conditionalFormatting>
  <conditionalFormatting sqref="AA58:AB58">
    <cfRule type="expression" dxfId="935" priority="95">
      <formula>AND(MOD(ROW(),2)=0,X$32="Proportion",$H58="Overall change in costs (%)")</formula>
    </cfRule>
    <cfRule type="expression" dxfId="934" priority="94">
      <formula>AND(MOD(ROW(),1)=0,X$32="Proportion",$H58="Overall change in costs (%)")</formula>
    </cfRule>
  </conditionalFormatting>
  <conditionalFormatting sqref="AB51 AI51">
    <cfRule type="expression" dxfId="933" priority="67">
      <formula>AND(MOD(ROW(),1)=0,AA$32="Proportion",$H51="Overall change in costs (%)")</formula>
    </cfRule>
    <cfRule type="expression" dxfId="932" priority="58">
      <formula>AND(MOD(ROW(),2)=0,AA$32="Proportion",$H51="Overall change in costs (%)")</formula>
    </cfRule>
  </conditionalFormatting>
  <conditionalFormatting sqref="AB52:AB57">
    <cfRule type="expression" dxfId="931" priority="72">
      <formula>AND(MOD(ROW(),1)=0,W$32="Proportion",$H52="Overall change in costs (%)")</formula>
    </cfRule>
    <cfRule type="expression" dxfId="930" priority="73">
      <formula>AND(MOD(ROW(),2)=0,W$32="Proportion",$H52="Overall change in costs (%)")</formula>
    </cfRule>
  </conditionalFormatting>
  <conditionalFormatting sqref="AC51:AD51 AG51:AN51 AP51:AT51 Z52:AA56 Z58">
    <cfRule type="expression" dxfId="929" priority="71">
      <formula>AND(MOD(ROW(),2)=0,X$32="Proportion",$H51="Overall change in costs (%)")</formula>
    </cfRule>
  </conditionalFormatting>
  <conditionalFormatting sqref="AE51:AF51 AC52:AH57 AT52:AT57 AC58:AG58">
    <cfRule type="expression" dxfId="928" priority="76">
      <formula>AND(MOD(ROW(),1)=0,S$32="Proportion",$H51="Overall change in costs (%)")</formula>
    </cfRule>
    <cfRule type="expression" dxfId="927" priority="77">
      <formula>AND(MOD(ROW(),2)=0,S$32="Proportion",$H51="Overall change in costs (%)")</formula>
    </cfRule>
  </conditionalFormatting>
  <conditionalFormatting sqref="AH40">
    <cfRule type="expression" dxfId="926" priority="287">
      <formula>AND(MOD(ROW(),1)=0,#REF!="Proportion",$H40="Overall change in costs (%)")</formula>
    </cfRule>
    <cfRule type="expression" dxfId="925" priority="286">
      <formula>AND(MOD(ROW(),2)=0,#REF!="Proportion",$H40="Overall change in costs (%)")</formula>
    </cfRule>
  </conditionalFormatting>
  <conditionalFormatting sqref="AH58">
    <cfRule type="expression" dxfId="924" priority="53">
      <formula>AND(MOD(ROW(),2)=0,G$32="Proportion",$H58="Overall change in costs (%)")</formula>
    </cfRule>
    <cfRule type="expression" dxfId="923" priority="54">
      <formula>AND(MOD(ROW(),1)=0,G$32="Proportion",$H58="Overall change in costs (%)")</formula>
    </cfRule>
  </conditionalFormatting>
  <conditionalFormatting sqref="AI52:AJ57">
    <cfRule type="expression" dxfId="922" priority="75">
      <formula>AND(MOD(ROW(),2)=0,Z$32="Proportion",$H52="Overall change in costs (%)")</formula>
    </cfRule>
    <cfRule type="expression" dxfId="921" priority="74">
      <formula>AND(MOD(ROW(),1)=0,Z$32="Proportion",$H52="Overall change in costs (%)")</formula>
    </cfRule>
  </conditionalFormatting>
  <conditionalFormatting sqref="AI58:AJ58">
    <cfRule type="expression" dxfId="920" priority="82">
      <formula>AND(MOD(ROW(),1)=0,AE$32="Proportion",$H58="Overall change in costs (%)")</formula>
    </cfRule>
    <cfRule type="expression" dxfId="919" priority="83">
      <formula>AND(MOD(ROW(),2)=0,AE$32="Proportion",$H58="Overall change in costs (%)")</formula>
    </cfRule>
  </conditionalFormatting>
  <conditionalFormatting sqref="AK58:AS58">
    <cfRule type="expression" dxfId="918" priority="51">
      <formula>AND(MOD(ROW(),2)=0,I$32="Proportion",$H58="Overall change in costs (%)")</formula>
    </cfRule>
    <cfRule type="expression" dxfId="917" priority="52">
      <formula>AND(MOD(ROW(),1)=0,I$32="Proportion",$H58="Overall change in costs (%)")</formula>
    </cfRule>
  </conditionalFormatting>
  <conditionalFormatting sqref="AM52:AO57">
    <cfRule type="expression" dxfId="916" priority="85">
      <formula>AND(MOD(ROW(),2)=0,AA$32="Proportion",$H52="Overall change in costs (%)")</formula>
    </cfRule>
    <cfRule type="expression" dxfId="915" priority="84">
      <formula>AND(MOD(ROW(),1)=0,AA$32="Proportion",$H52="Overall change in costs (%)")</formula>
    </cfRule>
  </conditionalFormatting>
  <conditionalFormatting sqref="AO51 AK52:AL57 AN52:AO57">
    <cfRule type="expression" dxfId="914" priority="79">
      <formula>AND(MOD(ROW(),2)=0,Z$32="Proportion",$H51="Overall change in costs (%)")</formula>
    </cfRule>
    <cfRule type="expression" dxfId="913" priority="78">
      <formula>AND(MOD(ROW(),1)=0,Z$32="Proportion",$H51="Overall change in costs (%)")</formula>
    </cfRule>
  </conditionalFormatting>
  <conditionalFormatting sqref="AP52:AS57">
    <cfRule type="expression" dxfId="912" priority="87">
      <formula>AND(MOD(ROW(),2)=0,AC$32="Proportion",$H52="Overall change in costs (%)")</formula>
    </cfRule>
    <cfRule type="expression" dxfId="911" priority="86">
      <formula>AND(MOD(ROW(),1)=0,AC$32="Proportion",$H52="Overall change in costs (%)")</formula>
    </cfRule>
  </conditionalFormatting>
  <conditionalFormatting sqref="AQ40">
    <cfRule type="expression" dxfId="910" priority="277">
      <formula>AND(MOD(ROW(),2)=0,#REF!="Proportion",$H40="Overall change in costs (%)")</formula>
    </cfRule>
    <cfRule type="expression" dxfId="909" priority="278">
      <formula>AND(MOD(ROW(),1)=0,#REF!="Proportion",$H40="Overall change in costs (%)")</formula>
    </cfRule>
  </conditionalFormatting>
  <conditionalFormatting sqref="AR52:AS57">
    <cfRule type="expression" dxfId="908" priority="89">
      <formula>AND(MOD(ROW(),1)=0,AD$32="Proportion",$H52="Overall change in costs (%)")</formula>
    </cfRule>
    <cfRule type="expression" dxfId="907" priority="88">
      <formula>AND(MOD(ROW(),2)=0,AD$32="Proportion",$H52="Overall change in costs (%)")</formula>
    </cfRule>
  </conditionalFormatting>
  <conditionalFormatting sqref="AS34:AS40">
    <cfRule type="expression" dxfId="906" priority="48">
      <formula>AND(MOD(ROW(),2)=0,AS$32="Proportion",$H34="Overall change in costs (%)")</formula>
    </cfRule>
    <cfRule type="expression" dxfId="905" priority="49">
      <formula>AND(MOD(ROW(),1)=0,AS$32="Proportion",$H34="Overall change in costs (%)")</formula>
    </cfRule>
  </conditionalFormatting>
  <conditionalFormatting sqref="AS52:AS57">
    <cfRule type="expression" dxfId="904" priority="90">
      <formula>AND(MOD(ROW(),2)=0,AG$32="Proportion",$H52="Overall change in costs (%)")</formula>
    </cfRule>
    <cfRule type="expression" dxfId="903" priority="91">
      <formula>AND(MOD(ROW(),1)=0,AG$32="Proportion",$H52="Overall change in costs (%)")</formula>
    </cfRule>
  </conditionalFormatting>
  <conditionalFormatting sqref="AT58">
    <cfRule type="expression" dxfId="902" priority="69">
      <formula>AND(MOD(ROW(),1)=0,S$32="Proportion",$H58="Overall change in costs (%)")</formula>
    </cfRule>
    <cfRule type="expression" dxfId="901" priority="68">
      <formula>AND(MOD(ROW(),2)=0,S$32="Proportion",$H58="Overall change in costs (%)")</formula>
    </cfRule>
  </conditionalFormatting>
  <conditionalFormatting sqref="AV56">
    <cfRule type="expression" dxfId="900" priority="27">
      <formula>AND(MOD(ROW(),2)=0,AV$32="Proportion",$I56="Overall change in costs (%)")</formula>
    </cfRule>
    <cfRule type="expression" dxfId="899" priority="28">
      <formula>AND(MOD(ROW(),1)=0,AV$32="Proportion",$I56="Overall change in costs (%)")</formula>
    </cfRule>
  </conditionalFormatting>
  <conditionalFormatting sqref="AV52:AW55 AW56">
    <cfRule type="expression" dxfId="898" priority="30">
      <formula>AND(MOD(ROW(),1)=0,AI$32="Proportion",$I52="Overall change in costs (%)")</formula>
    </cfRule>
    <cfRule type="expression" dxfId="897" priority="31">
      <formula>AND(MOD(ROW(),2)=0,AI$32="Proportion",$I52="Overall change in costs (%)")</formula>
    </cfRule>
  </conditionalFormatting>
  <conditionalFormatting sqref="AV52:AW57">
    <cfRule type="expression" dxfId="896" priority="26">
      <formula>MOD(ROW(),2)=0</formula>
    </cfRule>
  </conditionalFormatting>
  <conditionalFormatting sqref="AV57:AW57">
    <cfRule type="expression" dxfId="895" priority="39">
      <formula>AND(MOD(ROW(),1)=0,AI$32="Proportion",$I56="Overall change in costs (%)")</formula>
    </cfRule>
    <cfRule type="expression" dxfId="894" priority="40">
      <formula>AND(MOD(ROW(),2)=0,AI$32="Proportion",$I56="Overall change in costs (%)")</formula>
    </cfRule>
  </conditionalFormatting>
  <conditionalFormatting sqref="AV58:AW58">
    <cfRule type="expression" dxfId="893" priority="33">
      <formula>AND(MOD(ROW(),1)=0,T$32="Proportion",$I58="Overall change in costs (%)")</formula>
    </cfRule>
    <cfRule type="expression" dxfId="892" priority="32">
      <formula>AND(MOD(ROW(),2)=0,T$32="Proportion",$I58="Overall change in costs (%)")</formula>
    </cfRule>
  </conditionalFormatting>
  <conditionalFormatting sqref="AV51:BB51 AY57:BB58 AV58:AX58">
    <cfRule type="expression" dxfId="891" priority="34">
      <formula>MOD(ROW(),2)=0</formula>
    </cfRule>
  </conditionalFormatting>
  <conditionalFormatting sqref="AV51:BB51">
    <cfRule type="expression" dxfId="890" priority="35">
      <formula>AND(MOD(ROW(),2)=0,AV$32="Proportion",$I51="Overall change in costs (%)")</formula>
    </cfRule>
    <cfRule type="expression" dxfId="889" priority="36">
      <formula>AND(MOD(ROW(),1)=0,AV$32="Proportion",$I51="Overall change in costs (%)")</formula>
    </cfRule>
  </conditionalFormatting>
  <conditionalFormatting sqref="AX52:AY56 AZ56:BA56">
    <cfRule type="expression" dxfId="888" priority="5">
      <formula>AND(MOD(ROW(),2)=0,AX$32="Proportion",$H52="Overall change in costs (%)")</formula>
    </cfRule>
    <cfRule type="expression" dxfId="887" priority="6">
      <formula>AND(MOD(ROW(),1)=0,AX$32="Proportion",$H52="Overall change in costs (%)")</formula>
    </cfRule>
  </conditionalFormatting>
  <conditionalFormatting sqref="AX58:BA58">
    <cfRule type="expression" dxfId="886" priority="37">
      <formula>AND(MOD(ROW(),2)=0,AA$32="Proportion",$I58="Overall change in costs (%)")</formula>
    </cfRule>
    <cfRule type="expression" dxfId="885" priority="38">
      <formula>AND(MOD(ROW(),1)=0,AA$32="Proportion",$I58="Overall change in costs (%)")</formula>
    </cfRule>
  </conditionalFormatting>
  <conditionalFormatting sqref="AX52:BB56">
    <cfRule type="expression" dxfId="884" priority="4">
      <formula>MOD(ROW(),2)=0</formula>
    </cfRule>
  </conditionalFormatting>
  <conditionalFormatting sqref="AY57">
    <cfRule type="expression" dxfId="883" priority="45">
      <formula>AND(MOD(ROW(),2)=0,AP$32="Proportion",$I56="Overall change in costs (%)")</formula>
    </cfRule>
    <cfRule type="expression" dxfId="882" priority="44">
      <formula>AND(MOD(ROW(),2)=0,AQ$32="Proportion",$I56="Overall change in costs (%)")</formula>
    </cfRule>
    <cfRule type="expression" dxfId="881" priority="43">
      <formula>AND(MOD(ROW(),1)=0,AQ$32="Proportion",$I56="Overall change in costs (%)")</formula>
    </cfRule>
    <cfRule type="expression" dxfId="880" priority="46">
      <formula>AND(MOD(ROW(),1)=0,AP$32="Proportion",$I56="Overall change in costs (%)")</formula>
    </cfRule>
  </conditionalFormatting>
  <conditionalFormatting sqref="AZ57">
    <cfRule type="expression" dxfId="879" priority="42">
      <formula>AND(MOD(ROW(),1)=0,AS$32="Proportion",$I56="Overall change in costs (%)")</formula>
    </cfRule>
    <cfRule type="expression" dxfId="878" priority="41">
      <formula>AND(MOD(ROW(),2)=0,AS$32="Proportion",$I56="Overall change in costs (%)")</formula>
    </cfRule>
  </conditionalFormatting>
  <conditionalFormatting sqref="AZ52:BA56">
    <cfRule type="expression" dxfId="877" priority="7">
      <formula>AND(MOD(ROW(),1)=0,AX$32="Proportion",$H52="Overall change in costs (%)")</formula>
    </cfRule>
    <cfRule type="expression" dxfId="876" priority="8">
      <formula>AND(MOD(ROW(),2)=0,AX$32="Proportion",$H52="Overall change in costs (%)")</formula>
    </cfRule>
  </conditionalFormatting>
  <conditionalFormatting sqref="BA57:BB57">
    <cfRule type="expression" dxfId="875" priority="25">
      <formula>AND(MOD(ROW(),2)=0,AN$32="Proportion",$I56="Overall change in costs (%)")</formula>
    </cfRule>
    <cfRule type="expression" dxfId="874" priority="24">
      <formula>AND(MOD(ROW(),1)=0,AN$32="Proportion",$I56="Overall change in costs (%)")</formula>
    </cfRule>
  </conditionalFormatting>
  <conditionalFormatting sqref="BA58:BB58">
    <cfRule type="expression" dxfId="873" priority="23">
      <formula>AND(MOD(ROW(),1)=0,Y$32="Proportion",$I58="Overall change in costs (%)")</formula>
    </cfRule>
    <cfRule type="expression" dxfId="872" priority="22">
      <formula>AND(MOD(ROW(),2)=0,Y$32="Proportion",$I58="Overall change in costs (%)")</formula>
    </cfRule>
  </conditionalFormatting>
  <conditionalFormatting sqref="BB52:BB56">
    <cfRule type="expression" dxfId="871" priority="21">
      <formula>AND(MOD(ROW(),2)=0,AO$32="Proportion",$I52="Overall change in costs (%)")</formula>
    </cfRule>
    <cfRule type="expression" dxfId="870" priority="20">
      <formula>AND(MOD(ROW(),1)=0,AO$32="Proportion",$I52="Overall change in costs (%)")</formula>
    </cfRule>
  </conditionalFormatting>
  <hyperlinks>
    <hyperlink ref="A1" location="Index!A1" display="&lt;&lt;Back to Index" xr:uid="{6DADBC45-1FFB-4BC5-9011-514343227849}"/>
  </hyperlinks>
  <pageMargins left="0.7" right="0.7" top="0.75" bottom="0.75" header="0.3" footer="0.3"/>
  <pageSetup paperSize="9" orientation="portrait" r:id="rId1"/>
  <headerFooter>
    <oddHeader>&amp;C&amp;"Calibri"&amp;10&amp;KFF0000 OFFICIAL SENSITIVE&amp;1#_x000D_</oddHeader>
  </headerFooter>
  <ignoredErrors>
    <ignoredError sqref="X61 AC6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30"/>
  <sheetViews>
    <sheetView workbookViewId="0">
      <pane ySplit="3" topLeftCell="A4" activePane="bottomLeft" state="frozen"/>
      <selection pane="bottomLeft" activeCell="B1" sqref="B1"/>
    </sheetView>
  </sheetViews>
  <sheetFormatPr defaultColWidth="8.81640625" defaultRowHeight="12.5" x14ac:dyDescent="0.35"/>
  <cols>
    <col min="1" max="1" width="1.81640625" style="1" customWidth="1"/>
    <col min="2" max="2" width="11" style="1" bestFit="1" customWidth="1"/>
    <col min="3" max="3" width="21.1796875" style="5" customWidth="1"/>
    <col min="4" max="16384" width="8.81640625" style="1"/>
  </cols>
  <sheetData>
    <row r="1" spans="1:3" s="8" customFormat="1" ht="18" x14ac:dyDescent="0.35">
      <c r="A1" s="12" t="s">
        <v>8</v>
      </c>
      <c r="C1" s="9"/>
    </row>
    <row r="2" spans="1:3" ht="13" x14ac:dyDescent="0.35">
      <c r="B2" s="7"/>
      <c r="C2" s="1"/>
    </row>
    <row r="3" spans="1:3" ht="15.5" x14ac:dyDescent="0.35">
      <c r="B3" s="10" t="s">
        <v>9</v>
      </c>
      <c r="C3" s="382" t="s">
        <v>7</v>
      </c>
    </row>
    <row r="4" spans="1:3" ht="15.65" customHeight="1" x14ac:dyDescent="0.35">
      <c r="B4" s="6">
        <v>1</v>
      </c>
      <c r="C4" s="7" t="s">
        <v>137</v>
      </c>
    </row>
    <row r="5" spans="1:3" ht="15.65" customHeight="1" x14ac:dyDescent="0.35">
      <c r="B5" s="11">
        <f>B4+0.1</f>
        <v>1.1000000000000001</v>
      </c>
      <c r="C5" s="15" t="s">
        <v>92</v>
      </c>
    </row>
    <row r="6" spans="1:3" ht="15.65" customHeight="1" x14ac:dyDescent="0.35">
      <c r="B6" s="11">
        <f t="shared" ref="B6:B11" si="0">B5+0.1</f>
        <v>1.2000000000000002</v>
      </c>
      <c r="C6" s="15" t="s">
        <v>17</v>
      </c>
    </row>
    <row r="7" spans="1:3" ht="15.65" customHeight="1" x14ac:dyDescent="0.35">
      <c r="B7" s="11">
        <f t="shared" si="0"/>
        <v>1.3000000000000003</v>
      </c>
      <c r="C7" s="15" t="s">
        <v>213</v>
      </c>
    </row>
    <row r="8" spans="1:3" ht="15.65" customHeight="1" x14ac:dyDescent="0.35">
      <c r="B8" s="11">
        <f t="shared" si="0"/>
        <v>1.4000000000000004</v>
      </c>
      <c r="C8" s="15" t="s">
        <v>214</v>
      </c>
    </row>
    <row r="9" spans="1:3" ht="15.65" customHeight="1" x14ac:dyDescent="0.35">
      <c r="B9" s="11">
        <f t="shared" si="0"/>
        <v>1.5000000000000004</v>
      </c>
      <c r="C9" s="15" t="s">
        <v>364</v>
      </c>
    </row>
    <row r="10" spans="1:3" ht="15.65" customHeight="1" x14ac:dyDescent="0.35">
      <c r="B10" s="11">
        <f t="shared" si="0"/>
        <v>1.6000000000000005</v>
      </c>
      <c r="C10" s="15" t="s">
        <v>365</v>
      </c>
    </row>
    <row r="11" spans="1:3" ht="15.65" customHeight="1" x14ac:dyDescent="0.35">
      <c r="B11" s="11">
        <f t="shared" si="0"/>
        <v>1.7000000000000006</v>
      </c>
      <c r="C11" s="15" t="s">
        <v>286</v>
      </c>
    </row>
    <row r="12" spans="1:3" ht="15.65" customHeight="1" x14ac:dyDescent="0.35">
      <c r="B12" s="16">
        <v>2</v>
      </c>
      <c r="C12" s="7" t="s">
        <v>154</v>
      </c>
    </row>
    <row r="13" spans="1:3" ht="15.65" customHeight="1" x14ac:dyDescent="0.35">
      <c r="B13" s="11">
        <f>B12+0.1</f>
        <v>2.1</v>
      </c>
      <c r="C13" s="15" t="s">
        <v>366</v>
      </c>
    </row>
    <row r="14" spans="1:3" ht="15.65" customHeight="1" x14ac:dyDescent="0.35">
      <c r="B14" s="11">
        <f>B13+0.1</f>
        <v>2.2000000000000002</v>
      </c>
      <c r="C14" s="15" t="s">
        <v>367</v>
      </c>
    </row>
    <row r="15" spans="1:3" ht="15.65" customHeight="1" x14ac:dyDescent="0.35">
      <c r="B15" s="6">
        <v>3</v>
      </c>
      <c r="C15" s="7" t="s">
        <v>138</v>
      </c>
    </row>
    <row r="16" spans="1:3" ht="15.65" customHeight="1" x14ac:dyDescent="0.35">
      <c r="B16" s="11">
        <f t="shared" ref="B16:B24" si="1">B15+0.1</f>
        <v>3.1</v>
      </c>
      <c r="C16" s="15" t="s">
        <v>2</v>
      </c>
    </row>
    <row r="17" spans="2:3" ht="15.65" customHeight="1" x14ac:dyDescent="0.35">
      <c r="B17" s="11">
        <f t="shared" si="1"/>
        <v>3.2</v>
      </c>
      <c r="C17" s="15" t="s">
        <v>4</v>
      </c>
    </row>
    <row r="18" spans="2:3" ht="15.65" customHeight="1" x14ac:dyDescent="0.35">
      <c r="B18" s="11">
        <f t="shared" si="1"/>
        <v>3.3000000000000003</v>
      </c>
      <c r="C18" s="15" t="s">
        <v>0</v>
      </c>
    </row>
    <row r="19" spans="2:3" ht="15.65" customHeight="1" x14ac:dyDescent="0.35">
      <c r="B19" s="11">
        <f t="shared" si="1"/>
        <v>3.4000000000000004</v>
      </c>
      <c r="C19" s="15" t="s">
        <v>3</v>
      </c>
    </row>
    <row r="20" spans="2:3" ht="15.65" customHeight="1" x14ac:dyDescent="0.35">
      <c r="B20" s="11">
        <f t="shared" si="1"/>
        <v>3.5000000000000004</v>
      </c>
      <c r="C20" s="15" t="s">
        <v>5</v>
      </c>
    </row>
    <row r="21" spans="2:3" ht="15.65" customHeight="1" x14ac:dyDescent="0.35">
      <c r="B21" s="6">
        <v>4</v>
      </c>
      <c r="C21" s="7" t="s">
        <v>139</v>
      </c>
    </row>
    <row r="22" spans="2:3" ht="15.65" customHeight="1" x14ac:dyDescent="0.35">
      <c r="B22" s="11">
        <f>B21+0.1</f>
        <v>4.0999999999999996</v>
      </c>
      <c r="C22" s="15" t="s">
        <v>62</v>
      </c>
    </row>
    <row r="23" spans="2:3" ht="15.65" customHeight="1" x14ac:dyDescent="0.35">
      <c r="B23" s="11">
        <f t="shared" si="1"/>
        <v>4.1999999999999993</v>
      </c>
      <c r="C23" s="15" t="s">
        <v>63</v>
      </c>
    </row>
    <row r="24" spans="2:3" ht="15.65" customHeight="1" x14ac:dyDescent="0.35">
      <c r="B24" s="11">
        <f t="shared" si="1"/>
        <v>4.2999999999999989</v>
      </c>
      <c r="C24" s="15" t="s">
        <v>64</v>
      </c>
    </row>
    <row r="25" spans="2:3" ht="15.65" customHeight="1" x14ac:dyDescent="0.35">
      <c r="B25" s="11">
        <f>B24+0.1</f>
        <v>4.3999999999999986</v>
      </c>
      <c r="C25" s="15" t="s">
        <v>159</v>
      </c>
    </row>
    <row r="26" spans="2:3" ht="15.65" customHeight="1" x14ac:dyDescent="0.35">
      <c r="B26" s="6">
        <v>5</v>
      </c>
      <c r="C26" s="7" t="s">
        <v>140</v>
      </c>
    </row>
    <row r="27" spans="2:3" ht="15.65" customHeight="1" x14ac:dyDescent="0.35">
      <c r="B27" s="11">
        <f>B26+0.1</f>
        <v>5.0999999999999996</v>
      </c>
      <c r="C27" s="15" t="s">
        <v>90</v>
      </c>
    </row>
    <row r="28" spans="2:3" ht="15.65" customHeight="1" x14ac:dyDescent="0.35">
      <c r="B28" s="6">
        <v>6</v>
      </c>
      <c r="C28" s="7" t="s">
        <v>324</v>
      </c>
    </row>
    <row r="29" spans="2:3" ht="15.65" customHeight="1" x14ac:dyDescent="0.35">
      <c r="B29" s="11">
        <f>B28+0.1</f>
        <v>6.1</v>
      </c>
      <c r="C29" s="15" t="s">
        <v>323</v>
      </c>
    </row>
    <row r="30" spans="2:3" ht="15.65" customHeight="1" x14ac:dyDescent="0.35">
      <c r="B30" s="11">
        <f>B29+0.1</f>
        <v>6.1999999999999993</v>
      </c>
      <c r="C30" s="15" t="s">
        <v>24</v>
      </c>
    </row>
  </sheetData>
  <sheetProtection algorithmName="SHA-256" hashValue="gAjFoNeFRrYxR6MunBu6ouHctQ/eOGQxZzWaDrRODKI=" saltValue="dIJps7xwty8hxYy+57ud9g==" spinCount="100000" sheet="1" formatCells="0" formatColumns="0" formatRows="0" insertColumns="0" insertRows="0" insertHyperlinks="0" sort="0" autoFilter="0" pivotTables="0"/>
  <hyperlinks>
    <hyperlink ref="C27" location="'Detail inputs'!A1" display="Key inputs" xr:uid="{00000000-0004-0000-0200-000000000000}"/>
    <hyperlink ref="C14" location="'SB Flat rate'!A1" display="Small business flat rate" xr:uid="{00000000-0004-0000-0200-000003000000}"/>
    <hyperlink ref="C13" location="'Res Flat rate'!A1" display="Residential flat rate" xr:uid="{00000000-0004-0000-0200-000005000000}"/>
    <hyperlink ref="C5" location="Structure!A1" display="Model Structure" xr:uid="{00000000-0004-0000-0200-000006000000}"/>
    <hyperlink ref="C6" location="Summary!A1" display="Summary!A1" xr:uid="{00000000-0004-0000-0200-000007000000}"/>
    <hyperlink ref="C16" location="Ausgrid!A1" display="Ausgrid" xr:uid="{00000000-0004-0000-0200-000008000000}"/>
    <hyperlink ref="C17" location="Endeavour!A1" display="Endeavour" xr:uid="{00000000-0004-0000-0200-000009000000}"/>
    <hyperlink ref="C18" location="Energex!A1" display="Energex" xr:uid="{00000000-0004-0000-0200-00000A000000}"/>
    <hyperlink ref="C19" location="Essential!A1" display="Essential" xr:uid="{00000000-0004-0000-0200-00000B000000}"/>
    <hyperlink ref="C20" location="SAPN!A1" display="SAPN" xr:uid="{00000000-0004-0000-0200-00000C000000}"/>
    <hyperlink ref="C22" location="'Network cost'!A1" display="Network costs" xr:uid="{00000000-0004-0000-0200-00000D000000}"/>
    <hyperlink ref="C23" location="'Wholesale cost'!A1" display="Wholesale costs" xr:uid="{00000000-0004-0000-0200-00000E000000}"/>
    <hyperlink ref="C24" location="'Environmental cost'!A1" display="Environmental costs" xr:uid="{00000000-0004-0000-0200-00000F000000}"/>
    <hyperlink ref="C30" location="Usage!A1" display="Usage" xr:uid="{00000000-0004-0000-0200-000010000000}"/>
    <hyperlink ref="C29" location="'Network Tariff codes'!A1" display="Network Tariff codes" xr:uid="{00000000-0004-0000-0200-000011000000}"/>
    <hyperlink ref="C25" location="'Retail cost'!A1" display="Retail costs" xr:uid="{CC70AA6C-BE30-4413-B46E-0D72E2B3415A}"/>
    <hyperlink ref="C7" location="'Summary Detailed'!A1" display="Summary Detailed" xr:uid="{A9BF8E4B-CD2B-4987-97A1-B46E2C1D0BC7}"/>
    <hyperlink ref="C8" location="'Summary Chart'!A1" display="Summary Chart" xr:uid="{0A758182-287C-4BE7-88BC-9748ACCA90F9}"/>
    <hyperlink ref="C9" location="'Tariff price summary'!A1" display="Tariff price summary" xr:uid="{86360C32-3910-4BA2-B120-096A6883BC21}"/>
    <hyperlink ref="C11" location="'Controlled load'!A1" display="Controlled load" xr:uid="{ADAA9AC3-51F1-4DFC-8BDA-B2260E78EF38}"/>
    <hyperlink ref="C10" location="SSO!A1" display="Solar sharer offer - SSO" xr:uid="{DFAACBCF-CEF5-4C7B-91D3-183B08A5FA7B}"/>
  </hyperlinks>
  <pageMargins left="0.7" right="0.7" top="0.75" bottom="0.75" header="0.3" footer="0.3"/>
  <pageSetup paperSize="9" orientation="portrait" r:id="rId1"/>
  <headerFooter>
    <oddHeader>&amp;C&amp;"Calibri"&amp;10&amp;KFF0000 OFFICIAL SENSITIVE&amp;1#_x000D_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sheetPr>
  <dimension ref="F9:H14"/>
  <sheetViews>
    <sheetView workbookViewId="0">
      <selection activeCell="C9" sqref="C9"/>
    </sheetView>
  </sheetViews>
  <sheetFormatPr defaultColWidth="8.81640625" defaultRowHeight="14.5" x14ac:dyDescent="0.35"/>
  <cols>
    <col min="1" max="16384" width="8.81640625" style="2"/>
  </cols>
  <sheetData>
    <row r="9" spans="6:8" ht="35" x14ac:dyDescent="0.35">
      <c r="F9" s="765" t="s">
        <v>143</v>
      </c>
      <c r="G9" s="30"/>
      <c r="H9" s="30"/>
    </row>
    <row r="10" spans="6:8" ht="35" x14ac:dyDescent="0.35">
      <c r="F10" s="765" t="str">
        <f>"DMO "&amp;FY</f>
        <v>DMO 2026-27</v>
      </c>
      <c r="G10" s="30"/>
      <c r="H10" s="30"/>
    </row>
    <row r="11" spans="6:8" ht="23" x14ac:dyDescent="0.35">
      <c r="F11" s="766" t="s">
        <v>144</v>
      </c>
      <c r="G11" s="30"/>
      <c r="H11" s="30"/>
    </row>
    <row r="12" spans="6:8" ht="23" x14ac:dyDescent="0.35">
      <c r="F12" s="766"/>
      <c r="G12" s="30"/>
      <c r="H12" s="30"/>
    </row>
    <row r="13" spans="6:8" x14ac:dyDescent="0.35">
      <c r="F13" s="64"/>
      <c r="G13" s="30"/>
      <c r="H13" s="30"/>
    </row>
    <row r="14" spans="6:8" x14ac:dyDescent="0.35">
      <c r="F14" s="4"/>
    </row>
  </sheetData>
  <sheetProtection algorithmName="SHA-256" hashValue="KOLPKdQ0zyO3k/0NRFIUGP366GLhKzorgiK5lcLsGy8=" saltValue="Ukr6j6n/UssZ0g9F0UZlDg==" spinCount="100000" sheet="1" formatCells="0" formatColumns="0" formatRows="0" sort="0" autoFilter="0" pivotTables="0"/>
  <pageMargins left="0.7" right="0.7" top="0.75" bottom="0.75" header="0.3" footer="0.3"/>
  <headerFooter>
    <oddHeader>&amp;C&amp;"Calibri"&amp;10&amp;KFF0000 OFFICIAL SENSITIVE&amp;1#_x000D_</oddHead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70C0"/>
  </sheetPr>
  <dimension ref="A1:AJ605"/>
  <sheetViews>
    <sheetView zoomScale="85" zoomScaleNormal="85" workbookViewId="0">
      <pane xSplit="7" ySplit="6" topLeftCell="H7" activePane="bottomRight" state="frozen"/>
      <selection pane="topRight" activeCell="H1" sqref="H1"/>
      <selection pane="bottomLeft" activeCell="A7" sqref="A7"/>
      <selection pane="bottomRight" activeCell="I311" sqref="I311"/>
    </sheetView>
  </sheetViews>
  <sheetFormatPr defaultColWidth="8.81640625" defaultRowHeight="14" x14ac:dyDescent="0.35"/>
  <cols>
    <col min="1" max="1" width="1.81640625" style="30" customWidth="1"/>
    <col min="2" max="2" width="11.26953125" style="30" customWidth="1"/>
    <col min="3" max="3" width="15.54296875" style="30" customWidth="1"/>
    <col min="4" max="4" width="10.453125" style="30" bestFit="1" customWidth="1"/>
    <col min="5" max="5" width="29" style="30" bestFit="1" customWidth="1"/>
    <col min="6" max="6" width="10.81640625" style="65" customWidth="1"/>
    <col min="7" max="7" width="15.1796875" style="30" customWidth="1"/>
    <col min="8" max="10" width="10.81640625" style="458" customWidth="1"/>
    <col min="11" max="11" width="13" style="65" bestFit="1" customWidth="1"/>
    <col min="12" max="12" width="0.81640625" style="65" customWidth="1"/>
    <col min="13" max="13" width="12.90625" style="65" bestFit="1" customWidth="1"/>
    <col min="14" max="14" width="0.81640625" style="65" customWidth="1"/>
    <col min="15" max="17" width="10.81640625" style="458" customWidth="1"/>
    <col min="18" max="18" width="13" style="65" bestFit="1" customWidth="1"/>
    <col min="19" max="19" width="15.453125" style="65" bestFit="1" customWidth="1"/>
    <col min="20" max="20" width="20.26953125" style="65" customWidth="1"/>
    <col min="21" max="21" width="11.81640625" style="65" customWidth="1"/>
    <col min="22" max="22" width="14.453125" style="65" bestFit="1" customWidth="1"/>
    <col min="23" max="36" width="11.81640625" style="65" customWidth="1"/>
    <col min="37" max="16384" width="8.81640625" style="30"/>
  </cols>
  <sheetData>
    <row r="1" spans="1:36" ht="10.4" customHeight="1" x14ac:dyDescent="0.35">
      <c r="A1" s="815" t="s">
        <v>18</v>
      </c>
      <c r="B1" s="816"/>
    </row>
    <row r="2" spans="1:36" s="62" customFormat="1" ht="22.5" customHeight="1" x14ac:dyDescent="0.35">
      <c r="A2" s="61" t="s">
        <v>80</v>
      </c>
      <c r="F2" s="331"/>
      <c r="H2" s="459"/>
      <c r="I2" s="459"/>
      <c r="J2" s="459"/>
      <c r="K2" s="331"/>
      <c r="L2" s="331"/>
      <c r="M2" s="331"/>
      <c r="N2" s="331"/>
      <c r="O2" s="459"/>
      <c r="P2" s="459"/>
      <c r="Q2" s="459"/>
      <c r="R2" s="331"/>
      <c r="S2" s="331"/>
      <c r="T2" s="331"/>
      <c r="U2" s="331"/>
      <c r="V2" s="331"/>
      <c r="W2" s="331"/>
      <c r="X2" s="331"/>
      <c r="Y2" s="331"/>
      <c r="Z2" s="331"/>
      <c r="AA2" s="331"/>
      <c r="AB2" s="331"/>
      <c r="AC2" s="331"/>
      <c r="AD2" s="331"/>
      <c r="AE2" s="331"/>
      <c r="AF2" s="331"/>
      <c r="AG2" s="331"/>
      <c r="AH2" s="331"/>
      <c r="AI2" s="331"/>
      <c r="AJ2" s="331"/>
    </row>
    <row r="3" spans="1:36" s="129" customFormat="1" x14ac:dyDescent="0.3">
      <c r="B3" s="461"/>
      <c r="C3" s="461"/>
      <c r="D3" s="461"/>
      <c r="E3" s="461"/>
      <c r="F3" s="462"/>
      <c r="G3" s="461"/>
      <c r="H3" s="894" t="str">
        <f>PY</f>
        <v>2025-26</v>
      </c>
      <c r="I3" s="894"/>
      <c r="J3" s="894"/>
      <c r="K3" s="894"/>
      <c r="L3" s="463"/>
      <c r="M3" s="562" t="str">
        <f>FY</f>
        <v>2026-27</v>
      </c>
      <c r="N3" s="463"/>
      <c r="O3" s="894" t="str">
        <f>FY</f>
        <v>2026-27</v>
      </c>
      <c r="P3" s="894"/>
      <c r="Q3" s="894"/>
      <c r="R3" s="894"/>
      <c r="S3" s="463"/>
      <c r="T3" s="463"/>
      <c r="U3" s="463"/>
      <c r="V3" s="463"/>
      <c r="W3" s="463"/>
      <c r="X3" s="463"/>
      <c r="Y3" s="463"/>
      <c r="Z3" s="463"/>
      <c r="AA3" s="463"/>
      <c r="AB3" s="463"/>
      <c r="AC3" s="463"/>
      <c r="AD3" s="463"/>
      <c r="AE3" s="463"/>
      <c r="AF3" s="463"/>
      <c r="AG3" s="463"/>
      <c r="AH3" s="463"/>
      <c r="AI3" s="463"/>
      <c r="AJ3" s="463"/>
    </row>
    <row r="4" spans="1:36" s="129" customFormat="1" ht="14.15" customHeight="1" x14ac:dyDescent="0.3">
      <c r="B4" s="461"/>
      <c r="C4" s="461"/>
      <c r="D4" s="461"/>
      <c r="E4" s="461"/>
      <c r="F4" s="464" t="str">
        <f>$H$3</f>
        <v>2025-26</v>
      </c>
      <c r="G4" s="461"/>
      <c r="H4" s="466" t="str">
        <f>$H$3</f>
        <v>2025-26</v>
      </c>
      <c r="I4" s="466" t="str">
        <f>$H$3</f>
        <v>2025-26</v>
      </c>
      <c r="J4" s="466" t="str">
        <f>$H$3</f>
        <v>2025-26</v>
      </c>
      <c r="K4" s="464" t="str">
        <f>$H$3</f>
        <v>2025-26</v>
      </c>
      <c r="L4" s="464"/>
      <c r="M4" s="464" t="str">
        <f>FY</f>
        <v>2026-27</v>
      </c>
      <c r="N4" s="464"/>
      <c r="O4" s="466" t="str">
        <f>$O$3</f>
        <v>2026-27</v>
      </c>
      <c r="P4" s="466" t="str">
        <f>$O$3</f>
        <v>2026-27</v>
      </c>
      <c r="Q4" s="466" t="str">
        <f>$O$3</f>
        <v>2026-27</v>
      </c>
      <c r="R4" s="464" t="str">
        <f>$O$3</f>
        <v>2026-27</v>
      </c>
      <c r="S4" s="464"/>
      <c r="T4" s="464"/>
      <c r="U4" s="464"/>
      <c r="V4" s="464"/>
      <c r="W4" s="464"/>
      <c r="X4" s="464"/>
      <c r="Y4" s="464"/>
      <c r="Z4" s="464"/>
      <c r="AA4" s="464"/>
      <c r="AB4" s="464"/>
      <c r="AC4" s="464"/>
      <c r="AD4" s="464"/>
      <c r="AE4" s="464"/>
      <c r="AF4" s="464"/>
      <c r="AG4" s="464"/>
      <c r="AH4" s="464"/>
      <c r="AI4" s="464"/>
      <c r="AJ4" s="464"/>
    </row>
    <row r="5" spans="1:36" s="64" customFormat="1" x14ac:dyDescent="0.35">
      <c r="B5" s="361" t="s">
        <v>1</v>
      </c>
      <c r="C5" s="361" t="s">
        <v>10</v>
      </c>
      <c r="D5" s="361" t="s">
        <v>22</v>
      </c>
      <c r="E5" s="361" t="s">
        <v>11</v>
      </c>
      <c r="F5" s="363" t="s">
        <v>24</v>
      </c>
      <c r="G5" s="361" t="s">
        <v>32</v>
      </c>
      <c r="H5" s="468" t="s">
        <v>46</v>
      </c>
      <c r="I5" s="468" t="s">
        <v>47</v>
      </c>
      <c r="J5" s="468" t="s">
        <v>21</v>
      </c>
      <c r="K5" s="471" t="s">
        <v>23</v>
      </c>
      <c r="L5" s="471"/>
      <c r="M5" s="471" t="s">
        <v>20</v>
      </c>
      <c r="N5" s="471"/>
      <c r="O5" s="468" t="s">
        <v>46</v>
      </c>
      <c r="P5" s="468" t="s">
        <v>47</v>
      </c>
      <c r="Q5" s="468" t="s">
        <v>21</v>
      </c>
      <c r="R5" s="471" t="s">
        <v>23</v>
      </c>
      <c r="S5" s="471"/>
      <c r="T5" s="471"/>
      <c r="U5" s="471"/>
      <c r="V5" s="471"/>
      <c r="W5" s="471"/>
      <c r="X5" s="471"/>
      <c r="Y5" s="471"/>
      <c r="Z5" s="471"/>
      <c r="AA5" s="471"/>
      <c r="AB5" s="471"/>
      <c r="AC5" s="471"/>
      <c r="AD5" s="471"/>
      <c r="AE5" s="471"/>
      <c r="AF5" s="471"/>
      <c r="AG5" s="471"/>
      <c r="AH5" s="471"/>
      <c r="AI5" s="471"/>
      <c r="AJ5" s="471"/>
    </row>
    <row r="6" spans="1:36" s="472" customFormat="1" x14ac:dyDescent="0.35">
      <c r="B6" s="473"/>
      <c r="C6" s="473"/>
      <c r="D6" s="473"/>
      <c r="E6" s="473"/>
      <c r="F6" s="474" t="s">
        <v>53</v>
      </c>
      <c r="G6" s="473"/>
      <c r="H6" s="475" t="s">
        <v>68</v>
      </c>
      <c r="I6" s="475" t="s">
        <v>44</v>
      </c>
      <c r="J6" s="475" t="s">
        <v>45</v>
      </c>
      <c r="K6" s="478" t="s">
        <v>27</v>
      </c>
      <c r="L6" s="478"/>
      <c r="M6" s="478" t="s">
        <v>27</v>
      </c>
      <c r="N6" s="478"/>
      <c r="O6" s="475" t="s">
        <v>68</v>
      </c>
      <c r="P6" s="475" t="s">
        <v>44</v>
      </c>
      <c r="Q6" s="475" t="s">
        <v>45</v>
      </c>
      <c r="R6" s="478" t="s">
        <v>27</v>
      </c>
      <c r="S6" s="478"/>
      <c r="T6" s="478"/>
      <c r="U6" s="478"/>
      <c r="V6" s="478"/>
      <c r="W6" s="478"/>
      <c r="X6" s="478"/>
      <c r="Y6" s="478"/>
      <c r="Z6" s="478"/>
      <c r="AA6" s="478"/>
      <c r="AB6" s="478"/>
      <c r="AC6" s="478"/>
      <c r="AD6" s="478"/>
      <c r="AE6" s="478"/>
      <c r="AF6" s="478"/>
      <c r="AG6" s="478"/>
      <c r="AH6" s="478"/>
      <c r="AI6" s="478"/>
      <c r="AJ6" s="478"/>
    </row>
    <row r="7" spans="1:36" x14ac:dyDescent="0.35">
      <c r="F7" s="258"/>
      <c r="H7" s="482"/>
      <c r="I7" s="482"/>
      <c r="J7" s="482"/>
      <c r="K7" s="484"/>
      <c r="L7" s="484"/>
      <c r="M7" s="484"/>
      <c r="N7" s="563"/>
      <c r="O7" s="482"/>
      <c r="P7" s="482"/>
      <c r="Q7" s="482"/>
      <c r="R7" s="484"/>
      <c r="S7" s="484"/>
      <c r="T7" s="607"/>
      <c r="U7" s="484"/>
      <c r="V7" s="484"/>
      <c r="W7" s="484"/>
      <c r="X7" s="484"/>
      <c r="Y7" s="484"/>
      <c r="Z7" s="484"/>
      <c r="AA7" s="484"/>
      <c r="AB7" s="484"/>
      <c r="AC7" s="484"/>
      <c r="AD7" s="484"/>
      <c r="AE7" s="484"/>
      <c r="AF7" s="484"/>
      <c r="AG7" s="484"/>
      <c r="AH7" s="484"/>
      <c r="AI7" s="484"/>
      <c r="AJ7" s="484"/>
    </row>
    <row r="8" spans="1:36" x14ac:dyDescent="0.35">
      <c r="B8" s="64" t="s">
        <v>2</v>
      </c>
      <c r="C8" s="64" t="s">
        <v>6</v>
      </c>
      <c r="D8" s="64" t="s">
        <v>276</v>
      </c>
      <c r="F8" s="258"/>
      <c r="H8" s="482"/>
      <c r="I8" s="482"/>
      <c r="J8" s="482"/>
      <c r="K8" s="484"/>
      <c r="L8" s="484"/>
      <c r="M8" s="484"/>
      <c r="N8" s="563"/>
      <c r="O8" s="482"/>
      <c r="P8" s="482"/>
      <c r="Q8" s="482"/>
      <c r="R8" s="484"/>
      <c r="S8" s="484"/>
      <c r="T8" s="607"/>
      <c r="U8" s="484"/>
      <c r="V8" s="484"/>
      <c r="W8" s="484"/>
      <c r="X8" s="484"/>
      <c r="Y8" s="484"/>
      <c r="Z8" s="484"/>
      <c r="AA8" s="484"/>
      <c r="AB8" s="484"/>
      <c r="AC8" s="484"/>
      <c r="AD8" s="484"/>
      <c r="AE8" s="484"/>
      <c r="AF8" s="484"/>
      <c r="AG8" s="484"/>
      <c r="AH8" s="484"/>
      <c r="AI8" s="484"/>
      <c r="AJ8" s="484"/>
    </row>
    <row r="9" spans="1:36" x14ac:dyDescent="0.35">
      <c r="B9" s="66" t="str">
        <f t="shared" ref="B9:B19" si="0">B8</f>
        <v>Ausgrid</v>
      </c>
      <c r="C9" s="66" t="str">
        <f t="shared" ref="C9:C19" si="1">C8</f>
        <v>Residential</v>
      </c>
      <c r="D9" s="66" t="str">
        <f t="shared" ref="D9:D19" si="2">D8</f>
        <v>flat rate</v>
      </c>
      <c r="E9" s="30" t="s">
        <v>19</v>
      </c>
      <c r="F9" s="485" cm="1">
        <f t="array" ref="F9">_xlfn.XLOOKUP(1,($B9=DistributionZone)*($C9=CustomerType)*($D9=tariffL2)*($F$5=Description),valuesFY)</f>
        <v>3900</v>
      </c>
      <c r="G9" s="30" t="s">
        <v>69</v>
      </c>
      <c r="H9" s="482"/>
      <c r="I9" s="482" cm="1">
        <f t="array" ref="I9">IFERROR(_xlfn.XLOOKUP(1,($B9=DistributionZone)*($C9=CustomerType)*($E9=tariffType)*($G9=Description),valuesPY),0)</f>
        <v>161.0675</v>
      </c>
      <c r="J9" s="482">
        <f>H9+I9*F9/1000</f>
        <v>628.16324999999995</v>
      </c>
      <c r="K9" s="484">
        <f>IFERROR(J9/J17,"")</f>
        <v>0.91645197012508217</v>
      </c>
      <c r="L9" s="484"/>
      <c r="M9" s="484">
        <f t="shared" ref="M9:M17" si="3">IF(OR(J9=0,Q9=""),"",Q9/J9-1)</f>
        <v>-0.14805904356869004</v>
      </c>
      <c r="N9" s="563"/>
      <c r="O9" s="482"/>
      <c r="P9" s="482" cm="1">
        <f t="array" ref="P9">IFERROR(_xlfn.XLOOKUP(1,($B9=DistributionZone)*($C9=CustomerType)*($E9=tariffType)*($G9=Description),valuesFY),0)</f>
        <v>137.22</v>
      </c>
      <c r="Q9" s="482">
        <f t="shared" ref="Q9:Q14" si="4">O9+P9*$F9/1000</f>
        <v>535.15800000000002</v>
      </c>
      <c r="R9" s="484">
        <f>IFERROR(Q9/Q17,"")</f>
        <v>0.90040882928886501</v>
      </c>
      <c r="S9" s="484"/>
      <c r="T9" s="608"/>
      <c r="U9" s="484"/>
      <c r="V9" s="484"/>
      <c r="W9" s="484"/>
      <c r="X9" s="484"/>
      <c r="Y9" s="484"/>
      <c r="Z9" s="484"/>
      <c r="AA9" s="484"/>
      <c r="AB9" s="484"/>
      <c r="AC9" s="484"/>
      <c r="AD9" s="484"/>
      <c r="AE9" s="484"/>
      <c r="AF9" s="484"/>
      <c r="AG9" s="484"/>
      <c r="AH9" s="484"/>
      <c r="AI9" s="484"/>
      <c r="AJ9" s="484"/>
    </row>
    <row r="10" spans="1:36" x14ac:dyDescent="0.35">
      <c r="B10" s="66" t="str">
        <f t="shared" si="0"/>
        <v>Ausgrid</v>
      </c>
      <c r="C10" s="66" t="str">
        <f t="shared" si="1"/>
        <v>Residential</v>
      </c>
      <c r="D10" s="66" t="str">
        <f t="shared" si="2"/>
        <v>flat rate</v>
      </c>
      <c r="E10" s="30" t="s">
        <v>19</v>
      </c>
      <c r="F10" s="258">
        <f>F9</f>
        <v>3900</v>
      </c>
      <c r="G10" s="30" t="s">
        <v>70</v>
      </c>
      <c r="H10" s="482"/>
      <c r="I10" s="482" cm="1">
        <f t="array" ref="I10">IFERROR(_xlfn.XLOOKUP(1,($B10=DistributionZone)*(I$5=Desc_FixedOrVar)*($G10=Description),valuesPY),0)</f>
        <v>0.15378802592718904</v>
      </c>
      <c r="J10" s="482">
        <f t="shared" ref="J10:J14" si="5">H10+I10*F10/1000</f>
        <v>0.59977330111603722</v>
      </c>
      <c r="K10" s="484">
        <f>IFERROR(J10/J17,"")</f>
        <v>8.7503276168450874E-4</v>
      </c>
      <c r="L10" s="484"/>
      <c r="M10" s="484">
        <f t="shared" si="3"/>
        <v>-0.19621579764116659</v>
      </c>
      <c r="N10" s="563"/>
      <c r="O10" s="482"/>
      <c r="P10" s="482" cm="1">
        <f t="array" ref="P10">IFERROR(_xlfn.XLOOKUP(1,($B10=DistributionZone)*(P$5=Desc_FixedOrVar)*($G10=Description),valuesFY),0)</f>
        <v>0.12361238575222523</v>
      </c>
      <c r="Q10" s="482">
        <f t="shared" si="4"/>
        <v>0.48208830443367839</v>
      </c>
      <c r="R10" s="484">
        <f>IFERROR(Q10/Q17,"")</f>
        <v>8.1111852164964795E-4</v>
      </c>
      <c r="S10" s="484"/>
      <c r="T10" s="607"/>
      <c r="U10" s="484"/>
      <c r="V10" s="484"/>
      <c r="W10" s="484"/>
      <c r="X10" s="484"/>
      <c r="Y10" s="484"/>
      <c r="Z10" s="484"/>
      <c r="AA10" s="484"/>
      <c r="AB10" s="484"/>
      <c r="AC10" s="484"/>
      <c r="AD10" s="484"/>
      <c r="AE10" s="484"/>
      <c r="AF10" s="484"/>
      <c r="AG10" s="484"/>
      <c r="AH10" s="484"/>
      <c r="AI10" s="484"/>
      <c r="AJ10" s="484"/>
    </row>
    <row r="11" spans="1:36" x14ac:dyDescent="0.35">
      <c r="B11" s="66" t="str">
        <f t="shared" si="0"/>
        <v>Ausgrid</v>
      </c>
      <c r="C11" s="66" t="str">
        <f t="shared" si="1"/>
        <v>Residential</v>
      </c>
      <c r="D11" s="66" t="str">
        <f t="shared" si="2"/>
        <v>flat rate</v>
      </c>
      <c r="E11" s="30" t="s">
        <v>19</v>
      </c>
      <c r="F11" s="258">
        <f t="shared" ref="F11:F16" si="6">F10</f>
        <v>3900</v>
      </c>
      <c r="G11" s="30" t="s">
        <v>77</v>
      </c>
      <c r="H11" s="482" cm="1">
        <f t="array" ref="H11">IFERROR(_xlfn.XLOOKUP(1,($B11=DistributionZone)*(H$5=Desc_FixedOrVar)*($G11=Description),valuesPY),0)*Days/7</f>
        <v>13.835244134497829</v>
      </c>
      <c r="I11" s="482" cm="1">
        <f t="array" ref="I11">IFERROR(_xlfn.XLOOKUP(1,($B11=DistributionZone)*(I$5=Desc_FixedOrVar)*($G11=Description),valuesPY),0)</f>
        <v>0.57443</v>
      </c>
      <c r="J11" s="482">
        <f>H11+I11*F11/1000</f>
        <v>16.07552113449783</v>
      </c>
      <c r="K11" s="484">
        <f>IFERROR(J11/J17,"")</f>
        <v>2.345320744965251E-2</v>
      </c>
      <c r="L11" s="484"/>
      <c r="M11" s="484">
        <f t="shared" si="3"/>
        <v>-5.7507381985517747E-2</v>
      </c>
      <c r="N11" s="563"/>
      <c r="O11" s="482" cm="1">
        <f t="array" ref="O11">IFERROR(_xlfn.XLOOKUP(1,($B11=DistributionZone)*(O$5=Desc_FixedOrVar)*($G11=Description),valuesFY),0)*Days/7</f>
        <v>13.125399999999999</v>
      </c>
      <c r="P11" s="482" cm="1">
        <f t="array" ref="P11">IFERROR(_xlfn.XLOOKUP(1,($B11=DistributionZone)*(P$5=Desc_FixedOrVar)*($G11=Description),valuesFY),0)</f>
        <v>0.51939999999999997</v>
      </c>
      <c r="Q11" s="482">
        <f t="shared" si="4"/>
        <v>15.151059999999999</v>
      </c>
      <c r="R11" s="484">
        <f>IFERROR(Q11/Q17,"")</f>
        <v>2.5491814000884502E-2</v>
      </c>
      <c r="S11" s="484"/>
      <c r="T11" s="607"/>
      <c r="U11" s="484"/>
      <c r="V11" s="484"/>
      <c r="W11" s="484"/>
      <c r="X11" s="484"/>
      <c r="Y11" s="484"/>
      <c r="Z11" s="484"/>
      <c r="AA11" s="484"/>
      <c r="AB11" s="484"/>
      <c r="AC11" s="484"/>
      <c r="AD11" s="484"/>
      <c r="AE11" s="484"/>
      <c r="AF11" s="484"/>
      <c r="AG11" s="484"/>
      <c r="AH11" s="484"/>
      <c r="AI11" s="484"/>
      <c r="AJ11" s="484"/>
    </row>
    <row r="12" spans="1:36" x14ac:dyDescent="0.35">
      <c r="B12" s="66" t="str">
        <f t="shared" si="0"/>
        <v>Ausgrid</v>
      </c>
      <c r="C12" s="66" t="str">
        <f t="shared" si="1"/>
        <v>Residential</v>
      </c>
      <c r="D12" s="66" t="str">
        <f t="shared" si="2"/>
        <v>flat rate</v>
      </c>
      <c r="E12" s="30" t="s">
        <v>19</v>
      </c>
      <c r="F12" s="258">
        <f t="shared" si="6"/>
        <v>3900</v>
      </c>
      <c r="G12" s="30" t="s">
        <v>71</v>
      </c>
      <c r="H12" s="482"/>
      <c r="I12" s="482" cm="1">
        <f t="array" ref="I12">IFERROR(_xlfn.XLOOKUP(1,($B12=DistributionZone)*(I$5=Desc_FixedOrVar)*($G12=Description),valuesPY),0)</f>
        <v>5.2786233739509421E-2</v>
      </c>
      <c r="J12" s="482">
        <f t="shared" si="5"/>
        <v>0.20586631158408672</v>
      </c>
      <c r="K12" s="484">
        <f>IFERROR(J12/J17,"")</f>
        <v>3.0034642560452287E-4</v>
      </c>
      <c r="L12" s="484"/>
      <c r="M12" s="484">
        <f t="shared" si="3"/>
        <v>1.413017537285187</v>
      </c>
      <c r="N12" s="563"/>
      <c r="O12" s="482"/>
      <c r="P12" s="482" cm="1">
        <f t="array" ref="P12">IFERROR(_xlfn.XLOOKUP(1,($B12=DistributionZone)*(P$5=Desc_FixedOrVar)*($G12=Description),valuesFY),0)</f>
        <v>0.12737410774067126</v>
      </c>
      <c r="Q12" s="482">
        <f t="shared" si="4"/>
        <v>0.49675902018861789</v>
      </c>
      <c r="R12" s="484">
        <f>IFERROR(Q12/Q17,"")</f>
        <v>8.3580215152668385E-4</v>
      </c>
      <c r="S12" s="484"/>
      <c r="T12" s="607"/>
      <c r="U12" s="484"/>
      <c r="V12" s="484"/>
      <c r="W12" s="484"/>
      <c r="X12" s="484"/>
      <c r="Y12" s="484"/>
      <c r="Z12" s="484"/>
      <c r="AA12" s="484"/>
      <c r="AB12" s="484"/>
      <c r="AC12" s="484"/>
      <c r="AD12" s="484"/>
      <c r="AE12" s="484"/>
      <c r="AF12" s="484"/>
      <c r="AG12" s="484"/>
      <c r="AH12" s="484"/>
      <c r="AI12" s="484"/>
      <c r="AJ12" s="484"/>
    </row>
    <row r="13" spans="1:36" x14ac:dyDescent="0.35">
      <c r="B13" s="66" t="str">
        <f t="shared" si="0"/>
        <v>Ausgrid</v>
      </c>
      <c r="C13" s="66" t="str">
        <f t="shared" si="1"/>
        <v>Residential</v>
      </c>
      <c r="D13" s="66" t="str">
        <f t="shared" si="2"/>
        <v>flat rate</v>
      </c>
      <c r="E13" s="30" t="s">
        <v>19</v>
      </c>
      <c r="F13" s="258">
        <f t="shared" si="6"/>
        <v>3900</v>
      </c>
      <c r="G13" s="379" t="s">
        <v>173</v>
      </c>
      <c r="H13" s="482"/>
      <c r="I13" s="482" cm="1">
        <f t="array" ref="I13">IFERROR(_xlfn.XLOOKUP(1,($B13=DistributionZone)*(I$5=Desc_FixedOrVar)*($G13=Description),valuesPY),0)</f>
        <v>0.11507709849820914</v>
      </c>
      <c r="J13" s="482">
        <f t="shared" si="5"/>
        <v>0.44880068414301566</v>
      </c>
      <c r="K13" s="484">
        <f>IFERROR(J13/J18,"")</f>
        <v>6.5477289729437603E-3</v>
      </c>
      <c r="L13" s="484"/>
      <c r="M13" s="484">
        <f t="shared" si="3"/>
        <v>-1</v>
      </c>
      <c r="N13" s="563"/>
      <c r="O13" s="482"/>
      <c r="P13" s="482" cm="1">
        <f t="array" ref="P13">IFERROR(_xlfn.XLOOKUP(1,($B13=DistributionZone)*(P$5=Desc_FixedOrVar)*($G13=Description),valuesFY),0)</f>
        <v>0</v>
      </c>
      <c r="Q13" s="482">
        <f t="shared" si="4"/>
        <v>0</v>
      </c>
      <c r="R13" s="484">
        <f>IFERROR(Q13/Q17,"")</f>
        <v>0</v>
      </c>
      <c r="S13" s="484"/>
      <c r="T13" s="607"/>
      <c r="U13" s="484"/>
      <c r="V13" s="484"/>
      <c r="W13" s="484"/>
      <c r="X13" s="484"/>
      <c r="Y13" s="484"/>
      <c r="Z13" s="484"/>
      <c r="AA13" s="484"/>
      <c r="AB13" s="484"/>
      <c r="AC13" s="484"/>
      <c r="AD13" s="484"/>
      <c r="AE13" s="484"/>
      <c r="AF13" s="484"/>
      <c r="AG13" s="484"/>
      <c r="AH13" s="484"/>
      <c r="AI13" s="484"/>
      <c r="AJ13" s="484"/>
    </row>
    <row r="14" spans="1:36" x14ac:dyDescent="0.35">
      <c r="B14" s="66" t="str">
        <f t="shared" si="0"/>
        <v>Ausgrid</v>
      </c>
      <c r="C14" s="66" t="str">
        <f t="shared" si="1"/>
        <v>Residential</v>
      </c>
      <c r="D14" s="66" t="str">
        <f t="shared" si="2"/>
        <v>flat rate</v>
      </c>
      <c r="E14" s="30" t="s">
        <v>19</v>
      </c>
      <c r="F14" s="258">
        <f t="shared" si="6"/>
        <v>3900</v>
      </c>
      <c r="G14" s="30" t="s">
        <v>130</v>
      </c>
      <c r="H14" s="482"/>
      <c r="I14" s="482" cm="1">
        <f t="array" ref="I14">IFERROR(_xlfn.XLOOKUP(1,($B14=DistributionZone)*(I$5=Desc_FixedOrVar)*($G14=Description),valuesPY),0)</f>
        <v>2.8625958258186368</v>
      </c>
      <c r="J14" s="482">
        <f t="shared" si="5"/>
        <v>11.164123720692684</v>
      </c>
      <c r="K14" s="484">
        <f>IFERROR(J14/J17,"")</f>
        <v>1.6287777386768443E-2</v>
      </c>
      <c r="L14" s="484"/>
      <c r="M14" s="484">
        <f t="shared" si="3"/>
        <v>-5.7279088688867552E-2</v>
      </c>
      <c r="N14" s="563"/>
      <c r="O14" s="482"/>
      <c r="P14" s="482" cm="1">
        <f t="array" ref="P14">IFERROR(_xlfn.XLOOKUP(1,($B14=DistributionZone)*(P$5=Desc_FixedOrVar)*($G14=Description),valuesFY),0)</f>
        <v>2.6986289456311892</v>
      </c>
      <c r="Q14" s="482">
        <f t="shared" si="4"/>
        <v>10.524652887961638</v>
      </c>
      <c r="R14" s="484">
        <f>IFERROR(Q14/Q17,"")</f>
        <v>1.7707836537099717E-2</v>
      </c>
      <c r="S14" s="484"/>
      <c r="T14" s="607"/>
      <c r="U14" s="484"/>
      <c r="V14" s="484"/>
      <c r="W14" s="484"/>
      <c r="X14" s="484"/>
      <c r="Y14" s="484"/>
      <c r="Z14" s="484"/>
      <c r="AA14" s="484"/>
      <c r="AB14" s="484"/>
      <c r="AC14" s="484"/>
      <c r="AD14" s="484"/>
      <c r="AE14" s="484"/>
      <c r="AF14" s="484"/>
      <c r="AG14" s="484"/>
      <c r="AH14" s="484"/>
      <c r="AI14" s="484"/>
      <c r="AJ14" s="484"/>
    </row>
    <row r="15" spans="1:36" x14ac:dyDescent="0.35">
      <c r="B15" s="66" t="str">
        <f t="shared" si="0"/>
        <v>Ausgrid</v>
      </c>
      <c r="C15" s="66" t="str">
        <f t="shared" si="1"/>
        <v>Residential</v>
      </c>
      <c r="D15" s="66" t="str">
        <f t="shared" si="2"/>
        <v>flat rate</v>
      </c>
      <c r="E15" s="30" t="s">
        <v>19</v>
      </c>
      <c r="F15" s="258">
        <f t="shared" si="6"/>
        <v>3900</v>
      </c>
      <c r="G15" s="30" t="s">
        <v>302</v>
      </c>
      <c r="H15" s="482"/>
      <c r="I15" s="609"/>
      <c r="J15" s="482"/>
      <c r="K15" s="484"/>
      <c r="L15" s="484"/>
      <c r="M15" s="484" t="str">
        <f t="shared" si="3"/>
        <v/>
      </c>
      <c r="N15" s="563"/>
      <c r="O15" s="482"/>
      <c r="P15" s="586" cm="1">
        <f t="array" ref="P15">IFERROR(_xlfn.XLOOKUP(1,($B15=DistributionZone)*(P$5=Desc_FixedOrVar)*($G15=Description)*($E15=tariffType),valuesFY),0)</f>
        <v>1.7960000000000009</v>
      </c>
      <c r="Q15" s="482">
        <f>O15+P15*$F15/1000</f>
        <v>7.0044000000000031</v>
      </c>
      <c r="R15" s="484">
        <f>IFERROR(Q15/Q17,"")</f>
        <v>1.1784974911840855E-2</v>
      </c>
      <c r="S15" s="484"/>
      <c r="T15" s="607"/>
      <c r="U15" s="484"/>
      <c r="V15" s="484"/>
      <c r="W15" s="484"/>
      <c r="X15" s="484"/>
      <c r="Y15" s="484"/>
      <c r="Z15" s="484"/>
      <c r="AA15" s="484"/>
      <c r="AB15" s="484"/>
      <c r="AC15" s="484"/>
      <c r="AD15" s="484"/>
      <c r="AE15" s="484"/>
      <c r="AF15" s="484"/>
      <c r="AG15" s="484"/>
      <c r="AH15" s="484"/>
      <c r="AI15" s="484"/>
      <c r="AJ15" s="484"/>
    </row>
    <row r="16" spans="1:36" x14ac:dyDescent="0.35">
      <c r="B16" s="66" t="str">
        <f t="shared" si="0"/>
        <v>Ausgrid</v>
      </c>
      <c r="C16" s="66" t="str">
        <f t="shared" si="1"/>
        <v>Residential</v>
      </c>
      <c r="D16" s="66" t="str">
        <f t="shared" si="2"/>
        <v>flat rate</v>
      </c>
      <c r="E16" s="30" t="s">
        <v>19</v>
      </c>
      <c r="F16" s="258">
        <f t="shared" si="6"/>
        <v>3900</v>
      </c>
      <c r="G16" s="30" t="s">
        <v>72</v>
      </c>
      <c r="H16" s="482"/>
      <c r="I16" s="482" cm="1">
        <f t="array" ref="I16">IFERROR(_xlfn.XLOOKUP(1,($B16=DistributionZone)*($C16=CustomerType)*($E16=tariffType)*($G16=Description),valuesPY),0)*SUM(I9:I15)</f>
        <v>7.3774877748712369</v>
      </c>
      <c r="J16" s="482">
        <f>IF(AND(H16="",I16=""),"",H16+I16*F16/1000)</f>
        <v>28.772202321997824</v>
      </c>
      <c r="K16" s="484">
        <f>IFERROR(J16/J17,"")</f>
        <v>4.197689295391345E-2</v>
      </c>
      <c r="L16" s="484"/>
      <c r="M16" s="484">
        <f t="shared" si="3"/>
        <v>-0.11257910758313872</v>
      </c>
      <c r="N16" s="563"/>
      <c r="O16" s="482"/>
      <c r="P16" s="586" cm="1">
        <f t="array" ref="P16">IFERROR(_xlfn.XLOOKUP(1,($B16=DistributionZone)*($C16=CustomerType)*($E16=tariffType)*($G16=Description)*($P$5=Desc_FixedOrVar),valuesFY),0)*SUM(P9:P15)</f>
        <v>6.5469367849707174</v>
      </c>
      <c r="Q16" s="482">
        <f t="shared" ref="Q16" si="7">O16+P16*$F16/1000</f>
        <v>25.533053461385798</v>
      </c>
      <c r="R16" s="484">
        <f>IFERROR(Q16/Q17,"")</f>
        <v>4.2959624588133571E-2</v>
      </c>
      <c r="S16" s="484"/>
      <c r="T16" s="607"/>
      <c r="U16" s="484"/>
      <c r="V16" s="484"/>
      <c r="W16" s="484"/>
      <c r="X16" s="484"/>
      <c r="Y16" s="484"/>
      <c r="Z16" s="484"/>
      <c r="AA16" s="484"/>
      <c r="AB16" s="484"/>
      <c r="AC16" s="484"/>
      <c r="AD16" s="484"/>
      <c r="AE16" s="484"/>
      <c r="AF16" s="484"/>
      <c r="AG16" s="484"/>
      <c r="AH16" s="484"/>
      <c r="AI16" s="484"/>
      <c r="AJ16" s="484"/>
    </row>
    <row r="17" spans="2:36" x14ac:dyDescent="0.35">
      <c r="B17" s="66" t="str">
        <f t="shared" si="0"/>
        <v>Ausgrid</v>
      </c>
      <c r="C17" s="66" t="str">
        <f t="shared" si="1"/>
        <v>Residential</v>
      </c>
      <c r="D17" s="66" t="str">
        <f t="shared" si="2"/>
        <v>flat rate</v>
      </c>
      <c r="E17" s="30" t="s">
        <v>19</v>
      </c>
      <c r="F17" s="258">
        <f>F15</f>
        <v>3900</v>
      </c>
      <c r="G17" s="64" t="s">
        <v>55</v>
      </c>
      <c r="H17" s="487">
        <f>SUM(H9:H15)</f>
        <v>13.835244134497829</v>
      </c>
      <c r="I17" s="487">
        <f>SUM(I9:I16)</f>
        <v>172.20366495885477</v>
      </c>
      <c r="J17" s="487">
        <f>SUM(J9:J16)</f>
        <v>685.42953747403146</v>
      </c>
      <c r="K17" s="564"/>
      <c r="L17" s="565"/>
      <c r="M17" s="564">
        <f t="shared" si="3"/>
        <v>-0.13287948479096934</v>
      </c>
      <c r="N17" s="566"/>
      <c r="O17" s="487">
        <f>SUM(O11:O15)</f>
        <v>13.125399999999999</v>
      </c>
      <c r="P17" s="487">
        <f>SUM(P9:P16)</f>
        <v>149.03195222409479</v>
      </c>
      <c r="Q17" s="487">
        <f>SUM(Q9:Q16)</f>
        <v>594.35001367396978</v>
      </c>
      <c r="R17" s="484"/>
      <c r="S17" s="484"/>
      <c r="T17" s="607"/>
      <c r="U17" s="484"/>
      <c r="V17" s="484"/>
      <c r="W17" s="484"/>
      <c r="X17" s="484"/>
      <c r="Y17" s="484"/>
      <c r="Z17" s="484"/>
      <c r="AA17" s="484"/>
      <c r="AB17" s="484"/>
      <c r="AC17" s="484"/>
      <c r="AD17" s="484"/>
      <c r="AE17" s="484"/>
      <c r="AF17" s="484"/>
      <c r="AG17" s="484"/>
      <c r="AH17" s="484"/>
      <c r="AI17" s="484"/>
      <c r="AJ17" s="484"/>
    </row>
    <row r="18" spans="2:36" x14ac:dyDescent="0.35">
      <c r="B18" s="66" t="str">
        <f t="shared" si="0"/>
        <v>Ausgrid</v>
      </c>
      <c r="C18" s="66" t="str">
        <f t="shared" si="1"/>
        <v>Residential</v>
      </c>
      <c r="D18" s="66" t="str">
        <f t="shared" si="2"/>
        <v>flat rate</v>
      </c>
      <c r="F18" s="258"/>
      <c r="G18" s="30" t="s">
        <v>38</v>
      </c>
      <c r="H18" s="482"/>
      <c r="I18" s="482"/>
      <c r="J18" s="482">
        <f>J17*GST</f>
        <v>68.542953747403146</v>
      </c>
      <c r="K18" s="484"/>
      <c r="L18" s="567"/>
      <c r="M18" s="484"/>
      <c r="N18" s="568"/>
      <c r="O18" s="482"/>
      <c r="P18" s="610"/>
      <c r="Q18" s="482">
        <f>Q17*GST</f>
        <v>59.435001367396978</v>
      </c>
      <c r="R18" s="564"/>
      <c r="S18" s="564"/>
      <c r="T18" s="611"/>
      <c r="U18" s="564"/>
      <c r="V18" s="564"/>
      <c r="W18" s="564"/>
      <c r="X18" s="564"/>
      <c r="Y18" s="564"/>
      <c r="Z18" s="564"/>
      <c r="AA18" s="564"/>
      <c r="AB18" s="564"/>
      <c r="AC18" s="564"/>
      <c r="AD18" s="564"/>
      <c r="AE18" s="564"/>
      <c r="AF18" s="564"/>
      <c r="AG18" s="564"/>
      <c r="AH18" s="564"/>
      <c r="AI18" s="564"/>
      <c r="AJ18" s="564"/>
    </row>
    <row r="19" spans="2:36" x14ac:dyDescent="0.35">
      <c r="B19" s="66" t="str">
        <f t="shared" si="0"/>
        <v>Ausgrid</v>
      </c>
      <c r="C19" s="66" t="str">
        <f t="shared" si="1"/>
        <v>Residential</v>
      </c>
      <c r="D19" s="66" t="str">
        <f t="shared" si="2"/>
        <v>flat rate</v>
      </c>
      <c r="E19" s="30" t="s">
        <v>19</v>
      </c>
      <c r="F19" s="258"/>
      <c r="G19" s="64" t="s">
        <v>79</v>
      </c>
      <c r="H19" s="487"/>
      <c r="I19" s="487"/>
      <c r="J19" s="487">
        <f>SUM(J17:J18)</f>
        <v>753.97249122143467</v>
      </c>
      <c r="K19" s="564"/>
      <c r="L19" s="565"/>
      <c r="M19" s="564">
        <f>IF(OR(J19=0,Q19=""),"",Q19/J19-1)</f>
        <v>-0.13287948479096945</v>
      </c>
      <c r="N19" s="566"/>
      <c r="O19" s="487"/>
      <c r="P19" s="487"/>
      <c r="Q19" s="487">
        <f>SUM(Q17:Q18)</f>
        <v>653.78501504136671</v>
      </c>
      <c r="R19" s="564"/>
      <c r="S19" s="596"/>
      <c r="T19" s="611"/>
      <c r="U19" s="596"/>
      <c r="V19" s="596"/>
      <c r="W19" s="596"/>
      <c r="X19" s="564"/>
      <c r="Y19" s="564"/>
      <c r="Z19" s="564"/>
      <c r="AA19" s="564"/>
      <c r="AB19" s="564"/>
      <c r="AC19" s="564"/>
      <c r="AD19" s="564"/>
      <c r="AE19" s="564"/>
      <c r="AF19" s="564"/>
      <c r="AG19" s="564"/>
      <c r="AH19" s="564"/>
      <c r="AI19" s="564"/>
      <c r="AJ19" s="564"/>
    </row>
    <row r="20" spans="2:36" x14ac:dyDescent="0.35">
      <c r="B20" s="66"/>
      <c r="C20" s="66"/>
      <c r="D20" s="66"/>
      <c r="F20" s="258"/>
      <c r="H20" s="482"/>
      <c r="I20" s="482"/>
      <c r="J20" s="482"/>
      <c r="K20" s="484"/>
      <c r="L20" s="567"/>
      <c r="M20" s="484"/>
      <c r="N20" s="568"/>
      <c r="O20" s="482"/>
      <c r="P20" s="487"/>
      <c r="Q20" s="482"/>
      <c r="R20" s="484"/>
      <c r="S20" s="484"/>
      <c r="T20" s="607"/>
      <c r="U20" s="484"/>
      <c r="V20" s="484"/>
      <c r="W20" s="484"/>
      <c r="X20" s="484"/>
      <c r="Y20" s="484"/>
      <c r="Z20" s="484"/>
      <c r="AA20" s="484"/>
      <c r="AB20" s="484"/>
      <c r="AC20" s="484"/>
      <c r="AD20" s="484"/>
      <c r="AE20" s="484"/>
      <c r="AF20" s="484"/>
      <c r="AG20" s="484"/>
      <c r="AH20" s="484"/>
      <c r="AI20" s="484"/>
      <c r="AJ20" s="484"/>
    </row>
    <row r="21" spans="2:36" s="570" customFormat="1" x14ac:dyDescent="0.35">
      <c r="B21" s="571" t="s">
        <v>2</v>
      </c>
      <c r="C21" s="571" t="s">
        <v>6</v>
      </c>
      <c r="D21" s="571" t="s">
        <v>272</v>
      </c>
      <c r="F21" s="485"/>
      <c r="H21" s="574"/>
      <c r="I21" s="574"/>
      <c r="J21" s="574"/>
      <c r="K21" s="575"/>
      <c r="L21" s="575"/>
      <c r="M21" s="575"/>
      <c r="N21" s="576"/>
      <c r="O21" s="574"/>
      <c r="P21" s="574"/>
      <c r="Q21" s="574"/>
      <c r="R21" s="575"/>
      <c r="S21" s="575"/>
      <c r="T21" s="612"/>
      <c r="U21" s="575"/>
      <c r="V21" s="575"/>
      <c r="W21" s="575"/>
      <c r="X21" s="575"/>
      <c r="Y21" s="575"/>
      <c r="Z21" s="575"/>
      <c r="AA21" s="575"/>
      <c r="AB21" s="575"/>
      <c r="AC21" s="575"/>
      <c r="AD21" s="575"/>
      <c r="AE21" s="575"/>
      <c r="AF21" s="575"/>
      <c r="AG21" s="575"/>
      <c r="AH21" s="575"/>
      <c r="AI21" s="575"/>
      <c r="AJ21" s="575"/>
    </row>
    <row r="22" spans="2:36" s="570" customFormat="1" x14ac:dyDescent="0.35">
      <c r="B22" s="66" t="str">
        <f t="shared" ref="B22:B42" si="8">B21</f>
        <v>Ausgrid</v>
      </c>
      <c r="C22" s="66" t="str">
        <f t="shared" ref="C22:C42" si="9">C21</f>
        <v>Residential</v>
      </c>
      <c r="D22" s="66" t="str">
        <f t="shared" ref="D22:D42" si="10">D21</f>
        <v>time of use</v>
      </c>
      <c r="E22" s="570" t="s">
        <v>279</v>
      </c>
      <c r="F22" s="485" cm="1">
        <f t="array" ref="F22">_xlfn.XLOOKUP(1,($B22=DistributionZone)*($C22=CustomerType)*($D22=tariffL2)*($F$5=Description),valuesPY)*_xlfn.XLOOKUP(1,($B22=DistributionZone)*($C22=CustomerType)*($D22=tariffL2)*($E22=tariffType)*("Usage proportion"=Description),valuesFY)</f>
        <v>3037.4321036753113</v>
      </c>
      <c r="G22" s="570" t="s">
        <v>69</v>
      </c>
      <c r="H22" s="574"/>
      <c r="I22" s="574" cm="1">
        <f t="array" ref="I22">IFERROR(_xlfn.XLOOKUP(1,($B22=DistributionZone)*($C22=CustomerType)*($E22=tariffType)*("WEC scale"=Description),valuesPY),0)</f>
        <v>0</v>
      </c>
      <c r="J22" s="574">
        <f t="shared" ref="J22:J27" si="11">H22+I22*F22/1000</f>
        <v>0</v>
      </c>
      <c r="K22" s="575" t="str">
        <f>IFERROR(J22/J30,"")</f>
        <v/>
      </c>
      <c r="L22" s="575"/>
      <c r="M22" s="575" t="str">
        <f>IF(OR(J22=0,Q22=""),"",Q22/J22-1)</f>
        <v/>
      </c>
      <c r="N22" s="576"/>
      <c r="O22" s="574"/>
      <c r="P22" s="574" cm="1">
        <f t="array" ref="P22">IFERROR(_xlfn.XLOOKUP(1,($B22=DistributionZone)*($C22=CustomerType)*($E22=tariffType)*("WEC"=Description),valuesFY),0)</f>
        <v>129.31337105625872</v>
      </c>
      <c r="Q22" s="574">
        <f t="shared" ref="Q22:Q27" si="12">O22+P22*$F22/1000</f>
        <v>392.78058468075801</v>
      </c>
      <c r="R22" s="575">
        <f>IFERROR(Q22/Q30,"")</f>
        <v>0.89130466045347267</v>
      </c>
      <c r="S22" s="575"/>
      <c r="T22" s="613"/>
      <c r="U22" s="575"/>
      <c r="V22" s="575"/>
      <c r="W22" s="575"/>
      <c r="X22" s="575"/>
      <c r="Y22" s="575"/>
      <c r="Z22" s="575"/>
      <c r="AA22" s="575"/>
      <c r="AB22" s="575"/>
      <c r="AC22" s="575"/>
      <c r="AD22" s="575"/>
      <c r="AE22" s="575"/>
      <c r="AF22" s="575"/>
      <c r="AG22" s="575"/>
      <c r="AH22" s="575"/>
      <c r="AI22" s="575"/>
      <c r="AJ22" s="575"/>
    </row>
    <row r="23" spans="2:36" s="570" customFormat="1" x14ac:dyDescent="0.35">
      <c r="B23" s="66" t="str">
        <f t="shared" si="8"/>
        <v>Ausgrid</v>
      </c>
      <c r="C23" s="66" t="str">
        <f t="shared" si="9"/>
        <v>Residential</v>
      </c>
      <c r="D23" s="66" t="str">
        <f t="shared" si="10"/>
        <v>time of use</v>
      </c>
      <c r="E23" s="570" t="s">
        <v>279</v>
      </c>
      <c r="F23" s="485" cm="1">
        <f t="array" ref="F23">_xlfn.XLOOKUP(1,($B23=DistributionZone)*($C23=CustomerType)*($D23=tariffL2)*($F$5=Description),valuesPY)*_xlfn.XLOOKUP(1,($B23=DistributionZone)*($C23=CustomerType)*($D23=tariffL2)*($E23=tariffType)*("Usage proportion"=Description),valuesFY)</f>
        <v>3037.4321036753113</v>
      </c>
      <c r="G23" s="570" t="s">
        <v>70</v>
      </c>
      <c r="H23" s="574"/>
      <c r="I23" s="574" cm="1">
        <f t="array" ref="I23">IFERROR(_xlfn.XLOOKUP(1,($B23=DistributionZone)*(I$5=Desc_FixedOrVar)*($G23=Description),valuesPY),0)</f>
        <v>0.15378802592718904</v>
      </c>
      <c r="J23" s="574">
        <f t="shared" si="11"/>
        <v>0.46712068711209515</v>
      </c>
      <c r="K23" s="575" t="str">
        <f>IFERROR(J23/J30,"")</f>
        <v/>
      </c>
      <c r="L23" s="575"/>
      <c r="M23" s="575">
        <f>IF(OR(J23=0,Q23=""),"",Q23/J23-1)</f>
        <v>-0.19621579764116659</v>
      </c>
      <c r="N23" s="576"/>
      <c r="O23" s="574"/>
      <c r="P23" s="574" cm="1">
        <f t="array" ref="P23">IFERROR(_xlfn.XLOOKUP(1,($B23=DistributionZone)*(P$5=Desc_FixedOrVar)*($G23=Description),valuesFY),0)</f>
        <v>0.12361238575222523</v>
      </c>
      <c r="Q23" s="574">
        <f t="shared" si="12"/>
        <v>0.37546422889570558</v>
      </c>
      <c r="R23" s="575">
        <f>IFERROR(Q23/Q30,"")</f>
        <v>8.5201007916495969E-4</v>
      </c>
      <c r="S23" s="575"/>
      <c r="T23" s="614"/>
      <c r="U23" s="575"/>
      <c r="V23" s="575"/>
      <c r="W23" s="575"/>
      <c r="X23" s="575"/>
      <c r="Y23" s="575"/>
      <c r="Z23" s="575"/>
      <c r="AA23" s="575"/>
      <c r="AB23" s="575"/>
      <c r="AC23" s="575"/>
      <c r="AD23" s="575"/>
      <c r="AE23" s="575"/>
      <c r="AF23" s="575"/>
      <c r="AG23" s="575"/>
      <c r="AH23" s="575"/>
      <c r="AI23" s="575"/>
      <c r="AJ23" s="575"/>
    </row>
    <row r="24" spans="2:36" s="570" customFormat="1" x14ac:dyDescent="0.35">
      <c r="B24" s="66" t="str">
        <f t="shared" si="8"/>
        <v>Ausgrid</v>
      </c>
      <c r="C24" s="66" t="str">
        <f t="shared" si="9"/>
        <v>Residential</v>
      </c>
      <c r="D24" s="66" t="str">
        <f t="shared" si="10"/>
        <v>time of use</v>
      </c>
      <c r="E24" s="570" t="s">
        <v>279</v>
      </c>
      <c r="F24" s="485" cm="1">
        <f t="array" ref="F24">_xlfn.XLOOKUP(1,($B24=DistributionZone)*($C24=CustomerType)*($D24=tariffL2)*($F$5=Description),valuesPY)*_xlfn.XLOOKUP(1,($B24=DistributionZone)*($C24=CustomerType)*($D24=tariffL2)*($E24=tariffType)*("Usage proportion"=Description),valuesFY)</f>
        <v>3037.4321036753113</v>
      </c>
      <c r="G24" s="570" t="s">
        <v>77</v>
      </c>
      <c r="H24" s="574" cm="1">
        <f t="array" ref="H24">IFERROR(_xlfn.XLOOKUP(1,($B24=DistributionZone)*(H$5=Desc_FixedOrVar)*($G24=Description),valuesPY),0)*Days/7</f>
        <v>13.835244134497829</v>
      </c>
      <c r="I24" s="574" cm="1">
        <f t="array" ref="I24">IFERROR(_xlfn.XLOOKUP(1,($B24=DistributionZone)*(I$5=Desc_FixedOrVar)*($G24=Description),valuesPY),0)</f>
        <v>0.57443</v>
      </c>
      <c r="J24" s="574">
        <f t="shared" si="11"/>
        <v>15.580036257812038</v>
      </c>
      <c r="K24" s="575" t="str">
        <f>IFERROR(J24/J30,"")</f>
        <v/>
      </c>
      <c r="L24" s="575"/>
      <c r="M24" s="575">
        <f>IF(OR(J24=0,Q24=""),"",Q24/J24-1)</f>
        <v>-5.6289600913049576E-2</v>
      </c>
      <c r="N24" s="576"/>
      <c r="O24" s="574" cm="1">
        <f t="array" ref="O24">IFERROR(_xlfn.XLOOKUP(1,($B24=DistributionZone)*(O$5=Desc_FixedOrVar)*($G24=Description),valuesFY),0)*Days/7</f>
        <v>13.125399999999999</v>
      </c>
      <c r="P24" s="574" cm="1">
        <f t="array" ref="P24">IFERROR(_xlfn.XLOOKUP(1,($B24=DistributionZone)*(P$5=Desc_FixedOrVar)*($G24=Description),valuesFY),0)</f>
        <v>0.51939999999999997</v>
      </c>
      <c r="Q24" s="574">
        <f>O24+P24*$F24/1000</f>
        <v>14.703042234648956</v>
      </c>
      <c r="R24" s="575">
        <f>IFERROR(Q24/Q30,"")</f>
        <v>3.3364403887830081E-2</v>
      </c>
      <c r="S24" s="575"/>
      <c r="T24" s="612"/>
      <c r="U24" s="575"/>
      <c r="V24" s="575"/>
      <c r="W24" s="575"/>
      <c r="X24" s="575"/>
      <c r="Y24" s="575"/>
      <c r="Z24" s="575"/>
      <c r="AA24" s="575"/>
      <c r="AB24" s="575"/>
      <c r="AC24" s="575"/>
      <c r="AD24" s="575"/>
      <c r="AE24" s="575"/>
      <c r="AF24" s="575"/>
      <c r="AG24" s="575"/>
      <c r="AH24" s="575"/>
      <c r="AI24" s="575"/>
      <c r="AJ24" s="575"/>
    </row>
    <row r="25" spans="2:36" s="570" customFormat="1" x14ac:dyDescent="0.35">
      <c r="B25" s="66" t="str">
        <f t="shared" si="8"/>
        <v>Ausgrid</v>
      </c>
      <c r="C25" s="66" t="str">
        <f t="shared" si="9"/>
        <v>Residential</v>
      </c>
      <c r="D25" s="66" t="str">
        <f t="shared" si="10"/>
        <v>time of use</v>
      </c>
      <c r="E25" s="570" t="s">
        <v>279</v>
      </c>
      <c r="F25" s="485" cm="1">
        <f t="array" ref="F25">_xlfn.XLOOKUP(1,($B25=DistributionZone)*($C25=CustomerType)*($D25=tariffL2)*($F$5=Description),valuesPY)*_xlfn.XLOOKUP(1,($B25=DistributionZone)*($C25=CustomerType)*($D25=tariffL2)*($E25=tariffType)*("Usage proportion"=Description),valuesFY)</f>
        <v>3037.4321036753113</v>
      </c>
      <c r="G25" s="570" t="s">
        <v>71</v>
      </c>
      <c r="H25" s="574"/>
      <c r="I25" s="574" cm="1">
        <f t="array" ref="I25">IFERROR(_xlfn.XLOOKUP(1,($B25=DistributionZone)*(I$5=Desc_FixedOrVar)*($G25=Description),valuesPY),0)</f>
        <v>5.2786233739509421E-2</v>
      </c>
      <c r="J25" s="574">
        <f t="shared" si="11"/>
        <v>0.16033460099249477</v>
      </c>
      <c r="K25" s="575" t="str">
        <f>IFERROR(J25/J30,"")</f>
        <v/>
      </c>
      <c r="L25" s="575"/>
      <c r="M25" s="575"/>
      <c r="N25" s="576"/>
      <c r="O25" s="574"/>
      <c r="P25" s="574" cm="1">
        <f t="array" ref="P25">IFERROR(_xlfn.XLOOKUP(1,($B25=DistributionZone)*(P$5=Desc_FixedOrVar)*($G25=Description),valuesFY),0)</f>
        <v>0.12737410774067126</v>
      </c>
      <c r="Q25" s="574">
        <f t="shared" si="12"/>
        <v>0.38689020402851287</v>
      </c>
      <c r="R25" s="575">
        <f>IFERROR(Q25/Q30,"")</f>
        <v>8.7793810433548576E-4</v>
      </c>
      <c r="S25" s="575"/>
      <c r="T25" s="612"/>
      <c r="U25" s="575"/>
      <c r="V25" s="575"/>
      <c r="W25" s="575"/>
      <c r="X25" s="575"/>
      <c r="Y25" s="575"/>
      <c r="Z25" s="575"/>
      <c r="AA25" s="575"/>
      <c r="AB25" s="575"/>
      <c r="AC25" s="575"/>
      <c r="AD25" s="575"/>
      <c r="AE25" s="575"/>
      <c r="AF25" s="575"/>
      <c r="AG25" s="575"/>
      <c r="AH25" s="575"/>
      <c r="AI25" s="575"/>
      <c r="AJ25" s="575"/>
    </row>
    <row r="26" spans="2:36" s="570" customFormat="1" x14ac:dyDescent="0.35">
      <c r="B26" s="66" t="str">
        <f t="shared" si="8"/>
        <v>Ausgrid</v>
      </c>
      <c r="C26" s="66" t="str">
        <f t="shared" si="9"/>
        <v>Residential</v>
      </c>
      <c r="D26" s="66" t="str">
        <f t="shared" si="10"/>
        <v>time of use</v>
      </c>
      <c r="E26" s="570" t="s">
        <v>279</v>
      </c>
      <c r="F26" s="485" cm="1">
        <f t="array" ref="F26">_xlfn.XLOOKUP(1,($B26=DistributionZone)*($C26=CustomerType)*($D26=tariffL2)*($F$5=Description),valuesPY)*_xlfn.XLOOKUP(1,($B26=DistributionZone)*($C26=CustomerType)*($D26=tariffL2)*($E26=tariffType)*("Usage proportion"=Description),valuesFY)</f>
        <v>3037.4321036753113</v>
      </c>
      <c r="G26" s="615" t="s">
        <v>173</v>
      </c>
      <c r="H26" s="574"/>
      <c r="I26" s="574" cm="1">
        <f t="array" ref="I26">IFERROR(_xlfn.XLOOKUP(1,($B26=DistributionZone)*(I$5=Desc_FixedOrVar)*($G26=Description),valuesPY),0)</f>
        <v>0.11507709849820914</v>
      </c>
      <c r="J26" s="574">
        <f t="shared" si="11"/>
        <v>0.34953887337626638</v>
      </c>
      <c r="K26" s="575" t="str">
        <f>IFERROR(J26/J30,"")</f>
        <v/>
      </c>
      <c r="L26" s="575"/>
      <c r="M26" s="575"/>
      <c r="N26" s="576"/>
      <c r="O26" s="574"/>
      <c r="P26" s="574" cm="1">
        <f t="array" ref="P26">IFERROR(_xlfn.XLOOKUP(1,($B26=DistributionZone)*(P$5=Desc_FixedOrVar)*($G26=Description),valuesFY),0)</f>
        <v>0</v>
      </c>
      <c r="Q26" s="574">
        <f t="shared" si="12"/>
        <v>0</v>
      </c>
      <c r="R26" s="575">
        <f>IFERROR(Q26/Q30,"")</f>
        <v>0</v>
      </c>
      <c r="S26" s="575"/>
      <c r="T26" s="612"/>
      <c r="U26" s="575"/>
      <c r="V26" s="575"/>
      <c r="W26" s="575"/>
      <c r="X26" s="575"/>
      <c r="Y26" s="575"/>
      <c r="Z26" s="575"/>
      <c r="AA26" s="575"/>
      <c r="AB26" s="575"/>
      <c r="AC26" s="575"/>
      <c r="AD26" s="575"/>
      <c r="AE26" s="575"/>
      <c r="AF26" s="575"/>
      <c r="AG26" s="575"/>
      <c r="AH26" s="575"/>
      <c r="AI26" s="575"/>
      <c r="AJ26" s="575"/>
    </row>
    <row r="27" spans="2:36" s="570" customFormat="1" x14ac:dyDescent="0.35">
      <c r="B27" s="66" t="str">
        <f t="shared" si="8"/>
        <v>Ausgrid</v>
      </c>
      <c r="C27" s="66" t="str">
        <f t="shared" si="9"/>
        <v>Residential</v>
      </c>
      <c r="D27" s="66" t="str">
        <f t="shared" si="10"/>
        <v>time of use</v>
      </c>
      <c r="E27" s="570" t="s">
        <v>279</v>
      </c>
      <c r="F27" s="485" cm="1">
        <f t="array" ref="F27">_xlfn.XLOOKUP(1,($B27=DistributionZone)*($C27=CustomerType)*($D27=tariffL2)*($F$5=Description),valuesPY)*_xlfn.XLOOKUP(1,($B27=DistributionZone)*($C27=CustomerType)*($D27=tariffL2)*($E27=tariffType)*("Usage proportion"=Description),valuesFY)</f>
        <v>3037.4321036753113</v>
      </c>
      <c r="G27" s="570" t="s">
        <v>130</v>
      </c>
      <c r="H27" s="574"/>
      <c r="I27" s="574" cm="1">
        <f t="array" ref="I27">IFERROR(_xlfn.XLOOKUP(1,($B27=DistributionZone)*(I$5=Desc_FixedOrVar)*($G27=Description),valuesPY),0)</f>
        <v>2.8625958258186368</v>
      </c>
      <c r="J27" s="574">
        <f t="shared" si="11"/>
        <v>8.6949404611884678</v>
      </c>
      <c r="K27" s="575" t="str">
        <f>IFERROR(J27/J30,"")</f>
        <v/>
      </c>
      <c r="L27" s="575"/>
      <c r="M27" s="575">
        <f t="shared" ref="M27:M33" si="13">IF(OR(J27=0,Q27=""),"",Q27/J27-1)</f>
        <v>-5.7279088688867663E-2</v>
      </c>
      <c r="N27" s="576"/>
      <c r="O27" s="574"/>
      <c r="P27" s="574" cm="1">
        <f t="array" ref="P27">IFERROR(_xlfn.XLOOKUP(1,($B27=DistributionZone)*(P$5=Desc_FixedOrVar)*($G27=Description),valuesFY),0)</f>
        <v>2.6986289456311892</v>
      </c>
      <c r="Q27" s="574">
        <f t="shared" si="12"/>
        <v>8.1969021953676293</v>
      </c>
      <c r="R27" s="575">
        <f>IFERROR(Q27/Q30,"")</f>
        <v>1.8600555661249265E-2</v>
      </c>
      <c r="S27" s="575"/>
      <c r="T27" s="612"/>
      <c r="U27" s="603"/>
      <c r="V27" s="603"/>
      <c r="W27" s="575"/>
      <c r="X27" s="575"/>
      <c r="Y27" s="575"/>
      <c r="Z27" s="575"/>
      <c r="AA27" s="575"/>
      <c r="AB27" s="575"/>
      <c r="AC27" s="575"/>
      <c r="AD27" s="575"/>
      <c r="AE27" s="575"/>
      <c r="AF27" s="575"/>
      <c r="AG27" s="575"/>
      <c r="AH27" s="575"/>
      <c r="AI27" s="575"/>
      <c r="AJ27" s="575"/>
    </row>
    <row r="28" spans="2:36" s="570" customFormat="1" x14ac:dyDescent="0.35">
      <c r="B28" s="66" t="str">
        <f t="shared" si="8"/>
        <v>Ausgrid</v>
      </c>
      <c r="C28" s="66" t="str">
        <f t="shared" si="9"/>
        <v>Residential</v>
      </c>
      <c r="D28" s="66" t="str">
        <f t="shared" si="10"/>
        <v>time of use</v>
      </c>
      <c r="E28" s="570" t="s">
        <v>279</v>
      </c>
      <c r="F28" s="485" cm="1">
        <f t="array" ref="F28">_xlfn.XLOOKUP(1,($B28=DistributionZone)*($C28=CustomerType)*($D28=tariffL2)*($F$5=Description),valuesPY)*_xlfn.XLOOKUP(1,($B28=DistributionZone)*($C28=CustomerType)*($D28=tariffL2)*($E28=tariffType)*("Usage proportion"=Description),valuesFY)</f>
        <v>3037.4321036753113</v>
      </c>
      <c r="G28" s="570" t="s">
        <v>302</v>
      </c>
      <c r="H28" s="574"/>
      <c r="I28" s="574"/>
      <c r="J28" s="574"/>
      <c r="K28" s="575"/>
      <c r="L28" s="575"/>
      <c r="M28" s="575"/>
      <c r="N28" s="576"/>
      <c r="O28" s="574"/>
      <c r="P28" s="574" cm="1">
        <f t="array" ref="P28">IFERROR(_xlfn.XLOOKUP(1,($B28=DistributionZone)*($D28=tariffL2)*($G28=Description),valuesFY),0)</f>
        <v>1.7960000000000009</v>
      </c>
      <c r="Q28" s="574">
        <f>O28+P28*$F28/1000</f>
        <v>5.4552280582008619</v>
      </c>
      <c r="R28" s="575">
        <f>IFERROR(Q28/Q30,"")</f>
        <v>1.2379100143310048E-2</v>
      </c>
      <c r="S28" s="575"/>
      <c r="T28" s="612"/>
      <c r="U28" s="603"/>
      <c r="V28" s="603"/>
      <c r="W28" s="575"/>
      <c r="X28" s="575"/>
      <c r="Y28" s="575"/>
      <c r="Z28" s="575"/>
      <c r="AA28" s="575"/>
      <c r="AB28" s="575"/>
      <c r="AC28" s="575"/>
      <c r="AD28" s="575"/>
      <c r="AE28" s="575"/>
      <c r="AF28" s="575"/>
      <c r="AG28" s="575"/>
      <c r="AH28" s="575"/>
      <c r="AI28" s="575"/>
      <c r="AJ28" s="575"/>
    </row>
    <row r="29" spans="2:36" s="570" customFormat="1" x14ac:dyDescent="0.35">
      <c r="B29" s="66" t="str">
        <f t="shared" si="8"/>
        <v>Ausgrid</v>
      </c>
      <c r="C29" s="66" t="str">
        <f t="shared" si="9"/>
        <v>Residential</v>
      </c>
      <c r="D29" s="66" t="str">
        <f t="shared" si="10"/>
        <v>time of use</v>
      </c>
      <c r="E29" s="570" t="s">
        <v>279</v>
      </c>
      <c r="F29" s="485" cm="1">
        <f t="array" ref="F29">_xlfn.XLOOKUP(1,($B29=DistributionZone)*($C29=CustomerType)*($D29=tariffL2)*($F$5=Description),valuesPY)*_xlfn.XLOOKUP(1,($B29=DistributionZone)*($C29=CustomerType)*($D29=tariffL2)*($E29=tariffType)*("Usage proportion"=Description),valuesFY)</f>
        <v>3037.4321036753113</v>
      </c>
      <c r="G29" s="570" t="s">
        <v>72</v>
      </c>
      <c r="H29" s="574"/>
      <c r="I29" s="574" cm="1">
        <f t="array" ref="I29">IFERROR(_xlfn.XLOOKUP(1,($B29=DistributionZone)*($C29=CustomerType)*("Losses"=Description),valuesPY),0)*SUM(I22:I27)</f>
        <v>0.1682353825604625</v>
      </c>
      <c r="J29" s="574">
        <f>I29*F29/1000</f>
        <v>0.51100355196324632</v>
      </c>
      <c r="K29" s="575" t="str">
        <f>IFERROR(J29/J30,"")</f>
        <v/>
      </c>
      <c r="L29" s="575"/>
      <c r="M29" s="575">
        <f t="shared" si="13"/>
        <v>35.755888954907554</v>
      </c>
      <c r="N29" s="576"/>
      <c r="O29" s="574"/>
      <c r="P29" s="574" cm="1">
        <f t="array" ref="P29">IFERROR(_xlfn.XLOOKUP(1,($B29=DistributionZone)*($C29=CustomerType)*("Losses"=Description)*($D29=tariffType)*($P$5=Desc_FixedOrVar),valuesFY),0)*SUM(P22:P28)</f>
        <v>6.1836410396787507</v>
      </c>
      <c r="Q29" s="574">
        <f>P29*F29/1000</f>
        <v>18.782389811524414</v>
      </c>
      <c r="R29" s="575">
        <f>IFERROR(Q29/Q30,"")</f>
        <v>4.2621331670637565E-2</v>
      </c>
      <c r="S29" s="575"/>
      <c r="T29" s="616"/>
      <c r="U29" s="617"/>
      <c r="V29" s="617"/>
      <c r="W29" s="575"/>
      <c r="X29" s="575"/>
      <c r="Y29" s="575"/>
      <c r="Z29" s="575"/>
      <c r="AA29" s="575"/>
      <c r="AB29" s="575"/>
      <c r="AC29" s="575"/>
      <c r="AD29" s="575"/>
      <c r="AE29" s="575"/>
      <c r="AF29" s="575"/>
      <c r="AG29" s="575"/>
      <c r="AH29" s="575"/>
      <c r="AI29" s="575"/>
      <c r="AJ29" s="575"/>
    </row>
    <row r="30" spans="2:36" s="570" customFormat="1" ht="14.5" x14ac:dyDescent="0.35">
      <c r="B30" s="66" t="str">
        <f t="shared" si="8"/>
        <v>Ausgrid</v>
      </c>
      <c r="C30" s="66" t="str">
        <f t="shared" si="9"/>
        <v>Residential</v>
      </c>
      <c r="D30" s="66" t="str">
        <f t="shared" si="10"/>
        <v>time of use</v>
      </c>
      <c r="E30" s="570" t="s">
        <v>279</v>
      </c>
      <c r="F30" s="485" cm="1">
        <f t="array" ref="F30">_xlfn.XLOOKUP(1,($B30=DistributionZone)*($C30=CustomerType)*($D30=tariffL2)*($F$5=Description),valuesPY)*_xlfn.XLOOKUP(1,($B30=DistributionZone)*($C30=CustomerType)*($D30=tariffL2)*($E30=tariffType)*("Usage proportion"=Description),valuesFY)</f>
        <v>3037.4321036753113</v>
      </c>
      <c r="G30" s="571" t="s">
        <v>55</v>
      </c>
      <c r="H30" s="676"/>
      <c r="I30" s="577">
        <f>IF($H$3=PY,0,SUM(I22:I29))</f>
        <v>0</v>
      </c>
      <c r="J30" s="577">
        <f>IF($H$3=PY,0,SUM(J22:J29))</f>
        <v>0</v>
      </c>
      <c r="K30" s="578"/>
      <c r="L30" s="579"/>
      <c r="M30" s="578" t="str">
        <f t="shared" si="13"/>
        <v/>
      </c>
      <c r="N30" s="580"/>
      <c r="O30" s="577"/>
      <c r="P30" s="577">
        <f>SUM(P22:P29)</f>
        <v>140.76202753506155</v>
      </c>
      <c r="Q30" s="577">
        <f>SUM(Q22:Q29)</f>
        <v>440.68050141342405</v>
      </c>
      <c r="R30" s="578"/>
      <c r="S30" s="575"/>
      <c r="T30" s="612"/>
      <c r="U30" s="603"/>
      <c r="V30" s="575"/>
      <c r="W30" s="575"/>
      <c r="X30" s="575"/>
      <c r="Y30" s="575"/>
      <c r="Z30" s="575"/>
      <c r="AA30" s="575"/>
      <c r="AB30" s="575"/>
      <c r="AC30" s="575"/>
      <c r="AD30" s="575"/>
      <c r="AE30" s="575"/>
      <c r="AF30" s="575"/>
      <c r="AG30" s="575"/>
      <c r="AH30" s="575"/>
      <c r="AI30" s="575"/>
      <c r="AJ30" s="575"/>
    </row>
    <row r="31" spans="2:36" s="570" customFormat="1" x14ac:dyDescent="0.35">
      <c r="B31" s="66" t="str">
        <f t="shared" si="8"/>
        <v>Ausgrid</v>
      </c>
      <c r="C31" s="66" t="str">
        <f t="shared" si="9"/>
        <v>Residential</v>
      </c>
      <c r="D31" s="66" t="str">
        <f t="shared" si="10"/>
        <v>time of use</v>
      </c>
      <c r="E31" s="570" t="s">
        <v>278</v>
      </c>
      <c r="F31" s="485" cm="1">
        <f t="array" ref="F31">_xlfn.XLOOKUP(1,($B31=DistributionZone)*($C31=CustomerType)*($D31=tariffL2)*($F$5=Description),valuesPY)*_xlfn.XLOOKUP(1,($B31=DistributionZone)*($C31=CustomerType)*($D31=tariffL2)*($E31=tariffType)*("Usage proportion"=Description),valuesFY)</f>
        <v>862.56789632468883</v>
      </c>
      <c r="G31" s="570" t="s">
        <v>69</v>
      </c>
      <c r="H31" s="574"/>
      <c r="I31" s="574" cm="1">
        <f t="array" ref="I31">IFERROR(_xlfn.XLOOKUP(1,($B31=DistributionZone)*($C31=CustomerType)*($E31=tariffType)*("WEC scale"=Description),valuesPY),0)*$I$9</f>
        <v>0</v>
      </c>
      <c r="J31" s="574">
        <f t="shared" ref="J31:J36" si="14">H31+I31*F31/1000</f>
        <v>0</v>
      </c>
      <c r="K31" s="575" t="str">
        <f t="shared" ref="K31:K36" si="15">IFERROR(J31/J$39,"")</f>
        <v/>
      </c>
      <c r="L31" s="575"/>
      <c r="M31" s="575" t="str">
        <f t="shared" si="13"/>
        <v/>
      </c>
      <c r="N31" s="576"/>
      <c r="O31" s="574"/>
      <c r="P31" s="574" cm="1">
        <f t="array" ref="P31">IFERROR(_xlfn.XLOOKUP(1,($B31=DistributionZone)*($C31=CustomerType)*($E31=tariffType)*("WEC"=Description),valuesFY),0)</f>
        <v>165.06227037418986</v>
      </c>
      <c r="Q31" s="574">
        <f t="shared" ref="Q31:Q36" si="16">O31+P31*$F31/1000</f>
        <v>142.37741531924195</v>
      </c>
      <c r="R31" s="575">
        <f>IFERROR(Q31/Q39,"")</f>
        <v>0.92651699888161299</v>
      </c>
      <c r="S31" s="575"/>
      <c r="T31" s="613"/>
      <c r="U31" s="575"/>
      <c r="V31" s="575"/>
      <c r="W31" s="575"/>
      <c r="X31" s="575"/>
      <c r="Y31" s="575"/>
      <c r="Z31" s="575"/>
      <c r="AA31" s="575"/>
      <c r="AB31" s="575"/>
      <c r="AC31" s="575"/>
      <c r="AD31" s="575"/>
      <c r="AE31" s="575"/>
      <c r="AF31" s="575"/>
      <c r="AG31" s="575"/>
      <c r="AH31" s="575"/>
      <c r="AI31" s="575"/>
      <c r="AJ31" s="575"/>
    </row>
    <row r="32" spans="2:36" s="570" customFormat="1" x14ac:dyDescent="0.35">
      <c r="B32" s="66" t="str">
        <f t="shared" si="8"/>
        <v>Ausgrid</v>
      </c>
      <c r="C32" s="66" t="str">
        <f t="shared" si="9"/>
        <v>Residential</v>
      </c>
      <c r="D32" s="66" t="str">
        <f t="shared" si="10"/>
        <v>time of use</v>
      </c>
      <c r="E32" s="570" t="s">
        <v>278</v>
      </c>
      <c r="F32" s="485" cm="1">
        <f t="array" ref="F32">_xlfn.XLOOKUP(1,($B32=DistributionZone)*($C32=CustomerType)*($D32=tariffL2)*($F$5=Description),valuesPY)*_xlfn.XLOOKUP(1,($B32=DistributionZone)*($C32=CustomerType)*($D32=tariffL2)*($E32=tariffType)*("Usage proportion"=Description),valuesFY)</f>
        <v>862.56789632468883</v>
      </c>
      <c r="G32" s="570" t="s">
        <v>70</v>
      </c>
      <c r="H32" s="574"/>
      <c r="I32" s="574" cm="1">
        <f t="array" ref="I32">IFERROR(_xlfn.XLOOKUP(1,($B32=DistributionZone)*(I$5=Desc_FixedOrVar)*($G32=Description),valuesPY),0)</f>
        <v>0.15378802592718904</v>
      </c>
      <c r="J32" s="574">
        <f t="shared" si="14"/>
        <v>0.13265261400394215</v>
      </c>
      <c r="K32" s="575" t="str">
        <f t="shared" si="15"/>
        <v/>
      </c>
      <c r="L32" s="575"/>
      <c r="M32" s="575">
        <f t="shared" si="13"/>
        <v>-0.19621579764116659</v>
      </c>
      <c r="N32" s="576"/>
      <c r="O32" s="574"/>
      <c r="P32" s="574" cm="1">
        <f t="array" ref="P32">IFERROR(_xlfn.XLOOKUP(1,($B32=DistributionZone)*(P$5=Desc_FixedOrVar)*($G32=Description),valuesFY),0)</f>
        <v>0.12361238575222523</v>
      </c>
      <c r="Q32" s="574">
        <f t="shared" si="16"/>
        <v>0.10662407553797286</v>
      </c>
      <c r="R32" s="575">
        <f>IFERROR(Q32/Q39,"")</f>
        <v>6.9385315258365928E-4</v>
      </c>
      <c r="S32" s="575"/>
      <c r="T32" s="612"/>
      <c r="U32" s="575"/>
      <c r="V32" s="575"/>
      <c r="W32" s="575"/>
      <c r="X32" s="575"/>
      <c r="Y32" s="575"/>
      <c r="Z32" s="575"/>
      <c r="AA32" s="575"/>
      <c r="AB32" s="575"/>
      <c r="AC32" s="575"/>
      <c r="AD32" s="575"/>
      <c r="AE32" s="575"/>
      <c r="AF32" s="575"/>
      <c r="AG32" s="575"/>
      <c r="AH32" s="575"/>
      <c r="AI32" s="575"/>
      <c r="AJ32" s="575"/>
    </row>
    <row r="33" spans="2:36" s="570" customFormat="1" x14ac:dyDescent="0.35">
      <c r="B33" s="66" t="str">
        <f t="shared" si="8"/>
        <v>Ausgrid</v>
      </c>
      <c r="C33" s="66" t="str">
        <f t="shared" si="9"/>
        <v>Residential</v>
      </c>
      <c r="D33" s="66" t="str">
        <f t="shared" si="10"/>
        <v>time of use</v>
      </c>
      <c r="E33" s="570" t="s">
        <v>278</v>
      </c>
      <c r="F33" s="485" cm="1">
        <f t="array" ref="F33">_xlfn.XLOOKUP(1,($B33=DistributionZone)*($C33=CustomerType)*($D33=tariffL2)*($F$5=Description),valuesPY)*_xlfn.XLOOKUP(1,($B33=DistributionZone)*($C33=CustomerType)*($D33=tariffL2)*($E33=tariffType)*("Usage proportion"=Description),valuesFY)</f>
        <v>862.56789632468883</v>
      </c>
      <c r="G33" s="570" t="s">
        <v>77</v>
      </c>
      <c r="H33" s="574"/>
      <c r="I33" s="574" cm="1">
        <f t="array" ref="I33">IFERROR(_xlfn.XLOOKUP(1,($B33=DistributionZone)*(I$5=Desc_FixedOrVar)*($G33=Description),valuesPY),0)</f>
        <v>0.57443</v>
      </c>
      <c r="J33" s="574">
        <f t="shared" si="14"/>
        <v>0.495484876685791</v>
      </c>
      <c r="K33" s="575" t="str">
        <f t="shared" si="15"/>
        <v/>
      </c>
      <c r="L33" s="575"/>
      <c r="M33" s="575">
        <f t="shared" si="13"/>
        <v>-9.5799314102675726E-2</v>
      </c>
      <c r="N33" s="576"/>
      <c r="O33" s="574"/>
      <c r="P33" s="574" cm="1">
        <f t="array" ref="P33">IFERROR(_xlfn.XLOOKUP(1,($B33=DistributionZone)*(P$5=Desc_FixedOrVar)*($G33=Description),valuesFY),0)</f>
        <v>0.51939999999999997</v>
      </c>
      <c r="Q33" s="574">
        <f t="shared" si="16"/>
        <v>0.44801776535104337</v>
      </c>
      <c r="R33" s="575">
        <f>IFERROR(Q33/Q39,"")</f>
        <v>2.9154629227392372E-3</v>
      </c>
      <c r="S33" s="575"/>
      <c r="T33" s="612"/>
      <c r="U33" s="575"/>
      <c r="V33" s="575"/>
      <c r="W33" s="575"/>
      <c r="X33" s="575"/>
      <c r="Y33" s="575"/>
      <c r="Z33" s="575"/>
      <c r="AA33" s="575"/>
      <c r="AB33" s="575"/>
      <c r="AC33" s="575"/>
      <c r="AD33" s="575"/>
      <c r="AE33" s="575"/>
      <c r="AF33" s="575"/>
      <c r="AG33" s="575"/>
      <c r="AH33" s="575"/>
      <c r="AI33" s="575"/>
      <c r="AJ33" s="575"/>
    </row>
    <row r="34" spans="2:36" s="570" customFormat="1" x14ac:dyDescent="0.35">
      <c r="B34" s="66" t="str">
        <f t="shared" si="8"/>
        <v>Ausgrid</v>
      </c>
      <c r="C34" s="66" t="str">
        <f t="shared" si="9"/>
        <v>Residential</v>
      </c>
      <c r="D34" s="66" t="str">
        <f t="shared" si="10"/>
        <v>time of use</v>
      </c>
      <c r="E34" s="570" t="s">
        <v>278</v>
      </c>
      <c r="F34" s="485" cm="1">
        <f t="array" ref="F34">_xlfn.XLOOKUP(1,($B34=DistributionZone)*($C34=CustomerType)*($D34=tariffL2)*($F$5=Description),valuesPY)*_xlfn.XLOOKUP(1,($B34=DistributionZone)*($C34=CustomerType)*($D34=tariffL2)*($E34=tariffType)*("Usage proportion"=Description),valuesFY)</f>
        <v>862.56789632468883</v>
      </c>
      <c r="G34" s="570" t="s">
        <v>71</v>
      </c>
      <c r="H34" s="574"/>
      <c r="I34" s="574" cm="1">
        <f t="array" ref="I34">IFERROR(_xlfn.XLOOKUP(1,($B34=DistributionZone)*(I$5=Desc_FixedOrVar)*($G34=Description),valuesPY),0)</f>
        <v>5.2786233739509421E-2</v>
      </c>
      <c r="J34" s="574">
        <f t="shared" si="14"/>
        <v>4.5531710591591952E-2</v>
      </c>
      <c r="K34" s="575" t="str">
        <f t="shared" si="15"/>
        <v/>
      </c>
      <c r="L34" s="575"/>
      <c r="M34" s="575"/>
      <c r="N34" s="576"/>
      <c r="O34" s="574"/>
      <c r="P34" s="574" cm="1">
        <f t="array" ref="P34">IFERROR(_xlfn.XLOOKUP(1,($B34=DistributionZone)*(P$5=Desc_FixedOrVar)*($G34=Description),valuesFY),0)</f>
        <v>0.12737410774067126</v>
      </c>
      <c r="Q34" s="574">
        <f t="shared" si="16"/>
        <v>0.10986881616010508</v>
      </c>
      <c r="R34" s="575">
        <f>IFERROR(Q34/Q39,"")</f>
        <v>7.1496821030981889E-4</v>
      </c>
      <c r="S34" s="575"/>
      <c r="T34" s="612"/>
      <c r="U34" s="575"/>
      <c r="V34" s="575"/>
      <c r="W34" s="575"/>
      <c r="X34" s="575"/>
      <c r="Y34" s="575"/>
      <c r="Z34" s="575"/>
      <c r="AA34" s="575"/>
      <c r="AB34" s="575"/>
      <c r="AC34" s="575"/>
      <c r="AD34" s="575"/>
      <c r="AE34" s="575"/>
      <c r="AF34" s="575"/>
      <c r="AG34" s="575"/>
      <c r="AH34" s="575"/>
      <c r="AI34" s="575"/>
      <c r="AJ34" s="575"/>
    </row>
    <row r="35" spans="2:36" s="570" customFormat="1" x14ac:dyDescent="0.35">
      <c r="B35" s="66" t="str">
        <f t="shared" si="8"/>
        <v>Ausgrid</v>
      </c>
      <c r="C35" s="66" t="str">
        <f t="shared" si="9"/>
        <v>Residential</v>
      </c>
      <c r="D35" s="66" t="str">
        <f t="shared" si="10"/>
        <v>time of use</v>
      </c>
      <c r="E35" s="570" t="s">
        <v>278</v>
      </c>
      <c r="F35" s="485" cm="1">
        <f t="array" ref="F35">_xlfn.XLOOKUP(1,($B35=DistributionZone)*($C35=CustomerType)*($D35=tariffL2)*($F$5=Description),valuesPY)*_xlfn.XLOOKUP(1,($B35=DistributionZone)*($C35=CustomerType)*($D35=tariffL2)*($E35=tariffType)*("Usage proportion"=Description),valuesFY)</f>
        <v>862.56789632468883</v>
      </c>
      <c r="G35" s="615" t="s">
        <v>173</v>
      </c>
      <c r="H35" s="574"/>
      <c r="I35" s="574" cm="1">
        <f t="array" ref="I35">IFERROR(_xlfn.XLOOKUP(1,($B35=DistributionZone)*(I$5=Desc_FixedOrVar)*($G35=Description),valuesPY),0)</f>
        <v>0.11507709849820914</v>
      </c>
      <c r="J35" s="574">
        <f t="shared" si="14"/>
        <v>9.9261810766749267E-2</v>
      </c>
      <c r="K35" s="575" t="str">
        <f t="shared" si="15"/>
        <v/>
      </c>
      <c r="L35" s="575"/>
      <c r="M35" s="575"/>
      <c r="N35" s="576"/>
      <c r="O35" s="574"/>
      <c r="P35" s="574" cm="1">
        <f t="array" ref="P35">IFERROR(_xlfn.XLOOKUP(1,($B35=DistributionZone)*(P$5=Desc_FixedOrVar)*($G35=Description),valuesFY),0)</f>
        <v>0</v>
      </c>
      <c r="Q35" s="574">
        <f t="shared" si="16"/>
        <v>0</v>
      </c>
      <c r="R35" s="575">
        <f>IFERROR(Q35/Q39,"")</f>
        <v>0</v>
      </c>
      <c r="S35" s="575"/>
      <c r="T35" s="612"/>
      <c r="U35" s="575"/>
      <c r="V35" s="575"/>
      <c r="W35" s="575"/>
      <c r="X35" s="575"/>
      <c r="Y35" s="575"/>
      <c r="Z35" s="575"/>
      <c r="AA35" s="575"/>
      <c r="AB35" s="575"/>
      <c r="AC35" s="575"/>
      <c r="AD35" s="575"/>
      <c r="AE35" s="575"/>
      <c r="AF35" s="575"/>
      <c r="AG35" s="575"/>
      <c r="AH35" s="575"/>
      <c r="AI35" s="575"/>
      <c r="AJ35" s="575"/>
    </row>
    <row r="36" spans="2:36" s="570" customFormat="1" x14ac:dyDescent="0.35">
      <c r="B36" s="66" t="str">
        <f t="shared" si="8"/>
        <v>Ausgrid</v>
      </c>
      <c r="C36" s="66" t="str">
        <f t="shared" si="9"/>
        <v>Residential</v>
      </c>
      <c r="D36" s="66" t="str">
        <f t="shared" si="10"/>
        <v>time of use</v>
      </c>
      <c r="E36" s="570" t="s">
        <v>278</v>
      </c>
      <c r="F36" s="485" cm="1">
        <f t="array" ref="F36">_xlfn.XLOOKUP(1,($B36=DistributionZone)*($C36=CustomerType)*($D36=tariffL2)*($F$5=Description),valuesPY)*_xlfn.XLOOKUP(1,($B36=DistributionZone)*($C36=CustomerType)*($D36=tariffL2)*($E36=tariffType)*("Usage proportion"=Description),valuesFY)</f>
        <v>862.56789632468883</v>
      </c>
      <c r="G36" s="570" t="s">
        <v>130</v>
      </c>
      <c r="H36" s="574"/>
      <c r="I36" s="574" cm="1">
        <f t="array" ref="I36">IFERROR(_xlfn.XLOOKUP(1,($B36=DistributionZone)*(I$5=Desc_FixedOrVar)*($G36=Description),valuesPY),0)</f>
        <v>2.8625958258186368</v>
      </c>
      <c r="J36" s="574">
        <f t="shared" si="14"/>
        <v>2.4691832595042169</v>
      </c>
      <c r="K36" s="575" t="str">
        <f t="shared" si="15"/>
        <v/>
      </c>
      <c r="L36" s="575"/>
      <c r="M36" s="575">
        <f>IF(OR(J36=0,Q36=""),"",Q36/J36-1)</f>
        <v>-5.7279088688867552E-2</v>
      </c>
      <c r="N36" s="576"/>
      <c r="O36" s="574"/>
      <c r="P36" s="574" cm="1">
        <f t="array" ref="P36">IFERROR(_xlfn.XLOOKUP(1,($B36=DistributionZone)*(P$5=Desc_FixedOrVar)*($G36=Description),valuesFY),0)</f>
        <v>2.6986289456311892</v>
      </c>
      <c r="Q36" s="574">
        <f t="shared" si="16"/>
        <v>2.3277506925940079</v>
      </c>
      <c r="R36" s="575">
        <f>IFERROR(Q36/Q39,"")</f>
        <v>1.5147771723562983E-2</v>
      </c>
      <c r="S36" s="575"/>
      <c r="T36" s="612"/>
      <c r="U36" s="575"/>
      <c r="V36" s="575"/>
      <c r="W36" s="575"/>
      <c r="X36" s="575"/>
      <c r="Y36" s="575"/>
      <c r="Z36" s="575"/>
      <c r="AA36" s="575"/>
      <c r="AB36" s="575"/>
      <c r="AC36" s="575"/>
      <c r="AD36" s="575"/>
      <c r="AE36" s="575"/>
      <c r="AF36" s="575"/>
      <c r="AG36" s="575"/>
      <c r="AH36" s="575"/>
      <c r="AI36" s="575"/>
      <c r="AJ36" s="575"/>
    </row>
    <row r="37" spans="2:36" s="570" customFormat="1" x14ac:dyDescent="0.35">
      <c r="B37" s="66" t="str">
        <f t="shared" ref="B37:D38" si="17">B35</f>
        <v>Ausgrid</v>
      </c>
      <c r="C37" s="66" t="str">
        <f t="shared" si="17"/>
        <v>Residential</v>
      </c>
      <c r="D37" s="66" t="str">
        <f t="shared" si="17"/>
        <v>time of use</v>
      </c>
      <c r="E37" s="570" t="s">
        <v>278</v>
      </c>
      <c r="F37" s="485" cm="1">
        <f t="array" ref="F37">_xlfn.XLOOKUP(1,($B37=DistributionZone)*($C37=CustomerType)*($D37=tariffL2)*($F$5=Description),valuesPY)*_xlfn.XLOOKUP(1,($B37=DistributionZone)*($C37=CustomerType)*($D37=tariffL2)*($E37=tariffType)*("Usage proportion"=Description),valuesFY)</f>
        <v>862.56789632468883</v>
      </c>
      <c r="G37" s="30" t="s">
        <v>302</v>
      </c>
      <c r="H37" s="574"/>
      <c r="I37" s="574"/>
      <c r="J37" s="574"/>
      <c r="K37" s="575"/>
      <c r="L37" s="575"/>
      <c r="M37" s="575"/>
      <c r="N37" s="576"/>
      <c r="O37" s="574"/>
      <c r="P37" s="574" cm="1">
        <f t="array" ref="P37">IFERROR(_xlfn.XLOOKUP(1,($B37=DistributionZone)*($D37=tariffL2)*($G37=Description),valuesFY),0)</f>
        <v>1.7960000000000009</v>
      </c>
      <c r="Q37" s="574">
        <f>P37*F37/1000</f>
        <v>1.5491719417991419</v>
      </c>
      <c r="R37" s="575">
        <f>IFERROR(Q37/Q39,"")</f>
        <v>1.0081192547631252E-2</v>
      </c>
      <c r="S37" s="575"/>
      <c r="T37" s="612"/>
      <c r="U37" s="575"/>
      <c r="V37" s="575"/>
      <c r="W37" s="575"/>
      <c r="X37" s="575"/>
      <c r="Y37" s="575"/>
      <c r="Z37" s="575"/>
      <c r="AA37" s="575"/>
      <c r="AB37" s="575"/>
      <c r="AC37" s="575"/>
      <c r="AD37" s="575"/>
      <c r="AE37" s="575"/>
      <c r="AF37" s="575"/>
      <c r="AG37" s="575"/>
      <c r="AH37" s="575"/>
      <c r="AI37" s="575"/>
      <c r="AJ37" s="575"/>
    </row>
    <row r="38" spans="2:36" s="570" customFormat="1" x14ac:dyDescent="0.35">
      <c r="B38" s="66" t="str">
        <f t="shared" si="17"/>
        <v>Ausgrid</v>
      </c>
      <c r="C38" s="66" t="str">
        <f t="shared" si="17"/>
        <v>Residential</v>
      </c>
      <c r="D38" s="66" t="str">
        <f t="shared" si="17"/>
        <v>time of use</v>
      </c>
      <c r="E38" s="570" t="s">
        <v>278</v>
      </c>
      <c r="F38" s="485" cm="1">
        <f t="array" ref="F38">_xlfn.XLOOKUP(1,($B38=DistributionZone)*($C38=CustomerType)*($D38=tariffL2)*($F$5=Description),valuesPY)*_xlfn.XLOOKUP(1,($B38=DistributionZone)*($C38=CustomerType)*($D38=tariffL2)*($E38=tariffType)*("Usage proportion"=Description),valuesFY)</f>
        <v>862.56789632468883</v>
      </c>
      <c r="G38" s="570" t="s">
        <v>72</v>
      </c>
      <c r="H38" s="574"/>
      <c r="I38" s="574" cm="1">
        <f t="array" ref="I38">IFERROR(_xlfn.XLOOKUP(1,($B38=DistributionZone)*($C38=CustomerType)*("Losses"=Description),valuesPY),0)*SUM(I31:I36)</f>
        <v>0.1682353825604625</v>
      </c>
      <c r="J38" s="574">
        <f>I38*F38/1000</f>
        <v>0.14511444002255738</v>
      </c>
      <c r="K38" s="575" t="str">
        <f>IFERROR(J38/J$39,"")</f>
        <v/>
      </c>
      <c r="L38" s="575"/>
      <c r="M38" s="575">
        <f>IF(OR(J38=0,Q38=""),"",Q38/J38-1)</f>
        <v>45.519585844193173</v>
      </c>
      <c r="N38" s="576"/>
      <c r="O38" s="574"/>
      <c r="P38" s="574" cm="1">
        <f t="array" ref="P38">IFERROR(_xlfn.XLOOKUP(1,($B38=DistributionZone)*($C38=CustomerType)*("Losses"=Description)*($D38=tariffType)*($P$5=Desc_FixedOrVar),valuesFY),0)*SUM(P31:P37)</f>
        <v>7.826240321052115</v>
      </c>
      <c r="Q38" s="574">
        <f>P38*F38/1000</f>
        <v>6.7506636498613801</v>
      </c>
      <c r="R38" s="575">
        <f>IFERROR(Q38/Q39,"")</f>
        <v>4.3929752561560002E-2</v>
      </c>
      <c r="S38" s="575"/>
      <c r="T38" s="612"/>
      <c r="U38" s="575"/>
      <c r="V38" s="575"/>
      <c r="W38" s="575"/>
      <c r="X38" s="575"/>
      <c r="Y38" s="575"/>
      <c r="Z38" s="575"/>
      <c r="AA38" s="575"/>
      <c r="AB38" s="575"/>
      <c r="AC38" s="575"/>
      <c r="AD38" s="575"/>
      <c r="AE38" s="575"/>
      <c r="AF38" s="575"/>
      <c r="AG38" s="575"/>
      <c r="AH38" s="575"/>
      <c r="AI38" s="575"/>
      <c r="AJ38" s="575"/>
    </row>
    <row r="39" spans="2:36" s="570" customFormat="1" ht="14.5" x14ac:dyDescent="0.35">
      <c r="B39" s="66" t="str">
        <f t="shared" si="8"/>
        <v>Ausgrid</v>
      </c>
      <c r="C39" s="66" t="str">
        <f t="shared" si="9"/>
        <v>Residential</v>
      </c>
      <c r="D39" s="66" t="str">
        <f t="shared" si="10"/>
        <v>time of use</v>
      </c>
      <c r="E39" s="570" t="s">
        <v>278</v>
      </c>
      <c r="F39" s="485" cm="1">
        <f t="array" ref="F39">_xlfn.XLOOKUP(1,($B39=DistributionZone)*($C39=CustomerType)*($D39=tariffL2)*($F$5=Description),valuesPY)*_xlfn.XLOOKUP(1,($B39=DistributionZone)*($C39=CustomerType)*($D39=tariffL2)*($E39=tariffType)*("Usage proportion"=Description),valuesFY)</f>
        <v>862.56789632468883</v>
      </c>
      <c r="G39" s="571" t="s">
        <v>55</v>
      </c>
      <c r="H39" s="676"/>
      <c r="I39" s="577">
        <f>IF($H$3=PY,0,SUM(I31:I38))</f>
        <v>0</v>
      </c>
      <c r="J39" s="577">
        <f>IF($H$3=PY,0,SUM(J31:J38))</f>
        <v>0</v>
      </c>
      <c r="K39" s="578"/>
      <c r="L39" s="579"/>
      <c r="M39" s="578" t="str">
        <f>IF(OR(J39=0,Q39=""),"",Q39/J39-1)</f>
        <v/>
      </c>
      <c r="N39" s="580"/>
      <c r="O39" s="577"/>
      <c r="P39" s="577">
        <f>SUM(P31:P38)</f>
        <v>178.15352613436607</v>
      </c>
      <c r="Q39" s="577">
        <f>SUM(Q31:Q38)</f>
        <v>153.66951226054562</v>
      </c>
      <c r="R39" s="575"/>
      <c r="S39" s="575"/>
      <c r="T39" s="612"/>
      <c r="U39" s="575"/>
      <c r="V39" s="575"/>
      <c r="W39" s="575"/>
      <c r="X39" s="575"/>
      <c r="Y39" s="575"/>
      <c r="Z39" s="575"/>
      <c r="AA39" s="575"/>
      <c r="AB39" s="575"/>
      <c r="AC39" s="575"/>
      <c r="AD39" s="575"/>
      <c r="AE39" s="575"/>
      <c r="AF39" s="575"/>
      <c r="AG39" s="575"/>
      <c r="AH39" s="575"/>
      <c r="AI39" s="575"/>
      <c r="AJ39" s="575"/>
    </row>
    <row r="40" spans="2:36" s="570" customFormat="1" x14ac:dyDescent="0.35">
      <c r="B40" s="66" t="str">
        <f t="shared" si="8"/>
        <v>Ausgrid</v>
      </c>
      <c r="C40" s="66" t="str">
        <f t="shared" si="9"/>
        <v>Residential</v>
      </c>
      <c r="D40" s="66" t="str">
        <f t="shared" si="10"/>
        <v>time of use</v>
      </c>
      <c r="E40" s="570" t="s">
        <v>272</v>
      </c>
      <c r="F40" s="485" cm="1">
        <f t="array" ref="F40">_xlfn.XLOOKUP(1,($B40=DistributionZone)*($C40=CustomerType)*($D40=tariffL2)*($F$5=Description),valuesPY)</f>
        <v>3900</v>
      </c>
      <c r="G40" s="571" t="s">
        <v>55</v>
      </c>
      <c r="H40" s="577">
        <f>IF($H$3=PY,0,SUM(H22:H29,H31:H38))</f>
        <v>0</v>
      </c>
      <c r="I40" s="577"/>
      <c r="J40" s="577">
        <f>IF($H$3=PY,0,SUM(J30,J39))</f>
        <v>0</v>
      </c>
      <c r="K40" s="578"/>
      <c r="L40" s="579"/>
      <c r="M40" s="578" t="str">
        <f>IF(OR(J40=0,Q40=""),"",Q40/J40-1)</f>
        <v/>
      </c>
      <c r="N40" s="580"/>
      <c r="O40" s="577">
        <f>SUM(O22:O29,O31:O38)</f>
        <v>13.125399999999999</v>
      </c>
      <c r="P40" s="577"/>
      <c r="Q40" s="577">
        <f>SUM(Q30,Q39)</f>
        <v>594.35001367396967</v>
      </c>
      <c r="R40" s="575"/>
      <c r="S40" s="575"/>
      <c r="T40" s="612"/>
      <c r="U40" s="575"/>
      <c r="V40" s="575"/>
      <c r="W40" s="575"/>
      <c r="X40" s="575"/>
      <c r="Y40" s="575"/>
      <c r="Z40" s="575"/>
      <c r="AA40" s="575"/>
      <c r="AB40" s="575"/>
      <c r="AC40" s="575"/>
      <c r="AD40" s="575"/>
      <c r="AE40" s="575"/>
      <c r="AF40" s="575"/>
      <c r="AG40" s="575"/>
      <c r="AH40" s="575"/>
      <c r="AI40" s="575"/>
      <c r="AJ40" s="575"/>
    </row>
    <row r="41" spans="2:36" s="570" customFormat="1" x14ac:dyDescent="0.35">
      <c r="B41" s="66" t="str">
        <f t="shared" si="8"/>
        <v>Ausgrid</v>
      </c>
      <c r="C41" s="66" t="str">
        <f t="shared" si="9"/>
        <v>Residential</v>
      </c>
      <c r="D41" s="66" t="str">
        <f t="shared" si="10"/>
        <v>time of use</v>
      </c>
      <c r="F41" s="485"/>
      <c r="G41" s="570" t="s">
        <v>38</v>
      </c>
      <c r="H41" s="574"/>
      <c r="I41" s="574"/>
      <c r="J41" s="574">
        <f>J40*GST</f>
        <v>0</v>
      </c>
      <c r="K41" s="575"/>
      <c r="L41" s="581"/>
      <c r="M41" s="575"/>
      <c r="N41" s="582"/>
      <c r="O41" s="574"/>
      <c r="P41" s="620"/>
      <c r="Q41" s="574">
        <f>Q40*GST</f>
        <v>59.435001367396971</v>
      </c>
      <c r="R41" s="578"/>
      <c r="S41" s="578"/>
      <c r="T41" s="621"/>
      <c r="U41" s="578"/>
      <c r="V41" s="578"/>
      <c r="W41" s="578"/>
      <c r="X41" s="578"/>
      <c r="Y41" s="578"/>
      <c r="Z41" s="578"/>
      <c r="AA41" s="578"/>
      <c r="AB41" s="578"/>
      <c r="AC41" s="578"/>
      <c r="AD41" s="578"/>
      <c r="AE41" s="578"/>
      <c r="AF41" s="578"/>
      <c r="AG41" s="578"/>
      <c r="AH41" s="578"/>
      <c r="AI41" s="578"/>
      <c r="AJ41" s="578"/>
    </row>
    <row r="42" spans="2:36" s="570" customFormat="1" x14ac:dyDescent="0.35">
      <c r="B42" s="66" t="str">
        <f t="shared" si="8"/>
        <v>Ausgrid</v>
      </c>
      <c r="C42" s="66" t="str">
        <f t="shared" si="9"/>
        <v>Residential</v>
      </c>
      <c r="D42" s="66" t="str">
        <f t="shared" si="10"/>
        <v>time of use</v>
      </c>
      <c r="E42" s="570" t="s">
        <v>272</v>
      </c>
      <c r="F42" s="485"/>
      <c r="G42" s="571" t="s">
        <v>79</v>
      </c>
      <c r="H42" s="577"/>
      <c r="I42" s="577"/>
      <c r="J42" s="577">
        <f>SUM(J40:J41)</f>
        <v>0</v>
      </c>
      <c r="K42" s="578"/>
      <c r="L42" s="579"/>
      <c r="M42" s="578" t="str">
        <f>IF(OR(J42=0,Q42=""),"",Q42/J42-1)</f>
        <v/>
      </c>
      <c r="N42" s="580"/>
      <c r="O42" s="577"/>
      <c r="P42" s="577"/>
      <c r="Q42" s="577">
        <f>SUM(Q40:Q41)</f>
        <v>653.78501504136659</v>
      </c>
      <c r="R42" s="578"/>
      <c r="S42" s="578"/>
      <c r="T42" s="621"/>
      <c r="U42" s="578"/>
      <c r="V42" s="578"/>
      <c r="W42" s="578"/>
      <c r="X42" s="578"/>
      <c r="Y42" s="578"/>
      <c r="Z42" s="578"/>
      <c r="AA42" s="578"/>
      <c r="AB42" s="578"/>
      <c r="AC42" s="578"/>
      <c r="AD42" s="578"/>
      <c r="AE42" s="578"/>
      <c r="AF42" s="578"/>
      <c r="AG42" s="578"/>
      <c r="AH42" s="578"/>
      <c r="AI42" s="578"/>
      <c r="AJ42" s="578"/>
    </row>
    <row r="43" spans="2:36" x14ac:dyDescent="0.35">
      <c r="B43" s="66"/>
      <c r="C43" s="66"/>
      <c r="D43" s="66"/>
      <c r="F43" s="258"/>
      <c r="G43" s="64"/>
      <c r="H43" s="487"/>
      <c r="I43" s="487"/>
      <c r="J43" s="487"/>
      <c r="K43" s="564"/>
      <c r="L43" s="565"/>
      <c r="M43" s="564"/>
      <c r="N43" s="566"/>
      <c r="O43" s="487"/>
      <c r="P43" s="487"/>
      <c r="Q43" s="487"/>
      <c r="R43" s="564"/>
      <c r="S43" s="564"/>
      <c r="T43" s="611"/>
      <c r="U43" s="564"/>
      <c r="V43" s="564"/>
      <c r="W43" s="564"/>
      <c r="X43" s="564"/>
      <c r="Y43" s="564"/>
      <c r="Z43" s="564"/>
      <c r="AA43" s="564"/>
      <c r="AB43" s="564"/>
      <c r="AC43" s="564"/>
      <c r="AD43" s="564"/>
      <c r="AE43" s="564"/>
      <c r="AF43" s="564"/>
      <c r="AG43" s="564"/>
      <c r="AH43" s="564"/>
      <c r="AI43" s="564"/>
      <c r="AJ43" s="564"/>
    </row>
    <row r="44" spans="2:36" x14ac:dyDescent="0.35">
      <c r="B44" s="64" t="s">
        <v>2</v>
      </c>
      <c r="C44" s="64"/>
      <c r="D44" s="64" t="s">
        <v>285</v>
      </c>
      <c r="F44" s="258"/>
      <c r="H44" s="482"/>
      <c r="I44" s="482"/>
      <c r="J44" s="482"/>
      <c r="K44" s="484"/>
      <c r="L44" s="567"/>
      <c r="M44" s="484"/>
      <c r="N44" s="568"/>
      <c r="O44" s="482"/>
      <c r="P44" s="482"/>
      <c r="Q44" s="482"/>
      <c r="R44" s="484"/>
      <c r="S44" s="484"/>
      <c r="T44" s="607"/>
      <c r="U44" s="484"/>
      <c r="V44" s="484"/>
      <c r="W44" s="484"/>
      <c r="X44" s="484"/>
      <c r="Y44" s="484"/>
      <c r="Z44" s="484"/>
      <c r="AA44" s="484"/>
      <c r="AB44" s="484"/>
      <c r="AC44" s="484"/>
      <c r="AD44" s="484"/>
      <c r="AE44" s="484"/>
      <c r="AF44" s="484"/>
      <c r="AG44" s="484"/>
      <c r="AH44" s="484"/>
      <c r="AI44" s="484"/>
      <c r="AJ44" s="484"/>
    </row>
    <row r="45" spans="2:36" x14ac:dyDescent="0.35">
      <c r="B45" s="30" t="str">
        <f>B44</f>
        <v>Ausgrid</v>
      </c>
      <c r="D45" s="30" t="str">
        <f>D44</f>
        <v>controlled load</v>
      </c>
      <c r="F45" s="485"/>
      <c r="G45" s="64"/>
      <c r="H45" s="487"/>
      <c r="I45" s="487"/>
      <c r="J45" s="487"/>
      <c r="K45" s="564"/>
      <c r="L45" s="565"/>
      <c r="M45" s="564"/>
      <c r="N45" s="566"/>
      <c r="O45" s="487"/>
      <c r="P45" s="487"/>
      <c r="Q45" s="487"/>
      <c r="R45" s="484"/>
      <c r="S45" s="484"/>
      <c r="T45" s="607"/>
      <c r="U45" s="484"/>
      <c r="V45" s="484"/>
      <c r="W45" s="484"/>
      <c r="X45" s="484"/>
      <c r="Y45" s="484"/>
      <c r="Z45" s="484"/>
      <c r="AA45" s="484"/>
      <c r="AB45" s="484"/>
      <c r="AC45" s="484"/>
      <c r="AD45" s="484"/>
      <c r="AE45" s="484"/>
      <c r="AF45" s="484"/>
      <c r="AG45" s="484"/>
      <c r="AH45" s="484"/>
      <c r="AI45" s="484"/>
      <c r="AJ45" s="484"/>
    </row>
    <row r="46" spans="2:36" x14ac:dyDescent="0.35">
      <c r="B46" s="30" t="str">
        <f t="shared" ref="B46:B66" si="18">B45</f>
        <v>Ausgrid</v>
      </c>
      <c r="D46" s="30" t="str">
        <f t="shared" ref="D46:D66" si="19">D45</f>
        <v>controlled load</v>
      </c>
      <c r="E46" s="30" t="s">
        <v>14</v>
      </c>
      <c r="F46" s="485" cm="1">
        <f t="array" ref="F46">_xlfn.XLOOKUP(1,($B46=DistributionZone)*($C46=CustomerType)*($D46=tariffL2)*($F$5=Description)*(E46=tariffType),valuesFY)</f>
        <v>1340</v>
      </c>
      <c r="G46" s="30" t="s">
        <v>69</v>
      </c>
      <c r="H46" s="482"/>
      <c r="I46" s="482" cm="1">
        <f t="array" ref="I46">IFERROR(_xlfn.XLOOKUP(1,($B46=DistributionZone)*($C46=CustomerType)*($E46=tariffType)*($G46=Description),valuesPY),0)</f>
        <v>115.48249999999999</v>
      </c>
      <c r="J46" s="482">
        <f t="shared" ref="J46:J53" si="20">IF(AND(H46="",I46=""),"",H46+I46*F46/1000)</f>
        <v>154.74654999999998</v>
      </c>
      <c r="K46" s="484">
        <f>IFERROR(J46/J54,"")</f>
        <v>0.92698715898062578</v>
      </c>
      <c r="L46" s="484"/>
      <c r="M46" s="484">
        <f t="shared" ref="M46:M64" si="21">IF(OR(J46=0,Q46=""),"",Q46/J46-1)</f>
        <v>-1.0845799147056745E-2</v>
      </c>
      <c r="N46" s="563"/>
      <c r="O46" s="482"/>
      <c r="P46" s="482" cm="1">
        <f t="array" ref="P46">IFERROR(_xlfn.XLOOKUP(1,($B46=DistributionZone)*($C46=CustomerType)*($E46=tariffType)*($G46=Description),valuesFY),0)</f>
        <v>114.23</v>
      </c>
      <c r="Q46" s="482">
        <f t="shared" ref="Q46:Q63" si="22">IF(AND(O46="",P46=""),"",O46+P46*$F46/1000)</f>
        <v>153.06820000000002</v>
      </c>
      <c r="R46" s="484">
        <f t="shared" ref="R46:R53" si="23">IFERROR(Q46/$Q$54,"")</f>
        <v>0.91927652877955413</v>
      </c>
      <c r="S46" s="484"/>
      <c r="T46" s="608"/>
      <c r="U46" s="484"/>
      <c r="V46" s="484"/>
      <c r="W46" s="484"/>
      <c r="X46" s="484"/>
      <c r="Y46" s="484"/>
      <c r="Z46" s="484"/>
      <c r="AA46" s="484"/>
      <c r="AB46" s="484"/>
      <c r="AC46" s="484"/>
      <c r="AD46" s="484"/>
      <c r="AE46" s="484"/>
      <c r="AF46" s="484"/>
      <c r="AG46" s="484"/>
      <c r="AH46" s="484"/>
      <c r="AI46" s="484"/>
      <c r="AJ46" s="484"/>
    </row>
    <row r="47" spans="2:36" x14ac:dyDescent="0.35">
      <c r="B47" s="30" t="str">
        <f t="shared" si="18"/>
        <v>Ausgrid</v>
      </c>
      <c r="D47" s="30" t="str">
        <f t="shared" si="19"/>
        <v>controlled load</v>
      </c>
      <c r="E47" s="30" t="s">
        <v>14</v>
      </c>
      <c r="F47" s="258">
        <f>F46</f>
        <v>1340</v>
      </c>
      <c r="G47" s="30" t="s">
        <v>70</v>
      </c>
      <c r="H47" s="482"/>
      <c r="I47" s="482" cm="1">
        <f t="array" ref="I47">IFERROR(_xlfn.XLOOKUP(1,($B47=DistributionZone)*(I$5=Desc_FixedOrVar)*($G47=Description),valuesPY),0)</f>
        <v>0.15378802592718904</v>
      </c>
      <c r="J47" s="482">
        <f t="shared" si="20"/>
        <v>0.20607595474243331</v>
      </c>
      <c r="K47" s="484">
        <f>IFERROR(J47/J54,"")</f>
        <v>1.234468644508768E-3</v>
      </c>
      <c r="L47" s="484"/>
      <c r="M47" s="484">
        <f t="shared" si="21"/>
        <v>-0.1962157976411667</v>
      </c>
      <c r="N47" s="563"/>
      <c r="O47" s="482"/>
      <c r="P47" s="482" cm="1">
        <f t="array" ref="P47">IFERROR(_xlfn.XLOOKUP(1,($B47=DistributionZone)*(P$5=Desc_FixedOrVar)*($G47=Description),valuesFY),0)</f>
        <v>0.12361238575222523</v>
      </c>
      <c r="Q47" s="482">
        <f t="shared" si="22"/>
        <v>0.1656405969079818</v>
      </c>
      <c r="R47" s="484">
        <f t="shared" si="23"/>
        <v>9.9478214907173959E-4</v>
      </c>
      <c r="S47" s="484"/>
      <c r="T47" s="607"/>
      <c r="U47" s="484"/>
      <c r="V47" s="484"/>
      <c r="W47" s="484"/>
      <c r="X47" s="484"/>
      <c r="Y47" s="484"/>
      <c r="Z47" s="484"/>
      <c r="AA47" s="484"/>
      <c r="AB47" s="484"/>
      <c r="AC47" s="484"/>
      <c r="AD47" s="484"/>
      <c r="AE47" s="484"/>
      <c r="AF47" s="484"/>
      <c r="AG47" s="484"/>
      <c r="AH47" s="484"/>
      <c r="AI47" s="484"/>
      <c r="AJ47" s="484"/>
    </row>
    <row r="48" spans="2:36" x14ac:dyDescent="0.35">
      <c r="B48" s="30" t="str">
        <f t="shared" si="18"/>
        <v>Ausgrid</v>
      </c>
      <c r="D48" s="30" t="str">
        <f t="shared" si="19"/>
        <v>controlled load</v>
      </c>
      <c r="E48" s="30" t="s">
        <v>14</v>
      </c>
      <c r="F48" s="258">
        <f t="shared" ref="F48:F54" si="24">F47</f>
        <v>1340</v>
      </c>
      <c r="G48" s="30" t="s">
        <v>77</v>
      </c>
      <c r="H48" s="482"/>
      <c r="I48" s="482" cm="1">
        <f t="array" ref="I48">IFERROR(_xlfn.XLOOKUP(1,($B48=DistributionZone)*(I$5=Desc_FixedOrVar)*($G48=Description),valuesPY),0)</f>
        <v>0.57443</v>
      </c>
      <c r="J48" s="482">
        <f t="shared" si="20"/>
        <v>0.76973619999999998</v>
      </c>
      <c r="K48" s="484">
        <f>IFERROR(J48/J54,"")</f>
        <v>4.6109950315696398E-3</v>
      </c>
      <c r="L48" s="484"/>
      <c r="M48" s="484">
        <f t="shared" si="21"/>
        <v>-9.5799314102675726E-2</v>
      </c>
      <c r="N48" s="563"/>
      <c r="O48" s="482"/>
      <c r="P48" s="482" cm="1">
        <f t="array" ref="P48">IFERROR(_xlfn.XLOOKUP(1,($B48=DistributionZone)*(P$5=Desc_FixedOrVar)*($G48=Description),valuesFY),0)</f>
        <v>0.51939999999999997</v>
      </c>
      <c r="Q48" s="482">
        <f t="shared" si="22"/>
        <v>0.69599599999999995</v>
      </c>
      <c r="R48" s="484">
        <f t="shared" si="23"/>
        <v>4.1799197150319562E-3</v>
      </c>
      <c r="S48" s="484"/>
      <c r="T48" s="607"/>
      <c r="U48" s="484"/>
      <c r="V48" s="484"/>
      <c r="W48" s="484"/>
      <c r="X48" s="484"/>
      <c r="Y48" s="484"/>
      <c r="Z48" s="484"/>
      <c r="AA48" s="484"/>
      <c r="AB48" s="484"/>
      <c r="AC48" s="484"/>
      <c r="AD48" s="484"/>
      <c r="AE48" s="484"/>
      <c r="AF48" s="484"/>
      <c r="AG48" s="484"/>
      <c r="AH48" s="484"/>
      <c r="AI48" s="484"/>
      <c r="AJ48" s="484"/>
    </row>
    <row r="49" spans="2:36" x14ac:dyDescent="0.35">
      <c r="B49" s="30" t="str">
        <f t="shared" si="18"/>
        <v>Ausgrid</v>
      </c>
      <c r="D49" s="30" t="str">
        <f t="shared" si="19"/>
        <v>controlled load</v>
      </c>
      <c r="E49" s="30" t="s">
        <v>14</v>
      </c>
      <c r="F49" s="258">
        <f t="shared" si="24"/>
        <v>1340</v>
      </c>
      <c r="G49" s="30" t="s">
        <v>71</v>
      </c>
      <c r="H49" s="482"/>
      <c r="I49" s="482" cm="1">
        <f t="array" ref="I49">IFERROR(_xlfn.XLOOKUP(1,($B49=DistributionZone)*(I$5=Desc_FixedOrVar)*($G49=Description),valuesPY),0)</f>
        <v>5.2786233739509421E-2</v>
      </c>
      <c r="J49" s="482">
        <f t="shared" si="20"/>
        <v>7.0733553210942615E-2</v>
      </c>
      <c r="K49" s="484">
        <f>IFERROR(J49/J54,"")</f>
        <v>4.2371927216223315E-4</v>
      </c>
      <c r="L49" s="484"/>
      <c r="M49" s="484">
        <f t="shared" si="21"/>
        <v>1.413017537285187</v>
      </c>
      <c r="N49" s="563"/>
      <c r="O49" s="482"/>
      <c r="P49" s="482" cm="1">
        <f t="array" ref="P49">IFERROR(_xlfn.XLOOKUP(1,($B49=DistributionZone)*(P$5=Desc_FixedOrVar)*($G49=Description),valuesFY),0)</f>
        <v>0.12737410774067126</v>
      </c>
      <c r="Q49" s="482">
        <f t="shared" si="22"/>
        <v>0.17068130437249948</v>
      </c>
      <c r="R49" s="484">
        <f t="shared" si="23"/>
        <v>1.0250549559681099E-3</v>
      </c>
      <c r="S49" s="484"/>
      <c r="T49" s="607"/>
      <c r="U49" s="484"/>
      <c r="V49" s="484"/>
      <c r="W49" s="484"/>
      <c r="X49" s="484"/>
      <c r="Y49" s="484"/>
      <c r="Z49" s="484"/>
      <c r="AA49" s="484"/>
      <c r="AB49" s="484"/>
      <c r="AC49" s="484"/>
      <c r="AD49" s="484"/>
      <c r="AE49" s="484"/>
      <c r="AF49" s="484"/>
      <c r="AG49" s="484"/>
      <c r="AH49" s="484"/>
      <c r="AI49" s="484"/>
      <c r="AJ49" s="484"/>
    </row>
    <row r="50" spans="2:36" x14ac:dyDescent="0.35">
      <c r="B50" s="30" t="str">
        <f t="shared" si="18"/>
        <v>Ausgrid</v>
      </c>
      <c r="D50" s="30" t="str">
        <f t="shared" si="19"/>
        <v>controlled load</v>
      </c>
      <c r="E50" s="30" t="s">
        <v>14</v>
      </c>
      <c r="F50" s="258">
        <f t="shared" si="24"/>
        <v>1340</v>
      </c>
      <c r="G50" s="30" t="s">
        <v>173</v>
      </c>
      <c r="H50" s="482"/>
      <c r="I50" s="482" cm="1">
        <f t="array" ref="I50">IFERROR(_xlfn.XLOOKUP(1,($B50=DistributionZone)*(I$5=Desc_FixedOrVar)*($G50=Description),valuesPY),0)</f>
        <v>0.11507709849820914</v>
      </c>
      <c r="J50" s="482">
        <f t="shared" si="20"/>
        <v>0.15420331198760023</v>
      </c>
      <c r="K50" s="484">
        <f>IFERROR(J50/J55,"")</f>
        <v>2.0549837881999587E-3</v>
      </c>
      <c r="L50" s="484"/>
      <c r="M50" s="484">
        <f t="shared" si="21"/>
        <v>-1</v>
      </c>
      <c r="N50" s="563"/>
      <c r="O50" s="482"/>
      <c r="P50" s="482" cm="1">
        <f t="array" ref="P50">IFERROR(_xlfn.XLOOKUP(1,($B50=DistributionZone)*(P$5=Desc_FixedOrVar)*($G50=Description),valuesFY),0)</f>
        <v>0</v>
      </c>
      <c r="Q50" s="482">
        <f t="shared" si="22"/>
        <v>0</v>
      </c>
      <c r="R50" s="484">
        <f t="shared" si="23"/>
        <v>0</v>
      </c>
      <c r="S50" s="484"/>
      <c r="T50" s="607"/>
      <c r="U50" s="484"/>
      <c r="V50" s="484"/>
      <c r="W50" s="484"/>
      <c r="X50" s="484"/>
      <c r="Y50" s="484"/>
      <c r="Z50" s="484"/>
      <c r="AA50" s="484"/>
      <c r="AB50" s="484"/>
      <c r="AC50" s="484"/>
      <c r="AD50" s="484"/>
      <c r="AE50" s="484"/>
      <c r="AF50" s="484"/>
      <c r="AG50" s="484"/>
      <c r="AH50" s="484"/>
      <c r="AI50" s="484"/>
      <c r="AJ50" s="484"/>
    </row>
    <row r="51" spans="2:36" x14ac:dyDescent="0.35">
      <c r="B51" s="30" t="str">
        <f t="shared" si="18"/>
        <v>Ausgrid</v>
      </c>
      <c r="D51" s="30" t="str">
        <f t="shared" si="19"/>
        <v>controlled load</v>
      </c>
      <c r="E51" s="30" t="s">
        <v>14</v>
      </c>
      <c r="F51" s="258">
        <f t="shared" si="24"/>
        <v>1340</v>
      </c>
      <c r="G51" s="30" t="s">
        <v>130</v>
      </c>
      <c r="H51" s="482"/>
      <c r="I51" s="482" cm="1">
        <f t="array" ref="I51">IFERROR(_xlfn.XLOOKUP(1,($B51=DistributionZone)*(I$5=Desc_FixedOrVar)*($G51=Description),valuesPY),0)</f>
        <v>2.8625958258186368</v>
      </c>
      <c r="J51" s="482">
        <f t="shared" si="20"/>
        <v>3.8358784065969735</v>
      </c>
      <c r="K51" s="484">
        <f>IFERROR(J51/J54,"")</f>
        <v>2.2978283046222733E-2</v>
      </c>
      <c r="L51" s="484"/>
      <c r="M51" s="484">
        <f t="shared" si="21"/>
        <v>-5.7279088688867552E-2</v>
      </c>
      <c r="N51" s="563"/>
      <c r="O51" s="482"/>
      <c r="P51" s="482" cm="1">
        <f t="array" ref="P51">IFERROR(_xlfn.XLOOKUP(1,($B51=DistributionZone)*(P$5=Desc_FixedOrVar)*($G51=Description),valuesFY),0)</f>
        <v>2.6986289456311892</v>
      </c>
      <c r="Q51" s="482">
        <f t="shared" si="22"/>
        <v>3.6161627871457935</v>
      </c>
      <c r="R51" s="484">
        <f t="shared" si="23"/>
        <v>2.1717466949171562E-2</v>
      </c>
      <c r="S51" s="484"/>
      <c r="T51" s="607"/>
      <c r="U51" s="484"/>
      <c r="V51" s="484"/>
      <c r="W51" s="484"/>
      <c r="X51" s="484"/>
      <c r="Y51" s="484"/>
      <c r="Z51" s="484"/>
      <c r="AA51" s="484"/>
      <c r="AB51" s="484"/>
      <c r="AC51" s="484"/>
      <c r="AD51" s="484"/>
      <c r="AE51" s="484"/>
      <c r="AF51" s="484"/>
      <c r="AG51" s="484"/>
      <c r="AH51" s="484"/>
      <c r="AI51" s="484"/>
      <c r="AJ51" s="484"/>
    </row>
    <row r="52" spans="2:36" x14ac:dyDescent="0.35">
      <c r="B52" s="30" t="str">
        <f t="shared" si="18"/>
        <v>Ausgrid</v>
      </c>
      <c r="D52" s="30" t="str">
        <f t="shared" si="19"/>
        <v>controlled load</v>
      </c>
      <c r="E52" s="30" t="s">
        <v>14</v>
      </c>
      <c r="F52" s="258">
        <f t="shared" si="24"/>
        <v>1340</v>
      </c>
      <c r="G52" s="30" t="s">
        <v>302</v>
      </c>
      <c r="H52" s="482"/>
      <c r="I52" s="482"/>
      <c r="J52" s="482"/>
      <c r="K52" s="484"/>
      <c r="L52" s="484"/>
      <c r="M52" s="484"/>
      <c r="N52" s="563"/>
      <c r="O52" s="482"/>
      <c r="P52" s="482" cm="1">
        <f t="array" ref="P52">IFERROR(_xlfn.XLOOKUP(1,($B52=DistributionZone)*(E52=tariffType)*(P$5=Desc_FixedOrVar)*($G52=Description),valuesFY),0)</f>
        <v>1.1030000000000002</v>
      </c>
      <c r="Q52" s="482">
        <f t="shared" ref="Q52" si="25">IF(AND(O52="",P52=""),"",O52+P52*$F52/1000)</f>
        <v>1.4780200000000001</v>
      </c>
      <c r="R52" s="484">
        <f t="shared" si="23"/>
        <v>8.8764948896423723E-3</v>
      </c>
      <c r="S52" s="484"/>
      <c r="T52" s="607"/>
      <c r="U52" s="484"/>
      <c r="V52" s="484"/>
      <c r="W52" s="484"/>
      <c r="X52" s="484"/>
      <c r="Y52" s="484"/>
      <c r="Z52" s="484"/>
      <c r="AA52" s="484"/>
      <c r="AB52" s="484"/>
      <c r="AC52" s="484"/>
      <c r="AD52" s="484"/>
      <c r="AE52" s="484"/>
      <c r="AF52" s="484"/>
      <c r="AG52" s="484"/>
      <c r="AH52" s="484"/>
      <c r="AI52" s="484"/>
      <c r="AJ52" s="484"/>
    </row>
    <row r="53" spans="2:36" x14ac:dyDescent="0.35">
      <c r="B53" s="30" t="str">
        <f>B51</f>
        <v>Ausgrid</v>
      </c>
      <c r="D53" s="30" t="str">
        <f>D51</f>
        <v>controlled load</v>
      </c>
      <c r="E53" s="30" t="s">
        <v>14</v>
      </c>
      <c r="F53" s="258">
        <f>F51</f>
        <v>1340</v>
      </c>
      <c r="G53" s="30" t="s">
        <v>72</v>
      </c>
      <c r="H53" s="482"/>
      <c r="I53" s="482" cm="1">
        <f t="array" ref="I53">IFERROR(_xlfn.XLOOKUP(1,($B53=DistributionZone)*($C53=CustomerType)*($E53=tariffType)*($G53=Description),valuesPY),0)*SUM(I46:I51)</f>
        <v>5.3371396580662536</v>
      </c>
      <c r="J53" s="482">
        <f t="shared" si="20"/>
        <v>7.1517671418087794</v>
      </c>
      <c r="K53" s="484">
        <f>IFERROR(J53/J54,"")</f>
        <v>4.284164205584106E-2</v>
      </c>
      <c r="L53" s="484"/>
      <c r="M53" s="484">
        <f t="shared" si="21"/>
        <v>2.2784634481738841E-2</v>
      </c>
      <c r="N53" s="563"/>
      <c r="O53" s="482"/>
      <c r="P53" s="482" cm="1">
        <f t="array" ref="P53">IFERROR(_xlfn.XLOOKUP(1,($B53=DistributionZone)*($C53=CustomerType)*($E53=tariffType)*($G53=Description),valuesFY),0)*SUM(P46:P52)</f>
        <v>5.458744434353286</v>
      </c>
      <c r="Q53" s="482">
        <f>IF(AND(O53="",P53=""),"",O53+P53*$F53/1000)</f>
        <v>7.314717542033403</v>
      </c>
      <c r="R53" s="484">
        <f t="shared" si="23"/>
        <v>4.3929752561560002E-2</v>
      </c>
      <c r="S53" s="484"/>
      <c r="T53" s="607"/>
      <c r="U53" s="484"/>
      <c r="V53" s="484"/>
      <c r="W53" s="484"/>
      <c r="X53" s="484"/>
      <c r="Y53" s="484"/>
      <c r="Z53" s="484"/>
      <c r="AA53" s="484"/>
      <c r="AB53" s="484"/>
      <c r="AC53" s="484"/>
      <c r="AD53" s="484"/>
      <c r="AE53" s="484"/>
      <c r="AF53" s="484"/>
      <c r="AG53" s="484"/>
      <c r="AH53" s="484"/>
      <c r="AI53" s="484"/>
      <c r="AJ53" s="484"/>
    </row>
    <row r="54" spans="2:36" x14ac:dyDescent="0.35">
      <c r="B54" s="30" t="str">
        <f t="shared" si="18"/>
        <v>Ausgrid</v>
      </c>
      <c r="D54" s="30" t="str">
        <f t="shared" si="19"/>
        <v>controlled load</v>
      </c>
      <c r="E54" s="30" t="s">
        <v>14</v>
      </c>
      <c r="F54" s="258">
        <f t="shared" si="24"/>
        <v>1340</v>
      </c>
      <c r="G54" s="64" t="s">
        <v>55</v>
      </c>
      <c r="H54" s="487"/>
      <c r="I54" s="487">
        <f>SUM(I46:I53)</f>
        <v>124.57831684204977</v>
      </c>
      <c r="J54" s="487">
        <f>SUM(J46:J53)</f>
        <v>166.93494456834674</v>
      </c>
      <c r="K54" s="564"/>
      <c r="L54" s="565"/>
      <c r="M54" s="564">
        <f t="shared" si="21"/>
        <v>-2.5490548967284088E-3</v>
      </c>
      <c r="N54" s="566"/>
      <c r="O54" s="487"/>
      <c r="P54" s="487">
        <f>SUM(P46:P53)</f>
        <v>124.26075987347738</v>
      </c>
      <c r="Q54" s="487">
        <f>IF(AND(O54="",P54=""),"",O54+P54*$F54/1000)</f>
        <v>166.50941823045972</v>
      </c>
      <c r="R54" s="622"/>
      <c r="S54" s="564"/>
      <c r="T54" s="611"/>
      <c r="U54" s="564"/>
      <c r="V54" s="564"/>
      <c r="W54" s="564"/>
      <c r="X54" s="564"/>
      <c r="Y54" s="564"/>
      <c r="Z54" s="564"/>
      <c r="AA54" s="564"/>
      <c r="AB54" s="564"/>
      <c r="AC54" s="564"/>
      <c r="AD54" s="564"/>
      <c r="AE54" s="564"/>
      <c r="AF54" s="564"/>
      <c r="AG54" s="564"/>
      <c r="AH54" s="564"/>
      <c r="AI54" s="564"/>
      <c r="AJ54" s="564"/>
    </row>
    <row r="55" spans="2:36" x14ac:dyDescent="0.35">
      <c r="B55" s="30" t="str">
        <f t="shared" si="18"/>
        <v>Ausgrid</v>
      </c>
      <c r="D55" s="30" t="str">
        <f t="shared" si="19"/>
        <v>controlled load</v>
      </c>
      <c r="E55" s="30" t="s">
        <v>15</v>
      </c>
      <c r="F55" s="485" cm="1">
        <f t="array" ref="F55">_xlfn.XLOOKUP(1,($B55=DistributionZone)*($C55=CustomerType)*($D55=tariffL2)*($F$5=Description)*(E55=tariffType),valuesFY)</f>
        <v>660</v>
      </c>
      <c r="G55" s="30" t="s">
        <v>69</v>
      </c>
      <c r="H55" s="482"/>
      <c r="I55" s="482" cm="1">
        <f t="array" ref="I55">IFERROR(_xlfn.XLOOKUP(1,($B55=DistributionZone)*($C55=CustomerType)*($E55=tariffType)*($G55=Description),valuesPY),0)</f>
        <v>113.69499999999999</v>
      </c>
      <c r="J55" s="482">
        <f t="shared" ref="J55:J62" si="26">IF(AND(H55="",I55=""),"",H55+I55*F55/1000)</f>
        <v>75.038699999999992</v>
      </c>
      <c r="K55" s="484">
        <f>IFERROR(J55/J63,"")</f>
        <v>0.92652799057108493</v>
      </c>
      <c r="L55" s="484"/>
      <c r="M55" s="484">
        <f t="shared" si="21"/>
        <v>4.27899204010731E-2</v>
      </c>
      <c r="N55" s="563"/>
      <c r="O55" s="482"/>
      <c r="P55" s="482" cm="1">
        <f t="array" ref="P55">IFERROR(_xlfn.XLOOKUP(1,($B55=DistributionZone)*($C55=CustomerType)*($E55=tariffType)*($G55=Description),valuesFY),0)</f>
        <v>118.56</v>
      </c>
      <c r="Q55" s="482">
        <f t="shared" si="22"/>
        <v>78.249600000000001</v>
      </c>
      <c r="R55" s="484">
        <f t="shared" ref="R55:R62" si="27">IFERROR(Q55/$Q$63,"")</f>
        <v>0.91716636898151171</v>
      </c>
      <c r="S55" s="484"/>
      <c r="T55" s="608"/>
      <c r="U55" s="484"/>
      <c r="V55" s="484"/>
      <c r="W55" s="484"/>
      <c r="X55" s="484"/>
      <c r="Y55" s="484"/>
      <c r="Z55" s="484"/>
      <c r="AA55" s="484"/>
      <c r="AB55" s="484"/>
      <c r="AC55" s="484"/>
      <c r="AD55" s="484"/>
      <c r="AE55" s="484"/>
      <c r="AF55" s="484"/>
      <c r="AG55" s="484"/>
      <c r="AH55" s="484"/>
      <c r="AI55" s="484"/>
      <c r="AJ55" s="484"/>
    </row>
    <row r="56" spans="2:36" x14ac:dyDescent="0.35">
      <c r="B56" s="30" t="str">
        <f t="shared" si="18"/>
        <v>Ausgrid</v>
      </c>
      <c r="D56" s="30" t="str">
        <f t="shared" si="19"/>
        <v>controlled load</v>
      </c>
      <c r="E56" s="30" t="s">
        <v>15</v>
      </c>
      <c r="F56" s="258">
        <f>F55</f>
        <v>660</v>
      </c>
      <c r="G56" s="30" t="s">
        <v>70</v>
      </c>
      <c r="H56" s="482"/>
      <c r="I56" s="482" cm="1">
        <f t="array" ref="I56">IFERROR(_xlfn.XLOOKUP(1,($B56=DistributionZone)*(I$5=Desc_FixedOrVar)*($G56=Description),valuesPY),0)</f>
        <v>0.15378802592718904</v>
      </c>
      <c r="J56" s="482">
        <f t="shared" si="26"/>
        <v>0.10150009711194477</v>
      </c>
      <c r="K56" s="484">
        <f>IFERROR(J56/J63,"")</f>
        <v>1.2532557336401107E-3</v>
      </c>
      <c r="L56" s="484"/>
      <c r="M56" s="484">
        <f t="shared" si="21"/>
        <v>-0.19621579764116659</v>
      </c>
      <c r="N56" s="563"/>
      <c r="O56" s="482"/>
      <c r="P56" s="482" cm="1">
        <f t="array" ref="P56">IFERROR(_xlfn.XLOOKUP(1,($B56=DistributionZone)*(P$5=Desc_FixedOrVar)*($G56=Description),valuesFY),0)</f>
        <v>0.12361238575222523</v>
      </c>
      <c r="Q56" s="482">
        <f t="shared" si="22"/>
        <v>8.1584174596468662E-2</v>
      </c>
      <c r="R56" s="484">
        <f t="shared" si="27"/>
        <v>9.5625103746213211E-4</v>
      </c>
      <c r="S56" s="484"/>
      <c r="T56" s="607"/>
      <c r="U56" s="484"/>
      <c r="V56" s="484"/>
      <c r="W56" s="484"/>
      <c r="X56" s="484"/>
      <c r="Y56" s="484"/>
      <c r="Z56" s="484"/>
      <c r="AA56" s="484"/>
      <c r="AB56" s="484"/>
      <c r="AC56" s="484"/>
      <c r="AD56" s="484"/>
      <c r="AE56" s="484"/>
      <c r="AF56" s="484"/>
      <c r="AG56" s="484"/>
      <c r="AH56" s="484"/>
      <c r="AI56" s="484"/>
      <c r="AJ56" s="484"/>
    </row>
    <row r="57" spans="2:36" x14ac:dyDescent="0.35">
      <c r="B57" s="30" t="str">
        <f t="shared" si="18"/>
        <v>Ausgrid</v>
      </c>
      <c r="D57" s="30" t="str">
        <f t="shared" si="19"/>
        <v>controlled load</v>
      </c>
      <c r="E57" s="30" t="s">
        <v>15</v>
      </c>
      <c r="F57" s="258">
        <f t="shared" ref="F57:F63" si="28">F56</f>
        <v>660</v>
      </c>
      <c r="G57" s="30" t="s">
        <v>77</v>
      </c>
      <c r="H57" s="482"/>
      <c r="I57" s="482" cm="1">
        <f t="array" ref="I57">IFERROR(_xlfn.XLOOKUP(1,($B57=DistributionZone)*(I$5=Desc_FixedOrVar)*($G57=Description),valuesPY),0)</f>
        <v>0.57443</v>
      </c>
      <c r="J57" s="482">
        <f t="shared" si="26"/>
        <v>0.37912380000000001</v>
      </c>
      <c r="K57" s="484">
        <f>IFERROR(J57/J63,"")</f>
        <v>4.6811686848476043E-3</v>
      </c>
      <c r="L57" s="484"/>
      <c r="M57" s="484">
        <f t="shared" si="21"/>
        <v>-9.5799314102675726E-2</v>
      </c>
      <c r="N57" s="563"/>
      <c r="O57" s="482"/>
      <c r="P57" s="482" cm="1">
        <f t="array" ref="P57">IFERROR(_xlfn.XLOOKUP(1,($B57=DistributionZone)*(P$5=Desc_FixedOrVar)*($G57=Description),valuesFY),0)</f>
        <v>0.51939999999999997</v>
      </c>
      <c r="Q57" s="482">
        <f t="shared" si="22"/>
        <v>0.342804</v>
      </c>
      <c r="R57" s="484">
        <f t="shared" si="27"/>
        <v>4.0180179828694096E-3</v>
      </c>
      <c r="S57" s="484"/>
      <c r="T57" s="607"/>
      <c r="U57" s="484"/>
      <c r="V57" s="484"/>
      <c r="W57" s="484"/>
      <c r="X57" s="484"/>
      <c r="Y57" s="484"/>
      <c r="Z57" s="484"/>
      <c r="AA57" s="484"/>
      <c r="AB57" s="484"/>
      <c r="AC57" s="484"/>
      <c r="AD57" s="484"/>
      <c r="AE57" s="484"/>
      <c r="AF57" s="484"/>
      <c r="AG57" s="484"/>
      <c r="AH57" s="484"/>
      <c r="AI57" s="484"/>
      <c r="AJ57" s="484"/>
    </row>
    <row r="58" spans="2:36" x14ac:dyDescent="0.35">
      <c r="B58" s="30" t="str">
        <f t="shared" si="18"/>
        <v>Ausgrid</v>
      </c>
      <c r="D58" s="30" t="str">
        <f t="shared" si="19"/>
        <v>controlled load</v>
      </c>
      <c r="E58" s="30" t="s">
        <v>15</v>
      </c>
      <c r="F58" s="258">
        <f t="shared" si="28"/>
        <v>660</v>
      </c>
      <c r="G58" s="30" t="s">
        <v>71</v>
      </c>
      <c r="H58" s="482"/>
      <c r="I58" s="482" cm="1">
        <f t="array" ref="I58">IFERROR(_xlfn.XLOOKUP(1,($B58=DistributionZone)*(I$5=Desc_FixedOrVar)*($G58=Description),valuesPY),0)</f>
        <v>5.2786233739509421E-2</v>
      </c>
      <c r="J58" s="482">
        <f t="shared" si="26"/>
        <v>3.483891426807622E-2</v>
      </c>
      <c r="K58" s="484">
        <f>IFERROR(J58/J63,"")</f>
        <v>4.301677565106933E-4</v>
      </c>
      <c r="L58" s="484"/>
      <c r="M58" s="484">
        <f t="shared" si="21"/>
        <v>1.4130175372851865</v>
      </c>
      <c r="N58" s="563"/>
      <c r="O58" s="482"/>
      <c r="P58" s="482" cm="1">
        <f t="array" ref="P58">IFERROR(_xlfn.XLOOKUP(1,($B58=DistributionZone)*(P$5=Desc_FixedOrVar)*($G58=Description),valuesFY),0)</f>
        <v>0.12737410774067126</v>
      </c>
      <c r="Q58" s="482">
        <f t="shared" si="22"/>
        <v>8.4066911108843026E-2</v>
      </c>
      <c r="R58" s="484">
        <f t="shared" si="27"/>
        <v>9.8535128119746395E-4</v>
      </c>
      <c r="S58" s="484"/>
      <c r="T58" s="607"/>
      <c r="U58" s="484"/>
      <c r="V58" s="484"/>
      <c r="W58" s="484"/>
      <c r="X58" s="484"/>
      <c r="Y58" s="484"/>
      <c r="Z58" s="484"/>
      <c r="AA58" s="484"/>
      <c r="AB58" s="484"/>
      <c r="AC58" s="484"/>
      <c r="AD58" s="484"/>
      <c r="AE58" s="484"/>
      <c r="AF58" s="484"/>
      <c r="AG58" s="484"/>
      <c r="AH58" s="484"/>
      <c r="AI58" s="484"/>
      <c r="AJ58" s="484"/>
    </row>
    <row r="59" spans="2:36" x14ac:dyDescent="0.35">
      <c r="B59" s="30" t="str">
        <f t="shared" si="18"/>
        <v>Ausgrid</v>
      </c>
      <c r="D59" s="30" t="str">
        <f t="shared" si="19"/>
        <v>controlled load</v>
      </c>
      <c r="E59" s="30" t="s">
        <v>15</v>
      </c>
      <c r="F59" s="258">
        <f t="shared" si="28"/>
        <v>660</v>
      </c>
      <c r="G59" s="30" t="s">
        <v>173</v>
      </c>
      <c r="H59" s="482"/>
      <c r="I59" s="482" cm="1">
        <f t="array" ref="I59">IFERROR(_xlfn.XLOOKUP(1,($B59=DistributionZone)*(I$5=Desc_FixedOrVar)*($G59=Description),valuesPY),0)</f>
        <v>0.11507709849820914</v>
      </c>
      <c r="J59" s="482">
        <f t="shared" si="26"/>
        <v>7.5950885008818039E-2</v>
      </c>
      <c r="K59" s="484">
        <f>IFERROR(J59/J64,"")</f>
        <v>3.0634735161490337E-4</v>
      </c>
      <c r="L59" s="484"/>
      <c r="M59" s="484">
        <f t="shared" si="21"/>
        <v>-1</v>
      </c>
      <c r="N59" s="563"/>
      <c r="O59" s="482"/>
      <c r="P59" s="482" cm="1">
        <f t="array" ref="P59">IFERROR(_xlfn.XLOOKUP(1,($B59=DistributionZone)*(P$5=Desc_FixedOrVar)*($G59=Description),valuesFY),0)</f>
        <v>0</v>
      </c>
      <c r="Q59" s="482">
        <f t="shared" si="22"/>
        <v>0</v>
      </c>
      <c r="R59" s="484">
        <f t="shared" si="27"/>
        <v>0</v>
      </c>
      <c r="S59" s="484"/>
      <c r="T59" s="607"/>
      <c r="U59" s="484"/>
      <c r="V59" s="484"/>
      <c r="W59" s="484"/>
      <c r="X59" s="484"/>
      <c r="Y59" s="484"/>
      <c r="Z59" s="484"/>
      <c r="AA59" s="484"/>
      <c r="AB59" s="484"/>
      <c r="AC59" s="484"/>
      <c r="AD59" s="484"/>
      <c r="AE59" s="484"/>
      <c r="AF59" s="484"/>
      <c r="AG59" s="484"/>
      <c r="AH59" s="484"/>
      <c r="AI59" s="484"/>
      <c r="AJ59" s="484"/>
    </row>
    <row r="60" spans="2:36" x14ac:dyDescent="0.35">
      <c r="B60" s="30" t="str">
        <f t="shared" si="18"/>
        <v>Ausgrid</v>
      </c>
      <c r="D60" s="30" t="str">
        <f t="shared" si="19"/>
        <v>controlled load</v>
      </c>
      <c r="E60" s="30" t="s">
        <v>15</v>
      </c>
      <c r="F60" s="258">
        <f t="shared" si="28"/>
        <v>660</v>
      </c>
      <c r="G60" s="30" t="s">
        <v>130</v>
      </c>
      <c r="H60" s="482"/>
      <c r="I60" s="482" cm="1">
        <f t="array" ref="I60">IFERROR(_xlfn.XLOOKUP(1,($B60=DistributionZone)*(I$5=Desc_FixedOrVar)*($G60=Description),valuesPY),0)</f>
        <v>2.8625958258186368</v>
      </c>
      <c r="J60" s="482">
        <f t="shared" si="26"/>
        <v>1.8893132450403003</v>
      </c>
      <c r="K60" s="484">
        <f>IFERROR(J60/J63,"")</f>
        <v>2.3327984153330553E-2</v>
      </c>
      <c r="L60" s="484"/>
      <c r="M60" s="484">
        <f t="shared" si="21"/>
        <v>-5.7279088688867441E-2</v>
      </c>
      <c r="N60" s="563"/>
      <c r="O60" s="482"/>
      <c r="P60" s="482" cm="1">
        <f t="array" ref="P60">IFERROR(_xlfn.XLOOKUP(1,($B60=DistributionZone)*(P$5=Desc_FixedOrVar)*($G60=Description),valuesFY),0)</f>
        <v>2.6986289456311892</v>
      </c>
      <c r="Q60" s="482">
        <f t="shared" si="22"/>
        <v>1.781095104116585</v>
      </c>
      <c r="R60" s="484">
        <f t="shared" si="27"/>
        <v>2.0876279616168721E-2</v>
      </c>
      <c r="S60" s="484"/>
      <c r="T60" s="607"/>
      <c r="U60" s="484"/>
      <c r="V60" s="484"/>
      <c r="W60" s="484"/>
      <c r="X60" s="484"/>
      <c r="Y60" s="484"/>
      <c r="Z60" s="484"/>
      <c r="AA60" s="484"/>
      <c r="AB60" s="484"/>
      <c r="AC60" s="484"/>
      <c r="AD60" s="484"/>
      <c r="AE60" s="484"/>
      <c r="AF60" s="484"/>
      <c r="AG60" s="484"/>
      <c r="AH60" s="484"/>
      <c r="AI60" s="484"/>
      <c r="AJ60" s="484"/>
    </row>
    <row r="61" spans="2:36" x14ac:dyDescent="0.35">
      <c r="B61" s="30" t="str">
        <f t="shared" si="18"/>
        <v>Ausgrid</v>
      </c>
      <c r="D61" s="30" t="str">
        <f t="shared" si="19"/>
        <v>controlled load</v>
      </c>
      <c r="E61" s="30" t="s">
        <v>15</v>
      </c>
      <c r="F61" s="258">
        <f t="shared" si="28"/>
        <v>660</v>
      </c>
      <c r="G61" s="30" t="s">
        <v>302</v>
      </c>
      <c r="H61" s="482"/>
      <c r="I61" s="482"/>
      <c r="J61" s="482"/>
      <c r="K61" s="484"/>
      <c r="L61" s="484"/>
      <c r="M61" s="484"/>
      <c r="N61" s="563"/>
      <c r="O61" s="482"/>
      <c r="P61" s="482" cm="1">
        <f t="array" ref="P61">IFERROR(_xlfn.XLOOKUP(1,($B61=DistributionZone)*(E61=tariffType)*(P$5=Desc_FixedOrVar)*($G61=Description),valuesFY),0)</f>
        <v>1.5599999999999996</v>
      </c>
      <c r="Q61" s="482">
        <f t="shared" ref="Q61" si="29">IF(AND(O61="",P61=""),"",O61+P61*$F61/1000)</f>
        <v>1.0295999999999996</v>
      </c>
      <c r="R61" s="484">
        <f t="shared" si="27"/>
        <v>1.2067978539230414E-2</v>
      </c>
      <c r="S61" s="484"/>
      <c r="T61" s="607"/>
      <c r="U61" s="484"/>
      <c r="V61" s="484"/>
      <c r="W61" s="484"/>
      <c r="X61" s="484"/>
      <c r="Y61" s="484"/>
      <c r="Z61" s="484"/>
      <c r="AA61" s="484"/>
      <c r="AB61" s="484"/>
      <c r="AC61" s="484"/>
      <c r="AD61" s="484"/>
      <c r="AE61" s="484"/>
      <c r="AF61" s="484"/>
      <c r="AG61" s="484"/>
      <c r="AH61" s="484"/>
      <c r="AI61" s="484"/>
      <c r="AJ61" s="484"/>
    </row>
    <row r="62" spans="2:36" x14ac:dyDescent="0.35">
      <c r="B62" s="30" t="str">
        <f>B60</f>
        <v>Ausgrid</v>
      </c>
      <c r="D62" s="30" t="str">
        <f>D60</f>
        <v>controlled load</v>
      </c>
      <c r="E62" s="30" t="s">
        <v>15</v>
      </c>
      <c r="F62" s="258">
        <f>F60</f>
        <v>660</v>
      </c>
      <c r="G62" s="30" t="s">
        <v>72</v>
      </c>
      <c r="H62" s="482"/>
      <c r="I62" s="482" cm="1">
        <f t="array" ref="I62">IFERROR(_xlfn.XLOOKUP(1,($B62=DistributionZone)*($C62=CustomerType)*($E62=tariffType)*($G62=Description),valuesPY),0)*SUM(I55:I60)</f>
        <v>5.2571325886620874</v>
      </c>
      <c r="J62" s="482">
        <f t="shared" si="26"/>
        <v>3.4697075085169775</v>
      </c>
      <c r="K62" s="484">
        <f>IFERROR(J62/J63,"")</f>
        <v>4.2841642055841067E-2</v>
      </c>
      <c r="L62" s="484"/>
      <c r="M62" s="484">
        <f t="shared" si="21"/>
        <v>8.0189361860240282E-2</v>
      </c>
      <c r="N62" s="563"/>
      <c r="O62" s="482"/>
      <c r="P62" s="482" cm="1">
        <f t="array" ref="P62">IFERROR(_xlfn.XLOOKUP(1,($B62=DistributionZone)*($C62=CustomerType)*($E62=tariffType)*($G62=Description),valuesFY),0)*SUM(P55:P61)</f>
        <v>5.6786986961615726</v>
      </c>
      <c r="Q62" s="482">
        <f>IF(AND(O62="",P62=""),"",O62+P62*$F62/1000)</f>
        <v>3.7479411394666382</v>
      </c>
      <c r="R62" s="484">
        <f t="shared" si="27"/>
        <v>4.3929752561560009E-2</v>
      </c>
      <c r="S62" s="484"/>
      <c r="T62" s="607"/>
      <c r="U62" s="484"/>
      <c r="V62" s="484"/>
      <c r="W62" s="484"/>
      <c r="X62" s="484"/>
      <c r="Y62" s="484"/>
      <c r="Z62" s="484"/>
      <c r="AA62" s="484"/>
      <c r="AB62" s="484"/>
      <c r="AC62" s="484"/>
      <c r="AD62" s="484"/>
      <c r="AE62" s="484"/>
      <c r="AF62" s="484"/>
      <c r="AG62" s="484"/>
      <c r="AH62" s="484"/>
      <c r="AI62" s="484"/>
      <c r="AJ62" s="484"/>
    </row>
    <row r="63" spans="2:36" x14ac:dyDescent="0.35">
      <c r="B63" s="30" t="str">
        <f t="shared" si="18"/>
        <v>Ausgrid</v>
      </c>
      <c r="D63" s="30" t="str">
        <f t="shared" si="19"/>
        <v>controlled load</v>
      </c>
      <c r="E63" s="30" t="s">
        <v>15</v>
      </c>
      <c r="F63" s="258">
        <f t="shared" si="28"/>
        <v>660</v>
      </c>
      <c r="G63" s="64" t="s">
        <v>55</v>
      </c>
      <c r="H63" s="487"/>
      <c r="I63" s="487">
        <f>SUM(I55:I62)</f>
        <v>122.71080977264562</v>
      </c>
      <c r="J63" s="487">
        <f>IF(AND(H63="",I63=""),"",H63+I63*+Usage!I$38/1000)</f>
        <v>80.989134449946107</v>
      </c>
      <c r="K63" s="564"/>
      <c r="L63" s="565"/>
      <c r="M63" s="564">
        <f t="shared" si="21"/>
        <v>5.3433795887978031E-2</v>
      </c>
      <c r="N63" s="566"/>
      <c r="O63" s="487"/>
      <c r="P63" s="487">
        <f>SUM(P55:P62)</f>
        <v>129.26771413528567</v>
      </c>
      <c r="Q63" s="487">
        <f t="shared" si="22"/>
        <v>85.316691329288545</v>
      </c>
      <c r="R63" s="484"/>
      <c r="S63" s="484"/>
      <c r="T63" s="607"/>
      <c r="U63" s="484"/>
      <c r="V63" s="484"/>
      <c r="W63" s="484"/>
      <c r="X63" s="484"/>
      <c r="Y63" s="484"/>
      <c r="Z63" s="484"/>
      <c r="AA63" s="484"/>
      <c r="AB63" s="484"/>
      <c r="AC63" s="484"/>
      <c r="AD63" s="484"/>
      <c r="AE63" s="484"/>
      <c r="AF63" s="484"/>
      <c r="AG63" s="484"/>
      <c r="AH63" s="484"/>
      <c r="AI63" s="484"/>
      <c r="AJ63" s="484"/>
    </row>
    <row r="64" spans="2:36" x14ac:dyDescent="0.35">
      <c r="B64" s="30" t="str">
        <f t="shared" si="18"/>
        <v>Ausgrid</v>
      </c>
      <c r="D64" s="30" t="str">
        <f t="shared" si="19"/>
        <v>controlled load</v>
      </c>
      <c r="E64" s="30" t="s">
        <v>55</v>
      </c>
      <c r="F64" s="258">
        <f>SUM(F45,F46,F55)</f>
        <v>2000</v>
      </c>
      <c r="G64" s="64" t="s">
        <v>55</v>
      </c>
      <c r="H64" s="487"/>
      <c r="I64" s="487">
        <f>SUM(I63,I54)</f>
        <v>247.28912661469539</v>
      </c>
      <c r="J64" s="487">
        <f>J45+J54+J63</f>
        <v>247.92407901829284</v>
      </c>
      <c r="K64" s="564"/>
      <c r="L64" s="565"/>
      <c r="M64" s="564">
        <f t="shared" si="21"/>
        <v>1.5738812288448534E-2</v>
      </c>
      <c r="N64" s="566"/>
      <c r="O64" s="487"/>
      <c r="P64" s="487">
        <f>SUM(P63,P54)</f>
        <v>253.52847400876306</v>
      </c>
      <c r="Q64" s="487">
        <f>Q45+Q54+Q63</f>
        <v>251.82610955974826</v>
      </c>
      <c r="R64" s="484"/>
      <c r="S64" s="484"/>
      <c r="T64" s="607"/>
      <c r="U64" s="484"/>
      <c r="V64" s="484"/>
      <c r="W64" s="484"/>
      <c r="X64" s="484"/>
      <c r="Y64" s="484"/>
      <c r="Z64" s="484"/>
      <c r="AA64" s="484"/>
      <c r="AB64" s="484"/>
      <c r="AC64" s="484"/>
      <c r="AD64" s="484"/>
      <c r="AE64" s="484"/>
      <c r="AF64" s="484"/>
      <c r="AG64" s="484"/>
      <c r="AH64" s="484"/>
      <c r="AI64" s="484"/>
      <c r="AJ64" s="484"/>
    </row>
    <row r="65" spans="2:36" x14ac:dyDescent="0.35">
      <c r="B65" s="30" t="str">
        <f t="shared" si="18"/>
        <v>Ausgrid</v>
      </c>
      <c r="D65" s="30" t="str">
        <f t="shared" si="19"/>
        <v>controlled load</v>
      </c>
      <c r="F65" s="258"/>
      <c r="G65" s="30" t="s">
        <v>38</v>
      </c>
      <c r="H65" s="482"/>
      <c r="I65" s="482"/>
      <c r="J65" s="482">
        <f>J64*GST</f>
        <v>24.792407901829286</v>
      </c>
      <c r="K65" s="484"/>
      <c r="L65" s="567"/>
      <c r="M65" s="484"/>
      <c r="N65" s="568"/>
      <c r="O65" s="482"/>
      <c r="P65" s="610"/>
      <c r="Q65" s="482">
        <f>Q64*GST</f>
        <v>25.182610955974827</v>
      </c>
      <c r="R65" s="564"/>
      <c r="S65" s="564"/>
      <c r="T65" s="611"/>
      <c r="U65" s="564"/>
      <c r="V65" s="564"/>
      <c r="W65" s="564"/>
      <c r="X65" s="564"/>
      <c r="Y65" s="564"/>
      <c r="Z65" s="564"/>
      <c r="AA65" s="564"/>
      <c r="AB65" s="564"/>
      <c r="AC65" s="564"/>
      <c r="AD65" s="564"/>
      <c r="AE65" s="564"/>
      <c r="AF65" s="564"/>
      <c r="AG65" s="564"/>
      <c r="AH65" s="564"/>
      <c r="AI65" s="564"/>
      <c r="AJ65" s="564"/>
    </row>
    <row r="66" spans="2:36" x14ac:dyDescent="0.35">
      <c r="B66" s="30" t="str">
        <f t="shared" si="18"/>
        <v>Ausgrid</v>
      </c>
      <c r="D66" s="30" t="str">
        <f t="shared" si="19"/>
        <v>controlled load</v>
      </c>
      <c r="F66" s="258"/>
      <c r="G66" s="64" t="s">
        <v>79</v>
      </c>
      <c r="H66" s="487"/>
      <c r="I66" s="487"/>
      <c r="J66" s="487">
        <f>SUM(J64:J65)</f>
        <v>272.71648692012212</v>
      </c>
      <c r="K66" s="564"/>
      <c r="L66" s="565"/>
      <c r="M66" s="564">
        <f>IF(OR(J66=0,Q66=""),"",Q66/J66-1)</f>
        <v>1.5738812288448756E-2</v>
      </c>
      <c r="N66" s="566"/>
      <c r="O66" s="487"/>
      <c r="P66" s="487"/>
      <c r="Q66" s="487">
        <f>SUM(Q64:Q65)</f>
        <v>277.0087205157231</v>
      </c>
      <c r="R66" s="564"/>
      <c r="S66" s="564"/>
      <c r="T66" s="611"/>
      <c r="U66" s="564"/>
      <c r="V66" s="564"/>
      <c r="W66" s="564"/>
      <c r="X66" s="564"/>
      <c r="Y66" s="564"/>
      <c r="Z66" s="564"/>
      <c r="AA66" s="564"/>
      <c r="AB66" s="564"/>
      <c r="AC66" s="564"/>
      <c r="AD66" s="564"/>
      <c r="AE66" s="564"/>
      <c r="AF66" s="564"/>
      <c r="AG66" s="564"/>
      <c r="AH66" s="564"/>
      <c r="AI66" s="564"/>
      <c r="AJ66" s="564"/>
    </row>
    <row r="67" spans="2:36" x14ac:dyDescent="0.35">
      <c r="F67" s="258"/>
      <c r="H67" s="482"/>
      <c r="I67" s="482"/>
      <c r="J67" s="482"/>
      <c r="K67" s="484"/>
      <c r="L67" s="567"/>
      <c r="M67" s="484"/>
      <c r="N67" s="568"/>
      <c r="O67" s="482"/>
      <c r="P67" s="482"/>
      <c r="Q67" s="482"/>
      <c r="R67" s="484"/>
      <c r="S67" s="484"/>
      <c r="T67" s="607"/>
      <c r="U67" s="484"/>
      <c r="V67" s="484"/>
      <c r="W67" s="484"/>
      <c r="X67" s="484"/>
      <c r="Y67" s="484"/>
      <c r="Z67" s="484"/>
      <c r="AA67" s="484"/>
      <c r="AB67" s="484"/>
      <c r="AC67" s="484"/>
      <c r="AD67" s="484"/>
      <c r="AE67" s="484"/>
      <c r="AF67" s="484"/>
      <c r="AG67" s="484"/>
      <c r="AH67" s="484"/>
      <c r="AI67" s="484"/>
      <c r="AJ67" s="484"/>
    </row>
    <row r="68" spans="2:36" s="597" customFormat="1" x14ac:dyDescent="0.35">
      <c r="B68" s="64" t="s">
        <v>2</v>
      </c>
      <c r="C68" s="64" t="s">
        <v>13</v>
      </c>
      <c r="D68" s="64" t="s">
        <v>276</v>
      </c>
      <c r="F68" s="598"/>
      <c r="H68" s="599"/>
      <c r="I68" s="599"/>
      <c r="J68" s="599"/>
      <c r="K68" s="600"/>
      <c r="L68" s="601"/>
      <c r="M68" s="600"/>
      <c r="N68" s="602"/>
      <c r="O68" s="599"/>
      <c r="P68" s="599"/>
      <c r="Q68" s="599"/>
      <c r="R68" s="600"/>
      <c r="S68" s="600"/>
      <c r="T68" s="623"/>
      <c r="U68" s="600"/>
      <c r="V68" s="600"/>
      <c r="W68" s="600"/>
      <c r="X68" s="600"/>
      <c r="Y68" s="600"/>
      <c r="Z68" s="600"/>
      <c r="AA68" s="600"/>
      <c r="AB68" s="600"/>
      <c r="AC68" s="600"/>
      <c r="AD68" s="600"/>
      <c r="AE68" s="600"/>
      <c r="AF68" s="600"/>
      <c r="AG68" s="600"/>
      <c r="AH68" s="600"/>
      <c r="AI68" s="600"/>
      <c r="AJ68" s="600"/>
    </row>
    <row r="69" spans="2:36" x14ac:dyDescent="0.35">
      <c r="B69" s="30" t="str">
        <f>B68</f>
        <v>Ausgrid</v>
      </c>
      <c r="C69" s="30" t="str">
        <f>C68</f>
        <v>Small business</v>
      </c>
      <c r="D69" s="30" t="str">
        <f>D68</f>
        <v>flat rate</v>
      </c>
      <c r="E69" s="30" t="s">
        <v>19</v>
      </c>
      <c r="F69" s="485" cm="1">
        <f t="array" ref="F69">_xlfn.XLOOKUP(1,($B69=DistributionZone)*($C69=CustomerType)*($D69=tariffL2)*($F$5=Description)*(E69=tariffType),valuesFY)</f>
        <v>10000</v>
      </c>
      <c r="G69" s="30" t="s">
        <v>69</v>
      </c>
      <c r="H69" s="482"/>
      <c r="I69" s="482" cm="1">
        <f t="array" ref="I69">IFERROR(_xlfn.XLOOKUP(1,($B69=DistributionZone)*($C69=CustomerType)*($E69=tariffType)*($G69=Description),valuesPY),0)</f>
        <v>161.0675</v>
      </c>
      <c r="J69" s="482">
        <f t="shared" ref="J69:J76" si="30">H69+I69*F69/1000</f>
        <v>1610.675</v>
      </c>
      <c r="K69" s="484">
        <f>IFERROR(J69/J77,"")</f>
        <v>0.92787665139590048</v>
      </c>
      <c r="L69" s="484"/>
      <c r="M69" s="564">
        <f t="shared" ref="M69:M77" si="31">IF(OR(J69=0,Q69=""),"",Q69/J69-1)</f>
        <v>-0.14805904356869004</v>
      </c>
      <c r="N69" s="563"/>
      <c r="O69" s="482"/>
      <c r="P69" s="482" cm="1">
        <f t="array" ref="P69">IFERROR(_xlfn.XLOOKUP(1,($B69=DistributionZone)*($C69=CustomerType)*($E69=tariffType)*($G69=Description),valuesFY),0)</f>
        <v>137.22</v>
      </c>
      <c r="Q69" s="482">
        <f t="shared" ref="Q69:Q76" si="32">O69+P69*$F69/1000</f>
        <v>1372.2</v>
      </c>
      <c r="R69" s="484">
        <f>IFERROR(Q69/Q77,"")</f>
        <v>0.91270387075748549</v>
      </c>
      <c r="S69" s="484"/>
      <c r="T69" s="608"/>
      <c r="U69" s="484"/>
      <c r="V69" s="484"/>
      <c r="W69" s="484"/>
      <c r="X69" s="484"/>
      <c r="Y69" s="484"/>
      <c r="Z69" s="484"/>
      <c r="AA69" s="484"/>
      <c r="AB69" s="484"/>
      <c r="AC69" s="484"/>
      <c r="AD69" s="484"/>
      <c r="AE69" s="484"/>
      <c r="AF69" s="484"/>
      <c r="AG69" s="484"/>
      <c r="AH69" s="484"/>
      <c r="AI69" s="484"/>
      <c r="AJ69" s="484"/>
    </row>
    <row r="70" spans="2:36" x14ac:dyDescent="0.35">
      <c r="B70" s="30" t="str">
        <f t="shared" ref="B70:D79" si="33">B69</f>
        <v>Ausgrid</v>
      </c>
      <c r="C70" s="30" t="str">
        <f t="shared" si="33"/>
        <v>Small business</v>
      </c>
      <c r="D70" s="30" t="str">
        <f t="shared" si="33"/>
        <v>flat rate</v>
      </c>
      <c r="E70" s="30" t="s">
        <v>19</v>
      </c>
      <c r="F70" s="258">
        <f>F69</f>
        <v>10000</v>
      </c>
      <c r="G70" s="30" t="s">
        <v>70</v>
      </c>
      <c r="H70" s="482"/>
      <c r="I70" s="482" cm="1">
        <f t="array" ref="I70">IFERROR(_xlfn.XLOOKUP(1,($B70=DistributionZone)*(I$5=Desc_FixedOrVar)*($G70=Description),valuesPY),0)</f>
        <v>0.15378802592718904</v>
      </c>
      <c r="J70" s="482">
        <f t="shared" si="30"/>
        <v>1.5378802592718905</v>
      </c>
      <c r="K70" s="484">
        <f>IFERROR(J70/J77,"")</f>
        <v>8.8594110247012029E-4</v>
      </c>
      <c r="L70" s="484"/>
      <c r="M70" s="484">
        <f t="shared" si="31"/>
        <v>-0.19621579764116659</v>
      </c>
      <c r="N70" s="563"/>
      <c r="O70" s="482"/>
      <c r="P70" s="482" cm="1">
        <f t="array" ref="P70">IFERROR(_xlfn.XLOOKUP(1,($B70=DistributionZone)*(P$5=Desc_FixedOrVar)*($G70=Description),valuesFY),0)</f>
        <v>0.12361238575222523</v>
      </c>
      <c r="Q70" s="482">
        <f t="shared" si="32"/>
        <v>1.2361238575222524</v>
      </c>
      <c r="R70" s="484">
        <f>IFERROR(Q70/Q77,"")</f>
        <v>8.2219430804273005E-4</v>
      </c>
      <c r="S70" s="484"/>
      <c r="T70" s="607"/>
      <c r="U70" s="484"/>
      <c r="V70" s="484"/>
      <c r="W70" s="484"/>
      <c r="X70" s="484"/>
      <c r="Y70" s="484"/>
      <c r="Z70" s="484"/>
      <c r="AA70" s="484"/>
      <c r="AB70" s="484"/>
      <c r="AC70" s="484"/>
      <c r="AD70" s="484"/>
      <c r="AE70" s="484"/>
      <c r="AF70" s="484"/>
      <c r="AG70" s="484"/>
      <c r="AH70" s="484"/>
      <c r="AI70" s="484"/>
      <c r="AJ70" s="484"/>
    </row>
    <row r="71" spans="2:36" x14ac:dyDescent="0.35">
      <c r="B71" s="30" t="str">
        <f t="shared" si="33"/>
        <v>Ausgrid</v>
      </c>
      <c r="C71" s="30" t="str">
        <f t="shared" si="33"/>
        <v>Small business</v>
      </c>
      <c r="D71" s="30" t="str">
        <f t="shared" si="33"/>
        <v>flat rate</v>
      </c>
      <c r="E71" s="30" t="s">
        <v>19</v>
      </c>
      <c r="F71" s="258">
        <f t="shared" ref="F71:F77" si="34">F70</f>
        <v>10000</v>
      </c>
      <c r="G71" s="30" t="s">
        <v>77</v>
      </c>
      <c r="H71" s="482" cm="1">
        <f t="array" ref="H71">IFERROR(_xlfn.XLOOKUP(1,($B71=DistributionZone)*(H$5=Desc_FixedOrVar)*($G71=Description),valuesPY),0)*Days/7</f>
        <v>13.835244134497829</v>
      </c>
      <c r="I71" s="482" cm="1">
        <f t="array" ref="I71">IFERROR(_xlfn.XLOOKUP(1,($B71=DistributionZone)*(I$5=Desc_FixedOrVar)*($G71=Description),valuesPY),0)</f>
        <v>0.57443</v>
      </c>
      <c r="J71" s="482">
        <f t="shared" si="30"/>
        <v>19.57954413449783</v>
      </c>
      <c r="K71" s="484">
        <f>IFERROR(J71/J77,"")</f>
        <v>1.1279371597234756E-2</v>
      </c>
      <c r="L71" s="484"/>
      <c r="M71" s="484">
        <f t="shared" si="31"/>
        <v>-6.4360238718609519E-2</v>
      </c>
      <c r="N71" s="563"/>
      <c r="O71" s="482" cm="1">
        <f t="array" ref="O71">IFERROR(_xlfn.XLOOKUP(1,($B71=DistributionZone)*(O$5=Desc_FixedOrVar)*($G71=Description),valuesFY),0)*Days/7</f>
        <v>13.125399999999999</v>
      </c>
      <c r="P71" s="482" cm="1">
        <f t="array" ref="P71">IFERROR(_xlfn.XLOOKUP(1,($B71=DistributionZone)*(P$5=Desc_FixedOrVar)*($G71=Description),valuesFY),0)</f>
        <v>0.51939999999999997</v>
      </c>
      <c r="Q71" s="482">
        <f t="shared" si="32"/>
        <v>18.319399999999998</v>
      </c>
      <c r="R71" s="484">
        <f>IFERROR(Q71/Q77,"")</f>
        <v>1.2184949198334556E-2</v>
      </c>
      <c r="S71" s="484"/>
      <c r="T71" s="607"/>
      <c r="U71" s="484"/>
      <c r="V71" s="484"/>
      <c r="W71" s="484"/>
      <c r="X71" s="484"/>
      <c r="Y71" s="484"/>
      <c r="Z71" s="484"/>
      <c r="AA71" s="484"/>
      <c r="AB71" s="484"/>
      <c r="AC71" s="484"/>
      <c r="AD71" s="484"/>
      <c r="AE71" s="484"/>
      <c r="AF71" s="484"/>
      <c r="AG71" s="484"/>
      <c r="AH71" s="484"/>
      <c r="AI71" s="484"/>
      <c r="AJ71" s="484"/>
    </row>
    <row r="72" spans="2:36" x14ac:dyDescent="0.35">
      <c r="B72" s="30" t="str">
        <f t="shared" si="33"/>
        <v>Ausgrid</v>
      </c>
      <c r="C72" s="30" t="str">
        <f t="shared" si="33"/>
        <v>Small business</v>
      </c>
      <c r="D72" s="30" t="str">
        <f t="shared" si="33"/>
        <v>flat rate</v>
      </c>
      <c r="E72" s="30" t="s">
        <v>19</v>
      </c>
      <c r="F72" s="258">
        <f t="shared" si="34"/>
        <v>10000</v>
      </c>
      <c r="G72" s="30" t="s">
        <v>71</v>
      </c>
      <c r="H72" s="482"/>
      <c r="I72" s="482" cm="1">
        <f t="array" ref="I72">IFERROR(_xlfn.XLOOKUP(1,($B72=DistributionZone)*(I$5=Desc_FixedOrVar)*($G72=Description),valuesPY),0)</f>
        <v>5.2786233739509421E-2</v>
      </c>
      <c r="J72" s="482">
        <f t="shared" si="30"/>
        <v>0.52786233739509414</v>
      </c>
      <c r="K72" s="484">
        <f>IFERROR(J72/J77,"")</f>
        <v>3.0409060674572649E-4</v>
      </c>
      <c r="L72" s="484"/>
      <c r="M72" s="484">
        <f t="shared" si="31"/>
        <v>1.413017537285187</v>
      </c>
      <c r="N72" s="563"/>
      <c r="O72" s="482"/>
      <c r="P72" s="482" cm="1">
        <f t="array" ref="P72">IFERROR(_xlfn.XLOOKUP(1,($B72=DistributionZone)*(P$5=Desc_FixedOrVar)*($G72=Description),valuesFY),0)</f>
        <v>0.12737410774067126</v>
      </c>
      <c r="Q72" s="482">
        <f t="shared" si="32"/>
        <v>1.2737410774067126</v>
      </c>
      <c r="R72" s="484">
        <f>IFERROR(Q72/Q77,"")</f>
        <v>8.4721499175915798E-4</v>
      </c>
      <c r="S72" s="484"/>
      <c r="T72" s="607"/>
      <c r="U72" s="484"/>
      <c r="V72" s="484"/>
      <c r="W72" s="484"/>
      <c r="X72" s="484"/>
      <c r="Y72" s="484"/>
      <c r="Z72" s="484"/>
      <c r="AA72" s="484"/>
      <c r="AB72" s="484"/>
      <c r="AC72" s="484"/>
      <c r="AD72" s="484"/>
      <c r="AE72" s="484"/>
      <c r="AF72" s="484"/>
      <c r="AG72" s="484"/>
      <c r="AH72" s="484"/>
      <c r="AI72" s="484"/>
      <c r="AJ72" s="484"/>
    </row>
    <row r="73" spans="2:36" x14ac:dyDescent="0.35">
      <c r="B73" s="30" t="str">
        <f t="shared" si="33"/>
        <v>Ausgrid</v>
      </c>
      <c r="C73" s="30" t="str">
        <f t="shared" si="33"/>
        <v>Small business</v>
      </c>
      <c r="D73" s="30" t="str">
        <f t="shared" si="33"/>
        <v>flat rate</v>
      </c>
      <c r="E73" s="30" t="s">
        <v>19</v>
      </c>
      <c r="F73" s="258">
        <f t="shared" si="34"/>
        <v>10000</v>
      </c>
      <c r="G73" s="30" t="s">
        <v>173</v>
      </c>
      <c r="H73" s="482"/>
      <c r="I73" s="482" cm="1">
        <f t="array" ref="I73">IFERROR(_xlfn.XLOOKUP(1,($B73=DistributionZone)*(I$5=Desc_FixedOrVar)*($G73=Description),valuesPY),0)</f>
        <v>0.11507709849820914</v>
      </c>
      <c r="J73" s="482">
        <f t="shared" si="30"/>
        <v>1.1507709849820915</v>
      </c>
      <c r="K73" s="484">
        <f>IFERROR(J73/J78,"")</f>
        <v>6.6293543270290103E-3</v>
      </c>
      <c r="L73" s="484"/>
      <c r="M73" s="484">
        <f t="shared" si="31"/>
        <v>-1</v>
      </c>
      <c r="N73" s="563"/>
      <c r="O73" s="482"/>
      <c r="P73" s="482" cm="1">
        <f t="array" ref="P73">IFERROR(_xlfn.XLOOKUP(1,($B73=DistributionZone)*(P$5=Desc_FixedOrVar)*($G73=Description),valuesFY),0)</f>
        <v>0</v>
      </c>
      <c r="Q73" s="482">
        <f t="shared" si="32"/>
        <v>0</v>
      </c>
      <c r="R73" s="484">
        <f>IFERROR(Q73/Q77,"")</f>
        <v>0</v>
      </c>
      <c r="S73" s="484"/>
      <c r="T73" s="607"/>
      <c r="U73" s="484"/>
      <c r="V73" s="484"/>
      <c r="W73" s="484"/>
      <c r="X73" s="484"/>
      <c r="Y73" s="484"/>
      <c r="Z73" s="484"/>
      <c r="AA73" s="484"/>
      <c r="AB73" s="484"/>
      <c r="AC73" s="484"/>
      <c r="AD73" s="484"/>
      <c r="AE73" s="484"/>
      <c r="AF73" s="484"/>
      <c r="AG73" s="484"/>
      <c r="AH73" s="484"/>
      <c r="AI73" s="484"/>
      <c r="AJ73" s="484"/>
    </row>
    <row r="74" spans="2:36" x14ac:dyDescent="0.35">
      <c r="B74" s="30" t="str">
        <f t="shared" si="33"/>
        <v>Ausgrid</v>
      </c>
      <c r="C74" s="30" t="str">
        <f t="shared" si="33"/>
        <v>Small business</v>
      </c>
      <c r="D74" s="30" t="str">
        <f t="shared" si="33"/>
        <v>flat rate</v>
      </c>
      <c r="E74" s="30" t="s">
        <v>19</v>
      </c>
      <c r="F74" s="258">
        <f t="shared" si="34"/>
        <v>10000</v>
      </c>
      <c r="G74" s="30" t="s">
        <v>130</v>
      </c>
      <c r="H74" s="482"/>
      <c r="I74" s="482" cm="1">
        <f t="array" ref="I74">IFERROR(_xlfn.XLOOKUP(1,($B74=DistributionZone)*(I$5=Desc_FixedOrVar)*($G74=Description),valuesPY),0)</f>
        <v>2.8625958258186368</v>
      </c>
      <c r="J74" s="482">
        <f t="shared" si="30"/>
        <v>28.625958258186369</v>
      </c>
      <c r="K74" s="484">
        <f>IFERROR(J74/J77,"")</f>
        <v>1.6490824214447232E-2</v>
      </c>
      <c r="L74" s="484"/>
      <c r="M74" s="484">
        <f t="shared" si="31"/>
        <v>-5.7279088688867552E-2</v>
      </c>
      <c r="N74" s="563"/>
      <c r="O74" s="482"/>
      <c r="P74" s="482" cm="1">
        <f t="array" ref="P74">IFERROR(_xlfn.XLOOKUP(1,($B74=DistributionZone)*(P$5=Desc_FixedOrVar)*($G74=Description),valuesFY),0)</f>
        <v>2.6986289456311892</v>
      </c>
      <c r="Q74" s="482">
        <f t="shared" si="32"/>
        <v>26.986289456311891</v>
      </c>
      <c r="R74" s="484">
        <f>IFERROR(Q74/Q77,"")</f>
        <v>1.7949636236815173E-2</v>
      </c>
      <c r="S74" s="484"/>
      <c r="T74" s="607"/>
      <c r="U74" s="484"/>
      <c r="V74" s="484"/>
      <c r="W74" s="484"/>
      <c r="X74" s="484"/>
      <c r="Y74" s="484"/>
      <c r="Z74" s="484"/>
      <c r="AA74" s="484"/>
      <c r="AB74" s="484"/>
      <c r="AC74" s="484"/>
      <c r="AD74" s="484"/>
      <c r="AE74" s="484"/>
      <c r="AF74" s="484"/>
      <c r="AG74" s="484"/>
      <c r="AH74" s="484"/>
      <c r="AI74" s="484"/>
      <c r="AJ74" s="484"/>
    </row>
    <row r="75" spans="2:36" x14ac:dyDescent="0.35">
      <c r="B75" s="30" t="str">
        <f t="shared" si="33"/>
        <v>Ausgrid</v>
      </c>
      <c r="C75" s="30" t="str">
        <f t="shared" si="33"/>
        <v>Small business</v>
      </c>
      <c r="D75" s="30" t="str">
        <f t="shared" si="33"/>
        <v>flat rate</v>
      </c>
      <c r="E75" s="30" t="s">
        <v>19</v>
      </c>
      <c r="F75" s="258">
        <f t="shared" si="34"/>
        <v>10000</v>
      </c>
      <c r="G75" s="30" t="s">
        <v>302</v>
      </c>
      <c r="H75" s="482"/>
      <c r="I75" s="482"/>
      <c r="J75" s="482"/>
      <c r="K75" s="484"/>
      <c r="L75" s="484"/>
      <c r="M75" s="484"/>
      <c r="N75" s="563"/>
      <c r="O75" s="482"/>
      <c r="P75" s="482" cm="1">
        <f t="array" ref="P75">IFERROR(_xlfn.XLOOKUP(1,($B75=DistributionZone)*(P$5=Desc_FixedOrVar)*($G75=Description)*($E75=tariffType),valuesFY),0)</f>
        <v>1.7960000000000009</v>
      </c>
      <c r="Q75" s="482">
        <f t="shared" ref="Q75" si="35">O75+P75*$F75/1000</f>
        <v>17.960000000000012</v>
      </c>
      <c r="R75" s="484">
        <f>IFERROR(Q75/Q77,"")</f>
        <v>1.1945898206387152E-2</v>
      </c>
      <c r="S75" s="484"/>
      <c r="T75" s="607"/>
      <c r="U75" s="484"/>
      <c r="V75" s="484"/>
      <c r="W75" s="484"/>
      <c r="X75" s="484"/>
      <c r="Y75" s="484"/>
      <c r="Z75" s="484"/>
      <c r="AA75" s="484"/>
      <c r="AB75" s="484"/>
      <c r="AC75" s="484"/>
      <c r="AD75" s="484"/>
      <c r="AE75" s="484"/>
      <c r="AF75" s="484"/>
      <c r="AG75" s="484"/>
      <c r="AH75" s="484"/>
      <c r="AI75" s="484"/>
      <c r="AJ75" s="484"/>
    </row>
    <row r="76" spans="2:36" x14ac:dyDescent="0.35">
      <c r="B76" s="30" t="str">
        <f>B74</f>
        <v>Ausgrid</v>
      </c>
      <c r="C76" s="30" t="str">
        <f>C74</f>
        <v>Small business</v>
      </c>
      <c r="D76" s="30" t="str">
        <f>D74</f>
        <v>flat rate</v>
      </c>
      <c r="E76" s="30" t="s">
        <v>19</v>
      </c>
      <c r="F76" s="258">
        <f>F74</f>
        <v>10000</v>
      </c>
      <c r="G76" s="30" t="s">
        <v>72</v>
      </c>
      <c r="H76" s="482"/>
      <c r="I76" s="482" cm="1">
        <f t="array" ref="I76">IFERROR(_xlfn.XLOOKUP(1,($B76=DistributionZone)*($C76=CustomerType)*($E76=tariffType)*($G76=Description),valuesPY),0)*SUM(I69:I74)</f>
        <v>7.3774877748712369</v>
      </c>
      <c r="J76" s="482">
        <f t="shared" si="30"/>
        <v>73.77487774871237</v>
      </c>
      <c r="K76" s="484">
        <f>IFERROR(J76/J77,"")</f>
        <v>4.2500185650498803E-2</v>
      </c>
      <c r="L76" s="484"/>
      <c r="M76" s="484">
        <f t="shared" si="31"/>
        <v>-0.11257910758313883</v>
      </c>
      <c r="N76" s="563"/>
      <c r="O76" s="482"/>
      <c r="P76" s="482" cm="1">
        <f t="array" ref="P76">IFERROR(_xlfn.XLOOKUP(1,($B76=DistributionZone)*($C76=CustomerType)*($E76=tariffType)*($G76=Description),valuesFY),0)*SUM(P69:P75)</f>
        <v>6.5469367849707174</v>
      </c>
      <c r="Q76" s="482">
        <f t="shared" si="32"/>
        <v>65.469367849707169</v>
      </c>
      <c r="R76" s="484">
        <f>IFERROR(Q76/Q77,"")</f>
        <v>4.3546236301175781E-2</v>
      </c>
      <c r="S76" s="484"/>
      <c r="T76" s="607"/>
      <c r="U76" s="484"/>
      <c r="V76" s="484"/>
      <c r="W76" s="484"/>
      <c r="X76" s="484"/>
      <c r="Y76" s="484"/>
      <c r="Z76" s="484"/>
      <c r="AA76" s="484"/>
      <c r="AB76" s="484"/>
      <c r="AC76" s="484"/>
      <c r="AD76" s="484"/>
      <c r="AE76" s="484"/>
      <c r="AF76" s="484"/>
      <c r="AG76" s="484"/>
      <c r="AH76" s="484"/>
      <c r="AI76" s="484"/>
      <c r="AJ76" s="484"/>
    </row>
    <row r="77" spans="2:36" x14ac:dyDescent="0.35">
      <c r="B77" s="30" t="str">
        <f t="shared" si="33"/>
        <v>Ausgrid</v>
      </c>
      <c r="C77" s="30" t="str">
        <f t="shared" si="33"/>
        <v>Small business</v>
      </c>
      <c r="D77" s="30" t="str">
        <f t="shared" si="33"/>
        <v>flat rate</v>
      </c>
      <c r="E77" s="30" t="s">
        <v>19</v>
      </c>
      <c r="F77" s="258">
        <f t="shared" si="34"/>
        <v>10000</v>
      </c>
      <c r="G77" s="64" t="s">
        <v>55</v>
      </c>
      <c r="H77" s="487">
        <f>SUM(H69:H76)</f>
        <v>13.835244134497829</v>
      </c>
      <c r="I77" s="487">
        <f>SUM(I69:I76)</f>
        <v>172.20366495885477</v>
      </c>
      <c r="J77" s="487">
        <f>SUM(J69:J76)</f>
        <v>1735.8718937230456</v>
      </c>
      <c r="K77" s="564"/>
      <c r="L77" s="565"/>
      <c r="M77" s="564">
        <f t="shared" si="31"/>
        <v>-0.13389638505154622</v>
      </c>
      <c r="N77" s="566"/>
      <c r="O77" s="487">
        <f>SUM(O71:O76)</f>
        <v>13.125399999999999</v>
      </c>
      <c r="P77" s="487">
        <f>SUM(P69:P76)</f>
        <v>149.03195222409479</v>
      </c>
      <c r="Q77" s="487">
        <f>SUM(Q69:Q76)</f>
        <v>1503.444922240948</v>
      </c>
      <c r="R77" s="564"/>
      <c r="S77" s="596"/>
      <c r="T77" s="611"/>
      <c r="U77" s="564"/>
      <c r="V77" s="564"/>
      <c r="W77" s="564"/>
      <c r="X77" s="564"/>
      <c r="Y77" s="564"/>
      <c r="Z77" s="564"/>
      <c r="AA77" s="564"/>
      <c r="AB77" s="564"/>
      <c r="AC77" s="564"/>
      <c r="AD77" s="564"/>
      <c r="AE77" s="564"/>
      <c r="AF77" s="564"/>
      <c r="AG77" s="564"/>
      <c r="AH77" s="564"/>
      <c r="AI77" s="564"/>
      <c r="AJ77" s="564"/>
    </row>
    <row r="78" spans="2:36" x14ac:dyDescent="0.35">
      <c r="B78" s="30" t="str">
        <f t="shared" si="33"/>
        <v>Ausgrid</v>
      </c>
      <c r="C78" s="30" t="str">
        <f t="shared" si="33"/>
        <v>Small business</v>
      </c>
      <c r="D78" s="30" t="str">
        <f t="shared" si="33"/>
        <v>flat rate</v>
      </c>
      <c r="F78" s="258"/>
      <c r="G78" s="30" t="s">
        <v>38</v>
      </c>
      <c r="H78" s="482"/>
      <c r="I78" s="482"/>
      <c r="J78" s="482">
        <f>J77*GST</f>
        <v>173.58718937230458</v>
      </c>
      <c r="K78" s="484"/>
      <c r="L78" s="567"/>
      <c r="M78" s="484"/>
      <c r="N78" s="568"/>
      <c r="O78" s="482"/>
      <c r="P78" s="482"/>
      <c r="Q78" s="482">
        <f>Q77*GST</f>
        <v>150.34449222409481</v>
      </c>
      <c r="R78" s="564"/>
      <c r="S78" s="564"/>
      <c r="T78" s="611"/>
      <c r="U78" s="564"/>
      <c r="V78" s="564"/>
      <c r="W78" s="564"/>
      <c r="X78" s="564"/>
      <c r="Y78" s="564"/>
      <c r="Z78" s="564"/>
      <c r="AA78" s="564"/>
      <c r="AB78" s="564"/>
      <c r="AC78" s="564"/>
      <c r="AD78" s="564"/>
      <c r="AE78" s="564"/>
      <c r="AF78" s="564"/>
      <c r="AG78" s="564"/>
      <c r="AH78" s="564"/>
      <c r="AI78" s="564"/>
      <c r="AJ78" s="564"/>
    </row>
    <row r="79" spans="2:36" x14ac:dyDescent="0.35">
      <c r="B79" s="30" t="str">
        <f t="shared" si="33"/>
        <v>Ausgrid</v>
      </c>
      <c r="C79" s="30" t="str">
        <f t="shared" si="33"/>
        <v>Small business</v>
      </c>
      <c r="D79" s="30" t="str">
        <f t="shared" si="33"/>
        <v>flat rate</v>
      </c>
      <c r="E79" s="30" t="s">
        <v>19</v>
      </c>
      <c r="F79" s="258"/>
      <c r="G79" s="64" t="s">
        <v>79</v>
      </c>
      <c r="H79" s="487"/>
      <c r="I79" s="487"/>
      <c r="J79" s="487">
        <f>SUM(J77:J78)</f>
        <v>1909.4590830953503</v>
      </c>
      <c r="K79" s="564"/>
      <c r="L79" s="565"/>
      <c r="M79" s="564">
        <f>IF(OR(J79=0,Q79=""),"",Q79/J79-1)</f>
        <v>-0.13389638505154622</v>
      </c>
      <c r="N79" s="566"/>
      <c r="O79" s="487"/>
      <c r="P79" s="487"/>
      <c r="Q79" s="487">
        <f>SUM(Q77:Q78)</f>
        <v>1653.7894144650429</v>
      </c>
      <c r="R79" s="564"/>
      <c r="S79" s="596"/>
      <c r="T79" s="611"/>
      <c r="U79" s="596"/>
      <c r="V79" s="564"/>
      <c r="W79" s="564"/>
      <c r="X79" s="564"/>
      <c r="Y79" s="564"/>
      <c r="Z79" s="564"/>
      <c r="AA79" s="564"/>
      <c r="AB79" s="564"/>
      <c r="AC79" s="564"/>
      <c r="AD79" s="564"/>
      <c r="AE79" s="564"/>
      <c r="AF79" s="564"/>
      <c r="AG79" s="564"/>
      <c r="AH79" s="564"/>
      <c r="AI79" s="564"/>
      <c r="AJ79" s="564"/>
    </row>
    <row r="80" spans="2:36" s="597" customFormat="1" x14ac:dyDescent="0.35">
      <c r="F80" s="598"/>
      <c r="H80" s="599"/>
      <c r="I80" s="599"/>
      <c r="J80" s="599"/>
      <c r="K80" s="600"/>
      <c r="L80" s="601"/>
      <c r="M80" s="600"/>
      <c r="N80" s="602"/>
      <c r="O80" s="599"/>
      <c r="P80" s="599"/>
      <c r="Q80" s="599"/>
      <c r="R80" s="600"/>
      <c r="S80" s="600"/>
      <c r="T80" s="623"/>
      <c r="U80" s="600"/>
      <c r="V80" s="600"/>
      <c r="W80" s="600"/>
      <c r="X80" s="600"/>
      <c r="Y80" s="600"/>
      <c r="Z80" s="600"/>
      <c r="AA80" s="600"/>
      <c r="AB80" s="600"/>
      <c r="AC80" s="600"/>
      <c r="AD80" s="600"/>
      <c r="AE80" s="600"/>
      <c r="AF80" s="600"/>
      <c r="AG80" s="600"/>
      <c r="AH80" s="600"/>
      <c r="AI80" s="600"/>
      <c r="AJ80" s="600"/>
    </row>
    <row r="81" spans="2:36" s="570" customFormat="1" x14ac:dyDescent="0.35">
      <c r="B81" s="571" t="s">
        <v>2</v>
      </c>
      <c r="C81" s="571" t="s">
        <v>13</v>
      </c>
      <c r="D81" s="571" t="s">
        <v>272</v>
      </c>
      <c r="F81" s="485"/>
      <c r="H81" s="574"/>
      <c r="I81" s="574"/>
      <c r="J81" s="574"/>
      <c r="K81" s="575"/>
      <c r="L81" s="581"/>
      <c r="M81" s="575"/>
      <c r="N81" s="582"/>
      <c r="O81" s="574"/>
      <c r="P81" s="574"/>
      <c r="Q81" s="574"/>
      <c r="R81" s="575"/>
      <c r="S81" s="575"/>
      <c r="T81" s="612"/>
      <c r="U81" s="575"/>
      <c r="V81" s="575"/>
      <c r="W81" s="575"/>
      <c r="X81" s="575"/>
      <c r="Y81" s="575"/>
      <c r="Z81" s="575"/>
      <c r="AA81" s="575"/>
      <c r="AB81" s="575"/>
      <c r="AC81" s="575"/>
      <c r="AD81" s="575"/>
      <c r="AE81" s="575"/>
      <c r="AF81" s="575"/>
      <c r="AG81" s="575"/>
      <c r="AH81" s="575"/>
      <c r="AI81" s="575"/>
      <c r="AJ81" s="575"/>
    </row>
    <row r="82" spans="2:36" s="570" customFormat="1" x14ac:dyDescent="0.35">
      <c r="B82" s="570" t="str">
        <f t="shared" ref="B82:B102" si="36">B81</f>
        <v>Ausgrid</v>
      </c>
      <c r="C82" s="570" t="str">
        <f t="shared" ref="C82:C102" si="37">C81</f>
        <v>Small business</v>
      </c>
      <c r="D82" s="570" t="str">
        <f t="shared" ref="D82:D102" si="38">D81</f>
        <v>time of use</v>
      </c>
      <c r="E82" s="570" t="s">
        <v>279</v>
      </c>
      <c r="F82" s="485" cm="1">
        <f t="array" ref="F82">_xlfn.XLOOKUP(1,($B82=DistributionZone)*($C82=CustomerType)*($D82=tariffL2)*($F$5=Description),valuesPY)*_xlfn.XLOOKUP(1,($B82=DistributionZone)*($C82=CustomerType)*($D82=tariffL2)*($E82=tariffType)*("Usage proportion"=Description),valuesFY)</f>
        <v>8809.6821551967714</v>
      </c>
      <c r="G82" s="570" t="s">
        <v>69</v>
      </c>
      <c r="H82" s="574"/>
      <c r="I82" s="574" cm="1">
        <f t="array" ref="I82">IFERROR(_xlfn.XLOOKUP(1,($B82=DistributionZone)*($E82=tariffType)*("WEC scale"=Description),valuesPY),0)*$I$69</f>
        <v>0</v>
      </c>
      <c r="J82" s="574">
        <f>H82+I82*F82/1000</f>
        <v>0</v>
      </c>
      <c r="K82" s="575" t="str">
        <f>IFERROR(J82/J90,"")</f>
        <v/>
      </c>
      <c r="L82" s="575"/>
      <c r="M82" s="575" t="str">
        <f t="shared" ref="M82:M100" si="39">IF(OR(J82=0,Q82=""),"",Q82/J82-1)</f>
        <v/>
      </c>
      <c r="N82" s="576"/>
      <c r="O82" s="574"/>
      <c r="P82" s="574" cm="1">
        <f t="array" ref="P82">IFERROR(_xlfn.XLOOKUP(1,($B82=DistributionZone)*($C82=CustomerType)*($E82=tariffType)*("WEC"=Description),valuesFY),0)</f>
        <v>130.36192422946164</v>
      </c>
      <c r="Q82" s="574">
        <f>O82+P82*$F82/1000</f>
        <v>1148.4471176014019</v>
      </c>
      <c r="R82" s="575">
        <f>IFERROR(Q82/Q90,"")</f>
        <v>0.90940465954818761</v>
      </c>
      <c r="S82" s="575"/>
      <c r="T82" s="613"/>
      <c r="U82" s="603"/>
      <c r="V82" s="574"/>
      <c r="W82" s="574"/>
      <c r="X82" s="575"/>
      <c r="Y82" s="575"/>
      <c r="Z82" s="575"/>
      <c r="AA82" s="575"/>
      <c r="AB82" s="575"/>
      <c r="AC82" s="575"/>
      <c r="AD82" s="575"/>
      <c r="AE82" s="575"/>
      <c r="AF82" s="575"/>
      <c r="AG82" s="575"/>
      <c r="AH82" s="575"/>
      <c r="AI82" s="575"/>
      <c r="AJ82" s="575"/>
    </row>
    <row r="83" spans="2:36" s="570" customFormat="1" x14ac:dyDescent="0.35">
      <c r="B83" s="570" t="str">
        <f t="shared" si="36"/>
        <v>Ausgrid</v>
      </c>
      <c r="C83" s="570" t="str">
        <f t="shared" si="37"/>
        <v>Small business</v>
      </c>
      <c r="D83" s="570" t="str">
        <f t="shared" si="38"/>
        <v>time of use</v>
      </c>
      <c r="E83" s="570" t="s">
        <v>279</v>
      </c>
      <c r="F83" s="485" cm="1">
        <f t="array" ref="F83">_xlfn.XLOOKUP(1,($B83=DistributionZone)*($C83=CustomerType)*($D83=tariffL2)*($F$5=Description),valuesPY)*_xlfn.XLOOKUP(1,($B83=DistributionZone)*($C83=CustomerType)*($D83=tariffL2)*($E83=tariffType)*("Usage proportion"=Description),valuesFY)</f>
        <v>8809.6821551967714</v>
      </c>
      <c r="G83" s="570" t="s">
        <v>70</v>
      </c>
      <c r="H83" s="574"/>
      <c r="I83" s="574" cm="1">
        <f t="array" ref="I83">IFERROR(_xlfn.XLOOKUP(1,($B83=DistributionZone)*(I$5=Desc_FixedOrVar)*($G83=Description),valuesPY),0)</f>
        <v>0.15378802592718904</v>
      </c>
      <c r="J83" s="574">
        <f t="shared" ref="J83:J89" si="40">H83+I83*F83/1000</f>
        <v>1.3548236276936958</v>
      </c>
      <c r="K83" s="575" t="str">
        <f>IFERROR(J83/J90,"")</f>
        <v/>
      </c>
      <c r="L83" s="575"/>
      <c r="M83" s="575">
        <f t="shared" si="39"/>
        <v>-0.19621579764116659</v>
      </c>
      <c r="N83" s="576"/>
      <c r="O83" s="574"/>
      <c r="P83" s="574" cm="1">
        <f t="array" ref="P83">IFERROR(_xlfn.XLOOKUP(1,($B83=DistributionZone)*(P$5=Desc_FixedOrVar)*($G83=Description),valuesFY),0)</f>
        <v>0.12361238575222523</v>
      </c>
      <c r="Q83" s="574">
        <f t="shared" ref="Q83:Q87" si="41">O83+P83*$F83/1000</f>
        <v>1.0889858289226784</v>
      </c>
      <c r="R83" s="575">
        <f>IFERROR(Q83/Q90,"")</f>
        <v>8.6231988554474155E-4</v>
      </c>
      <c r="S83" s="575"/>
      <c r="T83" s="612"/>
      <c r="U83" s="603"/>
      <c r="V83" s="574"/>
      <c r="W83" s="574"/>
      <c r="X83" s="575"/>
      <c r="Y83" s="575"/>
      <c r="Z83" s="575"/>
      <c r="AA83" s="575"/>
      <c r="AB83" s="575"/>
      <c r="AC83" s="575"/>
      <c r="AD83" s="575"/>
      <c r="AE83" s="575"/>
      <c r="AF83" s="575"/>
      <c r="AG83" s="575"/>
      <c r="AH83" s="575"/>
      <c r="AI83" s="575"/>
      <c r="AJ83" s="575"/>
    </row>
    <row r="84" spans="2:36" s="570" customFormat="1" x14ac:dyDescent="0.35">
      <c r="B84" s="570" t="str">
        <f t="shared" si="36"/>
        <v>Ausgrid</v>
      </c>
      <c r="C84" s="570" t="str">
        <f t="shared" si="37"/>
        <v>Small business</v>
      </c>
      <c r="D84" s="570" t="str">
        <f t="shared" si="38"/>
        <v>time of use</v>
      </c>
      <c r="E84" s="570" t="s">
        <v>279</v>
      </c>
      <c r="F84" s="485" cm="1">
        <f t="array" ref="F84">_xlfn.XLOOKUP(1,($B84=DistributionZone)*($C84=CustomerType)*($D84=tariffL2)*($F$5=Description),valuesPY)*_xlfn.XLOOKUP(1,($B84=DistributionZone)*($C84=CustomerType)*($D84=tariffL2)*($E84=tariffType)*("Usage proportion"=Description),valuesFY)</f>
        <v>8809.6821551967714</v>
      </c>
      <c r="G84" s="570" t="s">
        <v>77</v>
      </c>
      <c r="H84" s="574" cm="1">
        <f t="array" ref="H84">IF(H3=PY,0,IFERROR(_xlfn.XLOOKUP(1,($B84=DistributionZone)*(H$5=Desc_FixedOrVar)*($G84=Description),valuesPY),0))*Days/7</f>
        <v>0</v>
      </c>
      <c r="I84" s="574" cm="1">
        <f t="array" ref="I84">IFERROR(_xlfn.XLOOKUP(1,($B84=DistributionZone)*(I$5=Desc_FixedOrVar)*($G84=Description),valuesPY),0)</f>
        <v>0.57443</v>
      </c>
      <c r="J84" s="574">
        <f t="shared" si="40"/>
        <v>5.0605457204096806</v>
      </c>
      <c r="K84" s="575" t="str">
        <f>IFERROR(J84/J90,"")</f>
        <v/>
      </c>
      <c r="L84" s="575"/>
      <c r="M84" s="575">
        <f t="shared" si="39"/>
        <v>2.4978735277538786</v>
      </c>
      <c r="N84" s="576"/>
      <c r="O84" s="574" cm="1">
        <f t="array" ref="O84">IFERROR(_xlfn.XLOOKUP(1,($B84=DistributionZone)*(O$5=Desc_FixedOrVar)*($G84=Description),valuesFY),0)*Days/7</f>
        <v>13.125399999999999</v>
      </c>
      <c r="P84" s="574" cm="1">
        <f t="array" ref="P84">IFERROR(_xlfn.XLOOKUP(1,($B84=DistributionZone)*(P$5=Desc_FixedOrVar)*($G84=Description),valuesFY),0)</f>
        <v>0.51939999999999997</v>
      </c>
      <c r="Q84" s="574">
        <f t="shared" si="41"/>
        <v>17.701148911409202</v>
      </c>
      <c r="R84" s="575">
        <f>IFERROR(Q84/Q90,"")</f>
        <v>1.4016759720737015E-2</v>
      </c>
      <c r="S84" s="575"/>
      <c r="T84" s="612"/>
      <c r="U84" s="603"/>
      <c r="V84" s="574"/>
      <c r="W84" s="574"/>
      <c r="X84" s="575"/>
      <c r="Y84" s="575"/>
      <c r="Z84" s="575"/>
      <c r="AA84" s="575"/>
      <c r="AB84" s="575"/>
      <c r="AC84" s="575"/>
      <c r="AD84" s="575"/>
      <c r="AE84" s="575"/>
      <c r="AF84" s="575"/>
      <c r="AG84" s="575"/>
      <c r="AH84" s="575"/>
      <c r="AI84" s="575"/>
      <c r="AJ84" s="575"/>
    </row>
    <row r="85" spans="2:36" s="570" customFormat="1" x14ac:dyDescent="0.35">
      <c r="B85" s="570" t="str">
        <f t="shared" si="36"/>
        <v>Ausgrid</v>
      </c>
      <c r="C85" s="570" t="str">
        <f t="shared" si="37"/>
        <v>Small business</v>
      </c>
      <c r="D85" s="570" t="str">
        <f t="shared" si="38"/>
        <v>time of use</v>
      </c>
      <c r="E85" s="570" t="s">
        <v>279</v>
      </c>
      <c r="F85" s="485" cm="1">
        <f t="array" ref="F85">_xlfn.XLOOKUP(1,($B85=DistributionZone)*($C85=CustomerType)*($D85=tariffL2)*($F$5=Description),valuesPY)*_xlfn.XLOOKUP(1,($B85=DistributionZone)*($C85=CustomerType)*($D85=tariffL2)*($E85=tariffType)*("Usage proportion"=Description),valuesFY)</f>
        <v>8809.6821551967714</v>
      </c>
      <c r="G85" s="570" t="s">
        <v>71</v>
      </c>
      <c r="H85" s="574"/>
      <c r="I85" s="574" cm="1">
        <f t="array" ref="I85">IFERROR(_xlfn.XLOOKUP(1,($B85=DistributionZone)*(I$5=Desc_FixedOrVar)*($G85=Description),valuesPY),0)</f>
        <v>5.2786233739509421E-2</v>
      </c>
      <c r="J85" s="574">
        <f t="shared" si="40"/>
        <v>0.46502994141500187</v>
      </c>
      <c r="K85" s="575" t="str">
        <f>IFERROR(J85/J90,"")</f>
        <v/>
      </c>
      <c r="L85" s="575"/>
      <c r="M85" s="575">
        <f t="shared" si="39"/>
        <v>1.4130175372851865</v>
      </c>
      <c r="N85" s="576"/>
      <c r="O85" s="574"/>
      <c r="P85" s="574" cm="1">
        <f t="array" ref="P85">IFERROR(_xlfn.XLOOKUP(1,($B85=DistributionZone)*(P$5=Desc_FixedOrVar)*($G85=Description),valuesFY),0)</f>
        <v>0.12737410774067126</v>
      </c>
      <c r="Q85" s="574">
        <f t="shared" si="41"/>
        <v>1.1221254039971025</v>
      </c>
      <c r="R85" s="575">
        <f>IFERROR(Q85/Q90,"")</f>
        <v>8.8856165456156115E-4</v>
      </c>
      <c r="S85" s="575"/>
      <c r="T85" s="612"/>
      <c r="U85" s="603"/>
      <c r="V85" s="574"/>
      <c r="W85" s="574"/>
      <c r="X85" s="575"/>
      <c r="Y85" s="575"/>
      <c r="Z85" s="575"/>
      <c r="AA85" s="575"/>
      <c r="AB85" s="575"/>
      <c r="AC85" s="575"/>
      <c r="AD85" s="575"/>
      <c r="AE85" s="575"/>
      <c r="AF85" s="575"/>
      <c r="AG85" s="575"/>
      <c r="AH85" s="575"/>
      <c r="AI85" s="575"/>
      <c r="AJ85" s="575"/>
    </row>
    <row r="86" spans="2:36" s="570" customFormat="1" x14ac:dyDescent="0.35">
      <c r="B86" s="570" t="str">
        <f t="shared" si="36"/>
        <v>Ausgrid</v>
      </c>
      <c r="C86" s="570" t="str">
        <f t="shared" si="37"/>
        <v>Small business</v>
      </c>
      <c r="D86" s="570" t="str">
        <f t="shared" si="38"/>
        <v>time of use</v>
      </c>
      <c r="E86" s="570" t="s">
        <v>279</v>
      </c>
      <c r="F86" s="485" cm="1">
        <f t="array" ref="F86">_xlfn.XLOOKUP(1,($B86=DistributionZone)*($C86=CustomerType)*($D86=tariffL2)*($F$5=Description),valuesPY)*_xlfn.XLOOKUP(1,($B86=DistributionZone)*($C86=CustomerType)*($D86=tariffL2)*($E86=tariffType)*("Usage proportion"=Description),valuesFY)</f>
        <v>8809.6821551967714</v>
      </c>
      <c r="G86" s="570" t="s">
        <v>173</v>
      </c>
      <c r="H86" s="574"/>
      <c r="I86" s="574" cm="1">
        <f t="array" ref="I86">IFERROR(_xlfn.XLOOKUP(1,($B86=DistributionZone)*(I$5=Desc_FixedOrVar)*($G86=Description),valuesPY),0)</f>
        <v>0.11507709849820914</v>
      </c>
      <c r="J86" s="574">
        <f t="shared" si="40"/>
        <v>1.0137926611114942</v>
      </c>
      <c r="K86" s="575" t="str">
        <f>IFERROR(J86/J90,"")</f>
        <v/>
      </c>
      <c r="L86" s="575"/>
      <c r="M86" s="575">
        <f t="shared" si="39"/>
        <v>-1</v>
      </c>
      <c r="N86" s="576"/>
      <c r="O86" s="574"/>
      <c r="P86" s="574" cm="1">
        <f t="array" ref="P86">IFERROR(_xlfn.XLOOKUP(1,($B86=DistributionZone)*(P$5=Desc_FixedOrVar)*($G86=Description),valuesFY),0)</f>
        <v>0</v>
      </c>
      <c r="Q86" s="574">
        <f t="shared" si="41"/>
        <v>0</v>
      </c>
      <c r="R86" s="575">
        <f>IFERROR(Q86/Q90,"")</f>
        <v>0</v>
      </c>
      <c r="S86" s="575"/>
      <c r="T86" s="612"/>
      <c r="U86" s="603"/>
      <c r="V86" s="574"/>
      <c r="W86" s="574"/>
      <c r="X86" s="575"/>
      <c r="Y86" s="575"/>
      <c r="Z86" s="575"/>
      <c r="AA86" s="575"/>
      <c r="AB86" s="575"/>
      <c r="AC86" s="575"/>
      <c r="AD86" s="575"/>
      <c r="AE86" s="575"/>
      <c r="AF86" s="575"/>
      <c r="AG86" s="575"/>
      <c r="AH86" s="575"/>
      <c r="AI86" s="575"/>
      <c r="AJ86" s="575"/>
    </row>
    <row r="87" spans="2:36" s="570" customFormat="1" x14ac:dyDescent="0.35">
      <c r="B87" s="570" t="str">
        <f t="shared" si="36"/>
        <v>Ausgrid</v>
      </c>
      <c r="C87" s="570" t="str">
        <f t="shared" si="37"/>
        <v>Small business</v>
      </c>
      <c r="D87" s="570" t="str">
        <f t="shared" si="38"/>
        <v>time of use</v>
      </c>
      <c r="E87" s="570" t="s">
        <v>279</v>
      </c>
      <c r="F87" s="485" cm="1">
        <f t="array" ref="F87">_xlfn.XLOOKUP(1,($B87=DistributionZone)*($C87=CustomerType)*($D87=tariffL2)*($F$5=Description),valuesPY)*_xlfn.XLOOKUP(1,($B87=DistributionZone)*($C87=CustomerType)*($D87=tariffL2)*($E87=tariffType)*("Usage proportion"=Description),valuesFY)</f>
        <v>8809.6821551967714</v>
      </c>
      <c r="G87" s="570" t="s">
        <v>130</v>
      </c>
      <c r="H87" s="574"/>
      <c r="I87" s="574" cm="1">
        <f t="array" ref="I87">IFERROR(_xlfn.XLOOKUP(1,($B87=DistributionZone)*(I$5=Desc_FixedOrVar)*($G87=Description),valuesPY),0)</f>
        <v>2.8625958258186368</v>
      </c>
      <c r="J87" s="574">
        <f t="shared" si="40"/>
        <v>25.21855936425521</v>
      </c>
      <c r="K87" s="575" t="str">
        <f>IFERROR(J87/J90,"")</f>
        <v/>
      </c>
      <c r="L87" s="575"/>
      <c r="M87" s="575">
        <f t="shared" si="39"/>
        <v>-5.7279088688867441E-2</v>
      </c>
      <c r="N87" s="576"/>
      <c r="O87" s="574"/>
      <c r="P87" s="574" cm="1">
        <f t="array" ref="P87">IFERROR(_xlfn.XLOOKUP(1,($B87=DistributionZone)*(P$5=Desc_FixedOrVar)*($G87=Description),valuesFY),0)</f>
        <v>2.6986289456311892</v>
      </c>
      <c r="Q87" s="574">
        <f t="shared" si="41"/>
        <v>23.774063265824566</v>
      </c>
      <c r="R87" s="575">
        <f>IFERROR(Q87/Q90,"")</f>
        <v>1.882563296034857E-2</v>
      </c>
      <c r="S87" s="575"/>
      <c r="T87" s="612"/>
      <c r="U87" s="603"/>
      <c r="V87" s="574"/>
      <c r="W87" s="574"/>
      <c r="X87" s="575"/>
      <c r="Y87" s="575"/>
      <c r="Z87" s="575"/>
      <c r="AA87" s="575"/>
      <c r="AB87" s="575"/>
      <c r="AC87" s="575"/>
      <c r="AD87" s="575"/>
      <c r="AE87" s="575"/>
      <c r="AF87" s="575"/>
      <c r="AG87" s="575"/>
      <c r="AH87" s="575"/>
      <c r="AI87" s="575"/>
      <c r="AJ87" s="575"/>
    </row>
    <row r="88" spans="2:36" s="570" customFormat="1" x14ac:dyDescent="0.35">
      <c r="B88" s="570" t="str">
        <f t="shared" si="36"/>
        <v>Ausgrid</v>
      </c>
      <c r="C88" s="570" t="str">
        <f t="shared" si="37"/>
        <v>Small business</v>
      </c>
      <c r="D88" s="570" t="str">
        <f t="shared" si="38"/>
        <v>time of use</v>
      </c>
      <c r="E88" s="570" t="s">
        <v>279</v>
      </c>
      <c r="F88" s="485" cm="1">
        <f t="array" ref="F88">_xlfn.XLOOKUP(1,($B88=DistributionZone)*($C88=CustomerType)*($D88=tariffL2)*($F$5=Description),valuesPY)*_xlfn.XLOOKUP(1,($B88=DistributionZone)*($C88=CustomerType)*($D88=tariffL2)*($E88=tariffType)*("Usage proportion"=Description),valuesFY)</f>
        <v>8809.6821551967714</v>
      </c>
      <c r="G88" s="570" t="s">
        <v>302</v>
      </c>
      <c r="H88" s="574"/>
      <c r="I88" s="574"/>
      <c r="J88" s="574"/>
      <c r="K88" s="575"/>
      <c r="L88" s="575"/>
      <c r="M88" s="575"/>
      <c r="N88" s="576"/>
      <c r="O88" s="574"/>
      <c r="P88" s="574" cm="1">
        <f t="array" ref="P88">IFERROR(_xlfn.XLOOKUP(1,($B88=DistributionZone)*($D88=tariffL2)*($G88=Description),valuesFY),0)</f>
        <v>1.7960000000000009</v>
      </c>
      <c r="Q88" s="574">
        <f t="shared" ref="Q88" si="42">O88+P88*$F88/1000</f>
        <v>15.82218915073341</v>
      </c>
      <c r="R88" s="575">
        <f>IFERROR(Q88/Q90,"")</f>
        <v>1.2528894293349377E-2</v>
      </c>
      <c r="S88" s="575"/>
      <c r="T88" s="612"/>
      <c r="U88" s="603"/>
      <c r="V88" s="574"/>
      <c r="W88" s="574"/>
      <c r="X88" s="575"/>
      <c r="Y88" s="575"/>
      <c r="Z88" s="575"/>
      <c r="AA88" s="575"/>
      <c r="AB88" s="575"/>
      <c r="AC88" s="575"/>
      <c r="AD88" s="575"/>
      <c r="AE88" s="575"/>
      <c r="AF88" s="575"/>
      <c r="AG88" s="575"/>
      <c r="AH88" s="575"/>
      <c r="AI88" s="575"/>
      <c r="AJ88" s="575"/>
    </row>
    <row r="89" spans="2:36" s="570" customFormat="1" x14ac:dyDescent="0.35">
      <c r="B89" s="570" t="str">
        <f>B87</f>
        <v>Ausgrid</v>
      </c>
      <c r="C89" s="570" t="str">
        <f>C87</f>
        <v>Small business</v>
      </c>
      <c r="D89" s="570" t="str">
        <f>D87</f>
        <v>time of use</v>
      </c>
      <c r="E89" s="570" t="s">
        <v>279</v>
      </c>
      <c r="F89" s="485" cm="1">
        <f t="array" ref="F89">_xlfn.XLOOKUP(1,($B89=DistributionZone)*($C89=CustomerType)*($D89=tariffL2)*($F$5=Description),valuesPY)*_xlfn.XLOOKUP(1,($B89=DistributionZone)*($C89=CustomerType)*($D89=tariffL2)*($E89=tariffType)*("Usage proportion"=Description),valuesFY)</f>
        <v>8809.6821551967714</v>
      </c>
      <c r="G89" s="570" t="s">
        <v>72</v>
      </c>
      <c r="H89" s="574"/>
      <c r="I89" s="574" cm="1">
        <f t="array" ref="I89">IFERROR(_xlfn.XLOOKUP(1,($B89=DistributionZone)*($C89=CustomerType)*($G89=Description),valuesPY),0)*SUM(I82:I87)</f>
        <v>0.1682353825604625</v>
      </c>
      <c r="J89" s="574">
        <f t="shared" si="40"/>
        <v>1.4821002476156087</v>
      </c>
      <c r="K89" s="575" t="str">
        <f>IFERROR(J89/J90,"")</f>
        <v/>
      </c>
      <c r="L89" s="575"/>
      <c r="M89" s="575">
        <f t="shared" si="39"/>
        <v>36.042268551224716</v>
      </c>
      <c r="N89" s="576"/>
      <c r="O89" s="574"/>
      <c r="P89" s="574" cm="1">
        <f t="array" ref="P89">IFERROR(_xlfn.XLOOKUP(1,($B89=DistributionZone)*($C89=CustomerType)*("Losses"=Description)*($D89=tariffType)*($P$5=Desc_FixedOrVar),valuesFY),0)*SUM(P82:P88)</f>
        <v>6.2318202206226792</v>
      </c>
      <c r="Q89" s="574">
        <f>O89+P89*$F89/1000</f>
        <v>54.900355392014028</v>
      </c>
      <c r="R89" s="575">
        <f>IFERROR(Q89/Q90,"")</f>
        <v>4.3473171937270988E-2</v>
      </c>
      <c r="S89" s="575"/>
      <c r="T89" s="612"/>
      <c r="U89" s="603"/>
      <c r="V89" s="574"/>
      <c r="W89" s="574"/>
      <c r="X89" s="575"/>
      <c r="Y89" s="575"/>
      <c r="Z89" s="575"/>
      <c r="AA89" s="575"/>
      <c r="AB89" s="575"/>
      <c r="AC89" s="575"/>
      <c r="AD89" s="575"/>
      <c r="AE89" s="575"/>
      <c r="AF89" s="575"/>
      <c r="AG89" s="575"/>
      <c r="AH89" s="575"/>
      <c r="AI89" s="575"/>
      <c r="AJ89" s="575"/>
    </row>
    <row r="90" spans="2:36" s="571" customFormat="1" x14ac:dyDescent="0.35">
      <c r="B90" s="570" t="str">
        <f t="shared" si="36"/>
        <v>Ausgrid</v>
      </c>
      <c r="C90" s="570" t="str">
        <f t="shared" si="37"/>
        <v>Small business</v>
      </c>
      <c r="D90" s="570" t="str">
        <f t="shared" si="38"/>
        <v>time of use</v>
      </c>
      <c r="E90" s="570" t="s">
        <v>279</v>
      </c>
      <c r="F90" s="584" cm="1">
        <f t="array" ref="F90">_xlfn.XLOOKUP(1,($B90=DistributionZone)*($C90=CustomerType)*($D90=tariffL2)*($F$5=Description),valuesPY)*_xlfn.XLOOKUP(1,($B90=DistributionZone)*($C90=CustomerType)*($D90=tariffL2)*($E90=tariffType)*("Usage proportion"=Description),valuesFY)</f>
        <v>8809.6821551967714</v>
      </c>
      <c r="G90" s="571" t="s">
        <v>55</v>
      </c>
      <c r="H90" s="577"/>
      <c r="I90" s="577">
        <f>IF($H$3=PY,0,SUM(I82:I89))</f>
        <v>0</v>
      </c>
      <c r="J90" s="577">
        <f>IF($H$3=PY,0,SUM(J82:J89))</f>
        <v>0</v>
      </c>
      <c r="K90" s="578"/>
      <c r="L90" s="578"/>
      <c r="M90" s="578"/>
      <c r="N90" s="624"/>
      <c r="O90" s="577"/>
      <c r="P90" s="577">
        <f>SUM(P82:P89)</f>
        <v>141.85875988920839</v>
      </c>
      <c r="Q90" s="577">
        <f>SUM(Q82:Q89)</f>
        <v>1262.8559855543031</v>
      </c>
      <c r="R90" s="578"/>
      <c r="S90" s="578"/>
      <c r="T90" s="621"/>
      <c r="U90" s="625"/>
      <c r="V90" s="625"/>
      <c r="W90" s="625"/>
      <c r="X90" s="578"/>
      <c r="Y90" s="578"/>
      <c r="Z90" s="578"/>
      <c r="AA90" s="578"/>
      <c r="AB90" s="578"/>
      <c r="AC90" s="578"/>
      <c r="AD90" s="578"/>
      <c r="AE90" s="578"/>
      <c r="AF90" s="578"/>
      <c r="AG90" s="578"/>
      <c r="AH90" s="578"/>
      <c r="AI90" s="578"/>
      <c r="AJ90" s="578"/>
    </row>
    <row r="91" spans="2:36" s="570" customFormat="1" x14ac:dyDescent="0.35">
      <c r="B91" s="570" t="str">
        <f t="shared" si="36"/>
        <v>Ausgrid</v>
      </c>
      <c r="C91" s="570" t="str">
        <f t="shared" si="37"/>
        <v>Small business</v>
      </c>
      <c r="D91" s="570" t="str">
        <f t="shared" si="38"/>
        <v>time of use</v>
      </c>
      <c r="E91" s="570" t="s">
        <v>278</v>
      </c>
      <c r="F91" s="485" cm="1">
        <f t="array" ref="F91">_xlfn.XLOOKUP(1,($B91=DistributionZone)*($C91=CustomerType)*($D91=tariffL2)*($F$5=Description),valuesPY)*_xlfn.XLOOKUP(1,($B91=DistributionZone)*($C91=CustomerType)*($D91=tariffL2)*($E91=tariffType)*("Usage proportion"=Description),valuesFY)</f>
        <v>1190.317844803229</v>
      </c>
      <c r="G91" s="570" t="s">
        <v>69</v>
      </c>
      <c r="H91" s="574"/>
      <c r="I91" s="574" cm="1">
        <f t="array" ref="I91">IFERROR(_xlfn.XLOOKUP(1,($B91=DistributionZone)*($E91=tariffType)*("WEC scale"=Description),valuesPY),0)*$I$69</f>
        <v>0</v>
      </c>
      <c r="J91" s="574">
        <f t="shared" ref="J91:J98" si="43">H91+I91*F91/1000</f>
        <v>0</v>
      </c>
      <c r="K91" s="575" t="str">
        <f>IFERROR(J91/J99,"")</f>
        <v/>
      </c>
      <c r="L91" s="575"/>
      <c r="M91" s="575" t="str">
        <f t="shared" ref="M91:M98" si="44">IF(OR(J91=0,Q91=""),"",Q91/J91-1)</f>
        <v/>
      </c>
      <c r="N91" s="576"/>
      <c r="O91" s="574"/>
      <c r="P91" s="574" cm="1">
        <f t="array" ref="P91">IFERROR(_xlfn.XLOOKUP(1,($B91=DistributionZone)*($C91=CustomerType)*($E91=tariffType)*("WEC"=Description),valuesFY),0)</f>
        <v>187.97742416067607</v>
      </c>
      <c r="Q91" s="574">
        <f t="shared" ref="Q91:Q98" si="45">O91+P91*$F91/1000</f>
        <v>223.75288239859836</v>
      </c>
      <c r="R91" s="575">
        <f>IFERROR(Q91/Q99,"")</f>
        <v>0.93002149425526093</v>
      </c>
      <c r="S91" s="575"/>
      <c r="T91" s="613"/>
      <c r="U91" s="603"/>
      <c r="V91" s="603"/>
      <c r="W91" s="574"/>
      <c r="X91" s="575"/>
      <c r="Y91" s="575"/>
      <c r="Z91" s="575"/>
      <c r="AA91" s="575"/>
      <c r="AB91" s="575"/>
      <c r="AC91" s="575"/>
      <c r="AD91" s="575"/>
      <c r="AE91" s="575"/>
      <c r="AF91" s="575"/>
      <c r="AG91" s="575"/>
      <c r="AH91" s="575"/>
      <c r="AI91" s="575"/>
      <c r="AJ91" s="575"/>
    </row>
    <row r="92" spans="2:36" s="570" customFormat="1" x14ac:dyDescent="0.35">
      <c r="B92" s="570" t="str">
        <f t="shared" si="36"/>
        <v>Ausgrid</v>
      </c>
      <c r="C92" s="570" t="str">
        <f t="shared" si="37"/>
        <v>Small business</v>
      </c>
      <c r="D92" s="570" t="str">
        <f t="shared" si="38"/>
        <v>time of use</v>
      </c>
      <c r="E92" s="570" t="s">
        <v>278</v>
      </c>
      <c r="F92" s="485" cm="1">
        <f t="array" ref="F92">_xlfn.XLOOKUP(1,($B92=DistributionZone)*($C92=CustomerType)*($D92=tariffL2)*($F$5=Description),valuesPY)*_xlfn.XLOOKUP(1,($B92=DistributionZone)*($C92=CustomerType)*($D92=tariffL2)*($E92=tariffType)*("Usage proportion"=Description),valuesFY)</f>
        <v>1190.317844803229</v>
      </c>
      <c r="G92" s="570" t="s">
        <v>70</v>
      </c>
      <c r="H92" s="574"/>
      <c r="I92" s="574" cm="1">
        <f t="array" ref="I92">IFERROR(_xlfn.XLOOKUP(1,($B92=DistributionZone)*(I$5=Desc_FixedOrVar)*($G92=Description),valuesPY),0)</f>
        <v>0.15378802592718904</v>
      </c>
      <c r="J92" s="574">
        <f t="shared" si="43"/>
        <v>0.1830566315781948</v>
      </c>
      <c r="K92" s="575" t="str">
        <f>IFERROR(J92/J99,"")</f>
        <v/>
      </c>
      <c r="L92" s="575"/>
      <c r="M92" s="575">
        <f t="shared" si="44"/>
        <v>-0.1962157976411667</v>
      </c>
      <c r="N92" s="576"/>
      <c r="O92" s="574"/>
      <c r="P92" s="574" cm="1">
        <f t="array" ref="P92">IFERROR(_xlfn.XLOOKUP(1,($B92=DistributionZone)*(P$5=Desc_FixedOrVar)*($G92=Description),valuesFY),0)</f>
        <v>0.12361238575222523</v>
      </c>
      <c r="Q92" s="574">
        <f t="shared" si="45"/>
        <v>0.14713802859957412</v>
      </c>
      <c r="R92" s="575">
        <f>IFERROR(Q92/Q99,"")</f>
        <v>6.1157437505621355E-4</v>
      </c>
      <c r="S92" s="575"/>
      <c r="T92" s="612"/>
      <c r="U92" s="603"/>
      <c r="V92" s="603"/>
      <c r="W92" s="574"/>
      <c r="X92" s="575"/>
      <c r="Y92" s="575"/>
      <c r="Z92" s="575"/>
      <c r="AA92" s="575"/>
      <c r="AB92" s="575"/>
      <c r="AC92" s="575"/>
      <c r="AD92" s="575"/>
      <c r="AE92" s="575"/>
      <c r="AF92" s="575"/>
      <c r="AG92" s="575"/>
      <c r="AH92" s="575"/>
      <c r="AI92" s="575"/>
      <c r="AJ92" s="575"/>
    </row>
    <row r="93" spans="2:36" s="570" customFormat="1" x14ac:dyDescent="0.35">
      <c r="B93" s="570" t="str">
        <f t="shared" si="36"/>
        <v>Ausgrid</v>
      </c>
      <c r="C93" s="570" t="str">
        <f t="shared" si="37"/>
        <v>Small business</v>
      </c>
      <c r="D93" s="570" t="str">
        <f t="shared" si="38"/>
        <v>time of use</v>
      </c>
      <c r="E93" s="570" t="s">
        <v>278</v>
      </c>
      <c r="F93" s="485" cm="1">
        <f t="array" ref="F93">_xlfn.XLOOKUP(1,($B93=DistributionZone)*($C93=CustomerType)*($D93=tariffL2)*($F$5=Description),valuesPY)*_xlfn.XLOOKUP(1,($B93=DistributionZone)*($C93=CustomerType)*($D93=tariffL2)*($E93=tariffType)*("Usage proportion"=Description),valuesFY)</f>
        <v>1190.317844803229</v>
      </c>
      <c r="G93" s="570" t="s">
        <v>77</v>
      </c>
      <c r="H93" s="574"/>
      <c r="I93" s="574" cm="1">
        <f t="array" ref="I93">IFERROR(_xlfn.XLOOKUP(1,($B93=DistributionZone)*(I$5=Desc_FixedOrVar)*($G93=Description),valuesPY),0)</f>
        <v>0.57443</v>
      </c>
      <c r="J93" s="574">
        <f t="shared" si="43"/>
        <v>0.68375427959031887</v>
      </c>
      <c r="K93" s="575" t="str">
        <f>IFERROR(J93/J99,"")</f>
        <v/>
      </c>
      <c r="L93" s="575"/>
      <c r="M93" s="575">
        <f t="shared" si="44"/>
        <v>-9.5799314102675726E-2</v>
      </c>
      <c r="N93" s="576"/>
      <c r="O93" s="574"/>
      <c r="P93" s="574" cm="1">
        <f t="array" ref="P93">IFERROR(_xlfn.XLOOKUP(1,($B93=DistributionZone)*(P$5=Desc_FixedOrVar)*($G93=Description),valuesFY),0)</f>
        <v>0.51939999999999997</v>
      </c>
      <c r="Q93" s="574">
        <f t="shared" si="45"/>
        <v>0.61825108859079714</v>
      </c>
      <c r="R93" s="575">
        <f>IFERROR(Q93/Q99,"")</f>
        <v>2.56974030936442E-3</v>
      </c>
      <c r="S93" s="575"/>
      <c r="T93" s="612"/>
      <c r="U93" s="603"/>
      <c r="V93" s="603"/>
      <c r="W93" s="574"/>
      <c r="X93" s="575"/>
      <c r="Y93" s="575"/>
      <c r="Z93" s="575"/>
      <c r="AA93" s="575"/>
      <c r="AB93" s="575"/>
      <c r="AC93" s="575"/>
      <c r="AD93" s="575"/>
      <c r="AE93" s="575"/>
      <c r="AF93" s="575"/>
      <c r="AG93" s="575"/>
      <c r="AH93" s="575"/>
      <c r="AI93" s="575"/>
      <c r="AJ93" s="575"/>
    </row>
    <row r="94" spans="2:36" s="570" customFormat="1" x14ac:dyDescent="0.35">
      <c r="B94" s="570" t="str">
        <f t="shared" si="36"/>
        <v>Ausgrid</v>
      </c>
      <c r="C94" s="570" t="str">
        <f t="shared" si="37"/>
        <v>Small business</v>
      </c>
      <c r="D94" s="570" t="str">
        <f t="shared" si="38"/>
        <v>time of use</v>
      </c>
      <c r="E94" s="570" t="s">
        <v>278</v>
      </c>
      <c r="F94" s="485" cm="1">
        <f t="array" ref="F94">_xlfn.XLOOKUP(1,($B94=DistributionZone)*($C94=CustomerType)*($D94=tariffL2)*($F$5=Description),valuesPY)*_xlfn.XLOOKUP(1,($B94=DistributionZone)*($C94=CustomerType)*($D94=tariffL2)*($E94=tariffType)*("Usage proportion"=Description),valuesFY)</f>
        <v>1190.317844803229</v>
      </c>
      <c r="G94" s="570" t="s">
        <v>71</v>
      </c>
      <c r="H94" s="574"/>
      <c r="I94" s="574" cm="1">
        <f t="array" ref="I94">IFERROR(_xlfn.XLOOKUP(1,($B94=DistributionZone)*(I$5=Desc_FixedOrVar)*($G94=Description),valuesPY),0)</f>
        <v>5.2786233739509421E-2</v>
      </c>
      <c r="J94" s="574">
        <f t="shared" si="43"/>
        <v>6.2832395980092354E-2</v>
      </c>
      <c r="K94" s="575" t="str">
        <f>IFERROR(J94/J99,"")</f>
        <v/>
      </c>
      <c r="L94" s="575"/>
      <c r="M94" s="575">
        <f t="shared" si="44"/>
        <v>1.4130175372851865</v>
      </c>
      <c r="N94" s="576"/>
      <c r="O94" s="574"/>
      <c r="P94" s="574" cm="1">
        <f t="array" ref="P94">IFERROR(_xlfn.XLOOKUP(1,($B94=DistributionZone)*(P$5=Desc_FixedOrVar)*($G94=Description),valuesFY),0)</f>
        <v>0.12737410774067126</v>
      </c>
      <c r="Q94" s="574">
        <f t="shared" si="45"/>
        <v>0.1516156734096101</v>
      </c>
      <c r="R94" s="575">
        <f>IFERROR(Q94/Q99,"")</f>
        <v>6.3018555839532066E-4</v>
      </c>
      <c r="S94" s="575"/>
      <c r="T94" s="612"/>
      <c r="U94" s="603"/>
      <c r="V94" s="603"/>
      <c r="W94" s="574"/>
      <c r="X94" s="575"/>
      <c r="Y94" s="575"/>
      <c r="Z94" s="575"/>
      <c r="AA94" s="575"/>
      <c r="AB94" s="575"/>
      <c r="AC94" s="575"/>
      <c r="AD94" s="575"/>
      <c r="AE94" s="575"/>
      <c r="AF94" s="575"/>
      <c r="AG94" s="575"/>
      <c r="AH94" s="575"/>
      <c r="AI94" s="575"/>
      <c r="AJ94" s="575"/>
    </row>
    <row r="95" spans="2:36" s="570" customFormat="1" x14ac:dyDescent="0.35">
      <c r="B95" s="570" t="str">
        <f t="shared" si="36"/>
        <v>Ausgrid</v>
      </c>
      <c r="C95" s="570" t="str">
        <f t="shared" si="37"/>
        <v>Small business</v>
      </c>
      <c r="D95" s="570" t="str">
        <f t="shared" si="38"/>
        <v>time of use</v>
      </c>
      <c r="E95" s="570" t="s">
        <v>278</v>
      </c>
      <c r="F95" s="485" cm="1">
        <f t="array" ref="F95">_xlfn.XLOOKUP(1,($B95=DistributionZone)*($C95=CustomerType)*($D95=tariffL2)*($F$5=Description),valuesPY)*_xlfn.XLOOKUP(1,($B95=DistributionZone)*($C95=CustomerType)*($D95=tariffL2)*($E95=tariffType)*("Usage proportion"=Description),valuesFY)</f>
        <v>1190.317844803229</v>
      </c>
      <c r="G95" s="570" t="s">
        <v>173</v>
      </c>
      <c r="H95" s="574"/>
      <c r="I95" s="574" cm="1">
        <f t="array" ref="I95">IFERROR(_xlfn.XLOOKUP(1,($B95=DistributionZone)*(I$5=Desc_FixedOrVar)*($G95=Description),valuesPY),0)</f>
        <v>0.11507709849820914</v>
      </c>
      <c r="J95" s="574">
        <f t="shared" si="43"/>
        <v>0.13697832387059722</v>
      </c>
      <c r="K95" s="575" t="str">
        <f>IFERROR(J95/J99,"")</f>
        <v/>
      </c>
      <c r="L95" s="575"/>
      <c r="M95" s="575">
        <f t="shared" si="44"/>
        <v>-1</v>
      </c>
      <c r="N95" s="576"/>
      <c r="O95" s="574"/>
      <c r="P95" s="574" cm="1">
        <f t="array" ref="P95">IFERROR(_xlfn.XLOOKUP(1,($B95=DistributionZone)*(P$5=Desc_FixedOrVar)*($G95=Description),valuesFY),0)</f>
        <v>0</v>
      </c>
      <c r="Q95" s="574">
        <f t="shared" si="45"/>
        <v>0</v>
      </c>
      <c r="R95" s="575">
        <f>IFERROR(Q95/Q99,"")</f>
        <v>0</v>
      </c>
      <c r="S95" s="575"/>
      <c r="T95" s="612"/>
      <c r="U95" s="603"/>
      <c r="V95" s="603"/>
      <c r="W95" s="574"/>
      <c r="X95" s="575"/>
      <c r="Y95" s="575"/>
      <c r="Z95" s="575"/>
      <c r="AA95" s="575"/>
      <c r="AB95" s="575"/>
      <c r="AC95" s="575"/>
      <c r="AD95" s="575"/>
      <c r="AE95" s="575"/>
      <c r="AF95" s="575"/>
      <c r="AG95" s="575"/>
      <c r="AH95" s="575"/>
      <c r="AI95" s="575"/>
      <c r="AJ95" s="575"/>
    </row>
    <row r="96" spans="2:36" s="570" customFormat="1" x14ac:dyDescent="0.35">
      <c r="B96" s="570" t="str">
        <f t="shared" si="36"/>
        <v>Ausgrid</v>
      </c>
      <c r="C96" s="570" t="str">
        <f t="shared" si="37"/>
        <v>Small business</v>
      </c>
      <c r="D96" s="570" t="str">
        <f t="shared" si="38"/>
        <v>time of use</v>
      </c>
      <c r="E96" s="570" t="s">
        <v>278</v>
      </c>
      <c r="F96" s="485" cm="1">
        <f t="array" ref="F96">_xlfn.XLOOKUP(1,($B96=DistributionZone)*($C96=CustomerType)*($D96=tariffL2)*($F$5=Description),valuesPY)*_xlfn.XLOOKUP(1,($B96=DistributionZone)*($C96=CustomerType)*($D96=tariffL2)*($E96=tariffType)*("Usage proportion"=Description),valuesFY)</f>
        <v>1190.317844803229</v>
      </c>
      <c r="G96" s="570" t="s">
        <v>130</v>
      </c>
      <c r="H96" s="574"/>
      <c r="I96" s="574" cm="1">
        <f t="array" ref="I96">IFERROR(_xlfn.XLOOKUP(1,($B96=DistributionZone)*(I$5=Desc_FixedOrVar)*($G96=Description),valuesPY),0)</f>
        <v>2.8625958258186368</v>
      </c>
      <c r="J96" s="574">
        <f t="shared" si="43"/>
        <v>3.4073988939311595</v>
      </c>
      <c r="K96" s="575" t="str">
        <f>IFERROR(J96/J99,"")</f>
        <v/>
      </c>
      <c r="L96" s="575"/>
      <c r="M96" s="575">
        <f t="shared" si="44"/>
        <v>-5.7279088688867552E-2</v>
      </c>
      <c r="N96" s="576"/>
      <c r="O96" s="574"/>
      <c r="P96" s="574" cm="1">
        <f t="array" ref="P96">IFERROR(_xlfn.XLOOKUP(1,($B96=DistributionZone)*(P$5=Desc_FixedOrVar)*($G96=Description),valuesFY),0)</f>
        <v>2.6986289456311892</v>
      </c>
      <c r="Q96" s="574">
        <f t="shared" si="45"/>
        <v>3.2122261904873275</v>
      </c>
      <c r="R96" s="575">
        <f>IFERROR(Q96/Q99,"")</f>
        <v>1.3351512479025936E-2</v>
      </c>
      <c r="S96" s="575"/>
      <c r="T96" s="612"/>
      <c r="U96" s="603"/>
      <c r="V96" s="603"/>
      <c r="W96" s="574"/>
      <c r="X96" s="575"/>
      <c r="Y96" s="575"/>
      <c r="Z96" s="575"/>
      <c r="AA96" s="575"/>
      <c r="AB96" s="575"/>
      <c r="AC96" s="575"/>
      <c r="AD96" s="575"/>
      <c r="AE96" s="575"/>
      <c r="AF96" s="575"/>
      <c r="AG96" s="575"/>
      <c r="AH96" s="575"/>
      <c r="AI96" s="575"/>
      <c r="AJ96" s="575"/>
    </row>
    <row r="97" spans="2:36" s="570" customFormat="1" x14ac:dyDescent="0.35">
      <c r="B97" s="570" t="str">
        <f t="shared" si="36"/>
        <v>Ausgrid</v>
      </c>
      <c r="C97" s="570" t="str">
        <f t="shared" si="37"/>
        <v>Small business</v>
      </c>
      <c r="D97" s="570" t="str">
        <f t="shared" si="38"/>
        <v>time of use</v>
      </c>
      <c r="E97" s="570" t="s">
        <v>278</v>
      </c>
      <c r="F97" s="485" cm="1">
        <f t="array" ref="F97">_xlfn.XLOOKUP(1,($B97=DistributionZone)*($C97=CustomerType)*($D97=tariffL2)*($F$5=Description),valuesPY)*_xlfn.XLOOKUP(1,($B97=DistributionZone)*($C97=CustomerType)*($D97=tariffL2)*($E97=tariffType)*("Usage proportion"=Description),valuesFY)</f>
        <v>1190.317844803229</v>
      </c>
      <c r="G97" s="570" t="s">
        <v>302</v>
      </c>
      <c r="H97" s="574"/>
      <c r="I97" s="574"/>
      <c r="J97" s="574"/>
      <c r="K97" s="575"/>
      <c r="L97" s="575"/>
      <c r="M97" s="575"/>
      <c r="N97" s="576"/>
      <c r="O97" s="574"/>
      <c r="P97" s="574" cm="1">
        <f t="array" ref="P97">IFERROR(_xlfn.XLOOKUP(1,($B97=DistributionZone)*($D97=tariffL2)*($G97=Description),valuesFY),0)</f>
        <v>1.7960000000000009</v>
      </c>
      <c r="Q97" s="574">
        <f t="shared" ref="Q97" si="46">O97+P97*$F97/1000</f>
        <v>2.1378108492666006</v>
      </c>
      <c r="R97" s="575">
        <f>IFERROR(Q97/Q99,"")</f>
        <v>8.8857404613371226E-3</v>
      </c>
      <c r="S97" s="575"/>
      <c r="T97" s="612"/>
      <c r="U97" s="603"/>
      <c r="V97" s="603"/>
      <c r="W97" s="574"/>
      <c r="X97" s="575"/>
      <c r="Y97" s="575"/>
      <c r="Z97" s="575"/>
      <c r="AA97" s="575"/>
      <c r="AB97" s="575"/>
      <c r="AC97" s="575"/>
      <c r="AD97" s="575"/>
      <c r="AE97" s="575"/>
      <c r="AF97" s="575"/>
      <c r="AG97" s="575"/>
      <c r="AH97" s="575"/>
      <c r="AI97" s="575"/>
      <c r="AJ97" s="575"/>
    </row>
    <row r="98" spans="2:36" s="570" customFormat="1" x14ac:dyDescent="0.35">
      <c r="B98" s="570" t="str">
        <f>B96</f>
        <v>Ausgrid</v>
      </c>
      <c r="C98" s="570" t="str">
        <f>C96</f>
        <v>Small business</v>
      </c>
      <c r="D98" s="570" t="str">
        <f>D96</f>
        <v>time of use</v>
      </c>
      <c r="E98" s="570" t="s">
        <v>278</v>
      </c>
      <c r="F98" s="485" cm="1">
        <f t="array" ref="F98">_xlfn.XLOOKUP(1,($B98=DistributionZone)*($C98=CustomerType)*($D98=tariffL2)*($F$5=Description),valuesPY)*_xlfn.XLOOKUP(1,($B98=DistributionZone)*($C98=CustomerType)*($D98=tariffL2)*($E98=tariffType)*("Usage proportion"=Description),valuesFY)</f>
        <v>1190.317844803229</v>
      </c>
      <c r="G98" s="570" t="s">
        <v>72</v>
      </c>
      <c r="H98" s="574"/>
      <c r="I98" s="574" cm="1">
        <f t="array" ref="I98">IFERROR(_xlfn.XLOOKUP(1,($B98=DistributionZone)*($C98=CustomerType)*($G98=Description),valuesPY),0)*SUM(I91:I96)</f>
        <v>0.1682353825604625</v>
      </c>
      <c r="J98" s="574">
        <f t="shared" si="43"/>
        <v>0.20025357798901647</v>
      </c>
      <c r="K98" s="575" t="str">
        <f>IFERROR(J98/J99,"")</f>
        <v/>
      </c>
      <c r="L98" s="575"/>
      <c r="M98" s="575">
        <f t="shared" si="44"/>
        <v>51.778145408582162</v>
      </c>
      <c r="N98" s="576"/>
      <c r="O98" s="574"/>
      <c r="P98" s="574" cm="1">
        <f t="array" ref="P98">IFERROR(_xlfn.XLOOKUP(1,($B98=DistributionZone)*($C98=CustomerType)*("Losses"=Description)*($D98=tariffType)*($P$5=Desc_FixedOrVar),valuesFY),0)*SUM(P91:P97)</f>
        <v>8.879151483644538</v>
      </c>
      <c r="Q98" s="574">
        <f t="shared" si="45"/>
        <v>10.569012457693159</v>
      </c>
      <c r="R98" s="575">
        <f>IFERROR(Q98/Q99,"")</f>
        <v>4.3929752561559995E-2</v>
      </c>
      <c r="S98" s="575"/>
      <c r="T98" s="612"/>
      <c r="U98" s="603"/>
      <c r="V98" s="603"/>
      <c r="W98" s="574"/>
      <c r="X98" s="575"/>
      <c r="Y98" s="575"/>
      <c r="Z98" s="575"/>
      <c r="AA98" s="575"/>
      <c r="AB98" s="575"/>
      <c r="AC98" s="575"/>
      <c r="AD98" s="575"/>
      <c r="AE98" s="575"/>
      <c r="AF98" s="575"/>
      <c r="AG98" s="575"/>
      <c r="AH98" s="575"/>
      <c r="AI98" s="575"/>
      <c r="AJ98" s="575"/>
    </row>
    <row r="99" spans="2:36" s="571" customFormat="1" x14ac:dyDescent="0.35">
      <c r="B99" s="570" t="str">
        <f t="shared" si="36"/>
        <v>Ausgrid</v>
      </c>
      <c r="C99" s="570" t="str">
        <f t="shared" si="37"/>
        <v>Small business</v>
      </c>
      <c r="D99" s="570" t="str">
        <f t="shared" si="38"/>
        <v>time of use</v>
      </c>
      <c r="E99" s="570" t="s">
        <v>278</v>
      </c>
      <c r="F99" s="584"/>
      <c r="G99" s="571" t="s">
        <v>55</v>
      </c>
      <c r="H99" s="577"/>
      <c r="I99" s="577">
        <f>IF($H$3=PY,0,SUM(I91:I98))</f>
        <v>0</v>
      </c>
      <c r="J99" s="577">
        <f>IF($H$3=PY,0,SUM(J91:J98))</f>
        <v>0</v>
      </c>
      <c r="K99" s="578"/>
      <c r="L99" s="578"/>
      <c r="M99" s="578"/>
      <c r="N99" s="624"/>
      <c r="O99" s="577"/>
      <c r="P99" s="577">
        <f>SUM(P91:P98)</f>
        <v>202.12159108344468</v>
      </c>
      <c r="Q99" s="577">
        <f>SUM(Q91:Q98)</f>
        <v>240.58893668664544</v>
      </c>
      <c r="R99" s="578"/>
      <c r="S99" s="578"/>
      <c r="T99" s="621"/>
      <c r="U99" s="625"/>
      <c r="V99" s="625"/>
      <c r="W99" s="625"/>
      <c r="X99" s="578"/>
      <c r="Y99" s="578"/>
      <c r="Z99" s="578"/>
      <c r="AA99" s="578"/>
      <c r="AB99" s="578"/>
      <c r="AC99" s="578"/>
      <c r="AD99" s="578"/>
      <c r="AE99" s="578"/>
      <c r="AF99" s="578"/>
      <c r="AG99" s="578"/>
      <c r="AH99" s="578"/>
      <c r="AI99" s="578"/>
      <c r="AJ99" s="578"/>
    </row>
    <row r="100" spans="2:36" s="570" customFormat="1" x14ac:dyDescent="0.35">
      <c r="B100" s="570" t="str">
        <f t="shared" si="36"/>
        <v>Ausgrid</v>
      </c>
      <c r="C100" s="570" t="str">
        <f t="shared" si="37"/>
        <v>Small business</v>
      </c>
      <c r="D100" s="570" t="str">
        <f t="shared" si="38"/>
        <v>time of use</v>
      </c>
      <c r="E100" s="570" t="s">
        <v>272</v>
      </c>
      <c r="F100" s="485" cm="1">
        <f t="array" ref="F100">_xlfn.XLOOKUP(1,($B100=DistributionZone)*(C$196=CustomerType)*($D100=tariffL2)*($F$5=Description),valuesFY)</f>
        <v>10000</v>
      </c>
      <c r="G100" s="571" t="s">
        <v>55</v>
      </c>
      <c r="H100" s="577">
        <f>SUM(H82:H89,H91:H98)</f>
        <v>0</v>
      </c>
      <c r="I100" s="577"/>
      <c r="J100" s="577">
        <f>SUM(J90,J99)</f>
        <v>0</v>
      </c>
      <c r="K100" s="578"/>
      <c r="L100" s="579"/>
      <c r="M100" s="578" t="str">
        <f t="shared" si="39"/>
        <v/>
      </c>
      <c r="N100" s="580"/>
      <c r="O100" s="577">
        <f>SUM(O82:O89,O91:O98)</f>
        <v>13.125399999999999</v>
      </c>
      <c r="P100" s="577"/>
      <c r="Q100" s="577">
        <f>SUM(Q90,Q99)</f>
        <v>1503.4449222409485</v>
      </c>
      <c r="R100" s="575"/>
      <c r="S100" s="575"/>
      <c r="T100" s="612"/>
      <c r="U100" s="626"/>
      <c r="V100" s="626"/>
      <c r="W100" s="626"/>
      <c r="X100" s="575"/>
      <c r="Y100" s="575"/>
      <c r="Z100" s="575"/>
      <c r="AA100" s="575"/>
      <c r="AB100" s="575"/>
      <c r="AC100" s="575"/>
      <c r="AD100" s="575"/>
      <c r="AE100" s="575"/>
      <c r="AF100" s="575"/>
      <c r="AG100" s="575"/>
      <c r="AH100" s="575"/>
      <c r="AI100" s="575"/>
      <c r="AJ100" s="575"/>
    </row>
    <row r="101" spans="2:36" s="570" customFormat="1" x14ac:dyDescent="0.35">
      <c r="B101" s="570" t="str">
        <f t="shared" si="36"/>
        <v>Ausgrid</v>
      </c>
      <c r="C101" s="570" t="str">
        <f t="shared" si="37"/>
        <v>Small business</v>
      </c>
      <c r="D101" s="570" t="str">
        <f t="shared" si="38"/>
        <v>time of use</v>
      </c>
      <c r="F101" s="485"/>
      <c r="G101" s="570" t="s">
        <v>38</v>
      </c>
      <c r="H101" s="574"/>
      <c r="I101" s="574"/>
      <c r="J101" s="574">
        <f>J100*GST</f>
        <v>0</v>
      </c>
      <c r="K101" s="575"/>
      <c r="L101" s="581"/>
      <c r="M101" s="575"/>
      <c r="N101" s="582"/>
      <c r="O101" s="574"/>
      <c r="P101" s="574"/>
      <c r="Q101" s="574">
        <f>Q100*GST</f>
        <v>150.34449222409486</v>
      </c>
      <c r="R101" s="575"/>
      <c r="S101" s="575"/>
      <c r="T101" s="612"/>
      <c r="U101" s="575"/>
      <c r="V101" s="575"/>
      <c r="W101" s="575"/>
      <c r="X101" s="575"/>
      <c r="Y101" s="575"/>
      <c r="Z101" s="575"/>
      <c r="AA101" s="575"/>
      <c r="AB101" s="575"/>
      <c r="AC101" s="575"/>
      <c r="AD101" s="575"/>
      <c r="AE101" s="575"/>
      <c r="AF101" s="575"/>
      <c r="AG101" s="575"/>
      <c r="AH101" s="575"/>
      <c r="AI101" s="575"/>
      <c r="AJ101" s="575"/>
    </row>
    <row r="102" spans="2:36" s="570" customFormat="1" x14ac:dyDescent="0.35">
      <c r="B102" s="570" t="str">
        <f t="shared" si="36"/>
        <v>Ausgrid</v>
      </c>
      <c r="C102" s="570" t="str">
        <f t="shared" si="37"/>
        <v>Small business</v>
      </c>
      <c r="D102" s="570" t="str">
        <f t="shared" si="38"/>
        <v>time of use</v>
      </c>
      <c r="E102" s="570" t="s">
        <v>272</v>
      </c>
      <c r="F102" s="485"/>
      <c r="G102" s="571" t="s">
        <v>79</v>
      </c>
      <c r="H102" s="577"/>
      <c r="I102" s="577"/>
      <c r="J102" s="577">
        <f>SUM(J100:J101)</f>
        <v>0</v>
      </c>
      <c r="K102" s="578"/>
      <c r="L102" s="579"/>
      <c r="M102" s="578" t="str">
        <f>IF(OR(J102=0,Q102=""),"",Q102/J102-1)</f>
        <v/>
      </c>
      <c r="N102" s="580"/>
      <c r="O102" s="577"/>
      <c r="P102" s="577"/>
      <c r="Q102" s="577">
        <f>SUM(Q100:Q101)</f>
        <v>1653.7894144650434</v>
      </c>
      <c r="R102" s="575"/>
      <c r="S102" s="575"/>
      <c r="T102" s="612"/>
      <c r="U102" s="575"/>
      <c r="V102" s="575"/>
      <c r="W102" s="575"/>
      <c r="X102" s="575"/>
      <c r="Y102" s="575"/>
      <c r="Z102" s="575"/>
      <c r="AA102" s="575"/>
      <c r="AB102" s="575"/>
      <c r="AC102" s="575"/>
      <c r="AD102" s="575"/>
      <c r="AE102" s="575"/>
      <c r="AF102" s="575"/>
      <c r="AG102" s="575"/>
      <c r="AH102" s="575"/>
      <c r="AI102" s="575"/>
      <c r="AJ102" s="575"/>
    </row>
    <row r="103" spans="2:36" x14ac:dyDescent="0.35">
      <c r="F103" s="258"/>
      <c r="H103" s="482"/>
      <c r="I103" s="482"/>
      <c r="J103" s="482"/>
      <c r="K103" s="484"/>
      <c r="L103" s="567"/>
      <c r="M103" s="484"/>
      <c r="N103" s="568"/>
      <c r="O103" s="482"/>
      <c r="P103" s="482"/>
      <c r="Q103" s="482"/>
      <c r="R103" s="484"/>
      <c r="S103" s="484"/>
      <c r="T103" s="607"/>
      <c r="U103" s="484"/>
      <c r="V103" s="484"/>
      <c r="W103" s="484"/>
      <c r="X103" s="484"/>
      <c r="Y103" s="484"/>
      <c r="Z103" s="484"/>
      <c r="AA103" s="484"/>
      <c r="AB103" s="484"/>
      <c r="AC103" s="484"/>
      <c r="AD103" s="484"/>
      <c r="AE103" s="484"/>
      <c r="AF103" s="484"/>
      <c r="AG103" s="484"/>
      <c r="AH103" s="484"/>
      <c r="AI103" s="484"/>
      <c r="AJ103" s="484"/>
    </row>
    <row r="104" spans="2:36" x14ac:dyDescent="0.35">
      <c r="B104" s="64" t="s">
        <v>4</v>
      </c>
      <c r="C104" s="64" t="s">
        <v>6</v>
      </c>
      <c r="D104" s="64" t="s">
        <v>276</v>
      </c>
      <c r="F104" s="258"/>
      <c r="H104" s="482"/>
      <c r="I104" s="482"/>
      <c r="J104" s="482"/>
      <c r="K104" s="484"/>
      <c r="L104" s="567"/>
      <c r="M104" s="484"/>
      <c r="N104" s="568"/>
      <c r="O104" s="482"/>
      <c r="P104" s="482"/>
      <c r="Q104" s="482"/>
      <c r="R104" s="484"/>
      <c r="S104" s="484"/>
      <c r="T104" s="607"/>
      <c r="U104" s="484"/>
      <c r="V104" s="484"/>
      <c r="W104" s="484"/>
      <c r="X104" s="484"/>
      <c r="Y104" s="484"/>
      <c r="Z104" s="484"/>
      <c r="AA104" s="484"/>
      <c r="AB104" s="484"/>
      <c r="AC104" s="484"/>
      <c r="AD104" s="484"/>
      <c r="AE104" s="484"/>
      <c r="AF104" s="484"/>
      <c r="AG104" s="484"/>
      <c r="AH104" s="484"/>
      <c r="AI104" s="484"/>
      <c r="AJ104" s="484"/>
    </row>
    <row r="105" spans="2:36" x14ac:dyDescent="0.35">
      <c r="B105" s="30" t="str">
        <f t="shared" ref="B105:B115" si="47">B104</f>
        <v>Endeavour</v>
      </c>
      <c r="C105" s="30" t="str">
        <f t="shared" ref="C105:C115" si="48">C104</f>
        <v>Residential</v>
      </c>
      <c r="D105" s="30" t="str">
        <f t="shared" ref="D105:D115" si="49">D104</f>
        <v>flat rate</v>
      </c>
      <c r="E105" s="30" t="s">
        <v>19</v>
      </c>
      <c r="F105" s="598" cm="1">
        <f t="array" ref="F105">_xlfn.XLOOKUP(1,($B105=DistributionZone)*($C105=CustomerType)*($D105=tariffL2)*($F$5=Description)*(E105=tariffType),valuesFY)</f>
        <v>4900</v>
      </c>
      <c r="G105" s="30" t="s">
        <v>69</v>
      </c>
      <c r="H105" s="482"/>
      <c r="I105" s="482" cm="1">
        <f t="array" ref="I105">IFERROR(_xlfn.XLOOKUP(1,($B105=DistributionZone)*($C105=CustomerType)*($E105=tariffType)*($G105=Description),valuesPY),0)</f>
        <v>167.4675</v>
      </c>
      <c r="J105" s="482">
        <f t="shared" ref="J105:J112" si="50">H105+I105*F105/1000</f>
        <v>820.59074999999996</v>
      </c>
      <c r="K105" s="484">
        <f>IFERROR(J105/J113,"")</f>
        <v>0.9040412226399368</v>
      </c>
      <c r="L105" s="484"/>
      <c r="M105" s="484">
        <f t="shared" ref="M105:M113" si="51">IF(OR(J105=0,Q105=""),"",Q105/J105-1)</f>
        <v>-0.13678773493364371</v>
      </c>
      <c r="N105" s="563"/>
      <c r="O105" s="482"/>
      <c r="P105" s="482" cm="1">
        <f t="array" ref="P105">IFERROR(_xlfn.XLOOKUP(1,($B105=DistributionZone)*($C105=CustomerType)*($E105=tariffType)*($G105=Description),valuesFY),0)</f>
        <v>144.56</v>
      </c>
      <c r="Q105" s="482">
        <f>O105+P105*$F105/1000</f>
        <v>708.34400000000005</v>
      </c>
      <c r="R105" s="484">
        <f>IFERROR(Q105/Q113,"")</f>
        <v>0.89290997782082382</v>
      </c>
      <c r="S105" s="484"/>
      <c r="T105" s="608"/>
      <c r="U105" s="484"/>
      <c r="V105" s="484"/>
      <c r="W105" s="484"/>
      <c r="X105" s="484"/>
      <c r="Y105" s="484"/>
      <c r="Z105" s="484"/>
      <c r="AA105" s="484"/>
      <c r="AB105" s="484"/>
      <c r="AC105" s="484"/>
      <c r="AD105" s="484"/>
      <c r="AE105" s="484"/>
      <c r="AF105" s="484"/>
      <c r="AG105" s="484"/>
      <c r="AH105" s="484"/>
      <c r="AI105" s="484"/>
      <c r="AJ105" s="484"/>
    </row>
    <row r="106" spans="2:36" x14ac:dyDescent="0.35">
      <c r="B106" s="30" t="str">
        <f t="shared" si="47"/>
        <v>Endeavour</v>
      </c>
      <c r="C106" s="30" t="str">
        <f t="shared" si="48"/>
        <v>Residential</v>
      </c>
      <c r="D106" s="30" t="str">
        <f t="shared" si="49"/>
        <v>flat rate</v>
      </c>
      <c r="E106" s="30" t="s">
        <v>19</v>
      </c>
      <c r="F106" s="258">
        <f>F105</f>
        <v>4900</v>
      </c>
      <c r="G106" s="30" t="s">
        <v>70</v>
      </c>
      <c r="H106" s="482"/>
      <c r="I106" s="482" cm="1">
        <f t="array" ref="I106">IFERROR(_xlfn.XLOOKUP(1,($B106=DistributionZone)*(I$5=Desc_FixedOrVar)*($G106=Description),valuesPY),0)</f>
        <v>0.15378802592718904</v>
      </c>
      <c r="J106" s="482">
        <f t="shared" si="50"/>
        <v>0.75356132704322631</v>
      </c>
      <c r="K106" s="484">
        <f>IFERROR(J106/J113,"")</f>
        <v>8.3019520197410415E-4</v>
      </c>
      <c r="L106" s="484"/>
      <c r="M106" s="484">
        <f t="shared" si="51"/>
        <v>-0.19621579764116659</v>
      </c>
      <c r="N106" s="563"/>
      <c r="O106" s="482"/>
      <c r="P106" s="482" cm="1">
        <f t="array" ref="P106">IFERROR(_xlfn.XLOOKUP(1,($B106=DistributionZone)*(P$5=Desc_FixedOrVar)*($G106=Description),valuesFY),0)</f>
        <v>0.12361238575222523</v>
      </c>
      <c r="Q106" s="482">
        <f t="shared" ref="Q106:Q112" si="52">O106+P106*$F106/1000</f>
        <v>0.60570069018590367</v>
      </c>
      <c r="R106" s="484">
        <f>IFERROR(Q106/Q113,"")</f>
        <v>7.6352194673767672E-4</v>
      </c>
      <c r="S106" s="484"/>
      <c r="T106" s="607"/>
      <c r="U106" s="484"/>
      <c r="V106" s="484"/>
      <c r="W106" s="484"/>
      <c r="X106" s="484"/>
      <c r="Y106" s="484"/>
      <c r="Z106" s="484"/>
      <c r="AA106" s="484"/>
      <c r="AB106" s="484"/>
      <c r="AC106" s="484"/>
      <c r="AD106" s="484"/>
      <c r="AE106" s="484"/>
      <c r="AF106" s="484"/>
      <c r="AG106" s="484"/>
      <c r="AH106" s="484"/>
      <c r="AI106" s="484"/>
      <c r="AJ106" s="484"/>
    </row>
    <row r="107" spans="2:36" x14ac:dyDescent="0.35">
      <c r="B107" s="30" t="str">
        <f t="shared" si="47"/>
        <v>Endeavour</v>
      </c>
      <c r="C107" s="30" t="str">
        <f t="shared" si="48"/>
        <v>Residential</v>
      </c>
      <c r="D107" s="30" t="str">
        <f t="shared" si="49"/>
        <v>flat rate</v>
      </c>
      <c r="E107" s="30" t="s">
        <v>19</v>
      </c>
      <c r="F107" s="258">
        <f t="shared" ref="F107:F113" si="53">F106</f>
        <v>4900</v>
      </c>
      <c r="G107" s="30" t="s">
        <v>77</v>
      </c>
      <c r="H107" s="482" cm="1">
        <f t="array" ref="H107">IFERROR(_xlfn.XLOOKUP(1,($B107=DistributionZone)*(H$5=Desc_FixedOrVar)*($G107=Description),valuesPY),0)*Days/7</f>
        <v>13.835244134497829</v>
      </c>
      <c r="I107" s="482" cm="1">
        <f t="array" ref="I107">IFERROR(_xlfn.XLOOKUP(1,($B107=DistributionZone)*(I$5=Desc_FixedOrVar)*($G107=Description),valuesPY),0)</f>
        <v>0.57443</v>
      </c>
      <c r="J107" s="482">
        <f t="shared" si="50"/>
        <v>16.649951134497829</v>
      </c>
      <c r="K107" s="484">
        <f>IFERROR(J107/J113,"")</f>
        <v>1.834317798552643E-2</v>
      </c>
      <c r="L107" s="484"/>
      <c r="M107" s="484">
        <f t="shared" si="51"/>
        <v>-5.8828469019850504E-2</v>
      </c>
      <c r="N107" s="563"/>
      <c r="O107" s="482" cm="1">
        <f t="array" ref="O107">IFERROR(_xlfn.XLOOKUP(1,($B107=DistributionZone)*(O$5=Desc_FixedOrVar)*($G107=Description),valuesFY),0)*Days/7</f>
        <v>13.125399999999999</v>
      </c>
      <c r="P107" s="482" cm="1">
        <f t="array" ref="P107">IFERROR(_xlfn.XLOOKUP(1,($B107=DistributionZone)*(P$5=Desc_FixedOrVar)*($G107=Description),valuesFY),0)</f>
        <v>0.51939999999999997</v>
      </c>
      <c r="Q107" s="482">
        <f t="shared" si="52"/>
        <v>15.670459999999999</v>
      </c>
      <c r="R107" s="484">
        <f>IFERROR(Q107/Q113,"")</f>
        <v>1.9753552075039961E-2</v>
      </c>
      <c r="S107" s="484"/>
      <c r="T107" s="607"/>
      <c r="U107" s="484"/>
      <c r="V107" s="484"/>
      <c r="W107" s="484"/>
      <c r="X107" s="484"/>
      <c r="Y107" s="484"/>
      <c r="Z107" s="484"/>
      <c r="AA107" s="484"/>
      <c r="AB107" s="484"/>
      <c r="AC107" s="484"/>
      <c r="AD107" s="484"/>
      <c r="AE107" s="484"/>
      <c r="AF107" s="484"/>
      <c r="AG107" s="484"/>
      <c r="AH107" s="484"/>
      <c r="AI107" s="484"/>
      <c r="AJ107" s="484"/>
    </row>
    <row r="108" spans="2:36" x14ac:dyDescent="0.35">
      <c r="B108" s="30" t="str">
        <f t="shared" si="47"/>
        <v>Endeavour</v>
      </c>
      <c r="C108" s="30" t="str">
        <f t="shared" si="48"/>
        <v>Residential</v>
      </c>
      <c r="D108" s="30" t="str">
        <f t="shared" si="49"/>
        <v>flat rate</v>
      </c>
      <c r="E108" s="30" t="s">
        <v>19</v>
      </c>
      <c r="F108" s="258">
        <f t="shared" si="53"/>
        <v>4900</v>
      </c>
      <c r="G108" s="30" t="s">
        <v>71</v>
      </c>
      <c r="H108" s="482"/>
      <c r="I108" s="482" cm="1">
        <f t="array" ref="I108">IFERROR(_xlfn.XLOOKUP(1,($B108=DistributionZone)*(I$5=Desc_FixedOrVar)*($G108=Description),valuesPY),0)</f>
        <v>5.2786233739509421E-2</v>
      </c>
      <c r="J108" s="482">
        <f t="shared" si="50"/>
        <v>0.25865254532359616</v>
      </c>
      <c r="K108" s="484">
        <f>IFERROR(J108/J113,"")</f>
        <v>2.8495637236134526E-4</v>
      </c>
      <c r="L108" s="484"/>
      <c r="M108" s="484">
        <f t="shared" si="51"/>
        <v>1.413017537285187</v>
      </c>
      <c r="N108" s="563"/>
      <c r="O108" s="482"/>
      <c r="P108" s="482" cm="1">
        <f t="array" ref="P108">IFERROR(_xlfn.XLOOKUP(1,($B108=DistributionZone)*(P$5=Desc_FixedOrVar)*($G108=Description),valuesFY),0)</f>
        <v>0.12737410774067126</v>
      </c>
      <c r="Q108" s="482">
        <f t="shared" si="52"/>
        <v>0.62413312792928921</v>
      </c>
      <c r="R108" s="484">
        <f>IFERROR(Q108/Q113,"")</f>
        <v>7.867571369512313E-4</v>
      </c>
      <c r="S108" s="484"/>
      <c r="T108" s="607"/>
      <c r="U108" s="484"/>
      <c r="V108" s="484"/>
      <c r="W108" s="484"/>
      <c r="X108" s="484"/>
      <c r="Y108" s="484"/>
      <c r="Z108" s="484"/>
      <c r="AA108" s="484"/>
      <c r="AB108" s="484"/>
      <c r="AC108" s="484"/>
      <c r="AD108" s="484"/>
      <c r="AE108" s="484"/>
      <c r="AF108" s="484"/>
      <c r="AG108" s="484"/>
      <c r="AH108" s="484"/>
      <c r="AI108" s="484"/>
      <c r="AJ108" s="484"/>
    </row>
    <row r="109" spans="2:36" x14ac:dyDescent="0.35">
      <c r="B109" s="30" t="str">
        <f t="shared" si="47"/>
        <v>Endeavour</v>
      </c>
      <c r="C109" s="30" t="str">
        <f t="shared" si="48"/>
        <v>Residential</v>
      </c>
      <c r="D109" s="30" t="str">
        <f t="shared" si="49"/>
        <v>flat rate</v>
      </c>
      <c r="E109" s="30" t="s">
        <v>19</v>
      </c>
      <c r="F109" s="258">
        <f t="shared" si="53"/>
        <v>4900</v>
      </c>
      <c r="G109" s="30" t="s">
        <v>173</v>
      </c>
      <c r="H109" s="482"/>
      <c r="I109" s="482" cm="1">
        <f t="array" ref="I109">IFERROR(_xlfn.XLOOKUP(1,($B109=DistributionZone)*(I$5=Desc_FixedOrVar)*($G109=Description),valuesPY),0)</f>
        <v>0.11507709849820914</v>
      </c>
      <c r="J109" s="482">
        <f t="shared" si="50"/>
        <v>0.56387778264122479</v>
      </c>
      <c r="K109" s="484">
        <f>IFERROR(J109/J114,"")</f>
        <v>6.2122167479766177E-3</v>
      </c>
      <c r="L109" s="484"/>
      <c r="M109" s="484">
        <f t="shared" si="51"/>
        <v>-1</v>
      </c>
      <c r="N109" s="563"/>
      <c r="O109" s="482"/>
      <c r="P109" s="482" cm="1">
        <f t="array" ref="P109">IFERROR(_xlfn.XLOOKUP(1,($B109=DistributionZone)*(P$5=Desc_FixedOrVar)*($G109=Description),valuesFY),0)</f>
        <v>0</v>
      </c>
      <c r="Q109" s="482">
        <f t="shared" si="52"/>
        <v>0</v>
      </c>
      <c r="R109" s="484">
        <f>IFERROR(Q109/Q113,"")</f>
        <v>0</v>
      </c>
      <c r="S109" s="484"/>
      <c r="T109" s="607"/>
      <c r="U109" s="484"/>
      <c r="V109" s="484"/>
      <c r="W109" s="484"/>
      <c r="X109" s="484"/>
      <c r="Y109" s="484"/>
      <c r="Z109" s="484"/>
      <c r="AA109" s="484"/>
      <c r="AB109" s="484"/>
      <c r="AC109" s="484"/>
      <c r="AD109" s="484"/>
      <c r="AE109" s="484"/>
      <c r="AF109" s="484"/>
      <c r="AG109" s="484"/>
      <c r="AH109" s="484"/>
      <c r="AI109" s="484"/>
      <c r="AJ109" s="484"/>
    </row>
    <row r="110" spans="2:36" x14ac:dyDescent="0.35">
      <c r="B110" s="30" t="str">
        <f t="shared" si="47"/>
        <v>Endeavour</v>
      </c>
      <c r="C110" s="30" t="str">
        <f t="shared" si="48"/>
        <v>Residential</v>
      </c>
      <c r="D110" s="30" t="str">
        <f t="shared" si="49"/>
        <v>flat rate</v>
      </c>
      <c r="E110" s="30" t="s">
        <v>19</v>
      </c>
      <c r="F110" s="258">
        <f t="shared" si="53"/>
        <v>4900</v>
      </c>
      <c r="G110" s="30" t="s">
        <v>130</v>
      </c>
      <c r="H110" s="482"/>
      <c r="I110" s="482" cm="1">
        <f t="array" ref="I110">IFERROR(_xlfn.XLOOKUP(1,($B110=DistributionZone)*(I$5=Desc_FixedOrVar)*($G110=Description),valuesPY),0)</f>
        <v>3.1348835402205433</v>
      </c>
      <c r="J110" s="482">
        <f t="shared" si="50"/>
        <v>15.360929347080662</v>
      </c>
      <c r="K110" s="484">
        <f>IFERROR(J110/J113,"")</f>
        <v>1.6923068347797592E-2</v>
      </c>
      <c r="L110" s="484"/>
      <c r="M110" s="484">
        <f t="shared" si="51"/>
        <v>-7.2394778388588543E-2</v>
      </c>
      <c r="N110" s="563"/>
      <c r="O110" s="482"/>
      <c r="P110" s="482" cm="1">
        <f t="array" ref="P110">IFERROR(_xlfn.XLOOKUP(1,($B110=DistributionZone)*(P$5=Desc_FixedOrVar)*($G110=Description),valuesFY),0)</f>
        <v>2.9079343410522429</v>
      </c>
      <c r="Q110" s="482">
        <f t="shared" si="52"/>
        <v>14.248878271155991</v>
      </c>
      <c r="R110" s="484">
        <f>IFERROR(Q110/Q113,"")</f>
        <v>1.7961563281498134E-2</v>
      </c>
      <c r="S110" s="484"/>
      <c r="T110" s="607"/>
      <c r="U110" s="484"/>
      <c r="V110" s="484"/>
      <c r="W110" s="484"/>
      <c r="X110" s="484"/>
      <c r="Y110" s="484"/>
      <c r="Z110" s="484"/>
      <c r="AA110" s="484"/>
      <c r="AB110" s="484"/>
      <c r="AC110" s="484"/>
      <c r="AD110" s="484"/>
      <c r="AE110" s="484"/>
      <c r="AF110" s="484"/>
      <c r="AG110" s="484"/>
      <c r="AH110" s="484"/>
      <c r="AI110" s="484"/>
      <c r="AJ110" s="484"/>
    </row>
    <row r="111" spans="2:36" x14ac:dyDescent="0.35">
      <c r="B111" s="30" t="str">
        <f t="shared" si="47"/>
        <v>Endeavour</v>
      </c>
      <c r="C111" s="30" t="str">
        <f t="shared" si="48"/>
        <v>Residential</v>
      </c>
      <c r="D111" s="30" t="str">
        <f t="shared" si="49"/>
        <v>flat rate</v>
      </c>
      <c r="E111" s="30" t="s">
        <v>19</v>
      </c>
      <c r="F111" s="258">
        <f t="shared" si="53"/>
        <v>4900</v>
      </c>
      <c r="G111" s="30" t="s">
        <v>302</v>
      </c>
      <c r="H111" s="482"/>
      <c r="I111" s="482"/>
      <c r="J111" s="482"/>
      <c r="K111" s="484"/>
      <c r="L111" s="484"/>
      <c r="M111" s="484"/>
      <c r="N111" s="563"/>
      <c r="O111" s="482"/>
      <c r="P111" s="482" cm="1">
        <f t="array" ref="P111">IFERROR(_xlfn.XLOOKUP(1,($B111=DistributionZone)*(P$5=Desc_FixedOrVar)*($G111=Description)*($E111=tariffType),valuesFY),0)</f>
        <v>2.0909999999999997</v>
      </c>
      <c r="Q111" s="482">
        <f t="shared" ref="Q111" si="54">O111+P111*$F111/1000</f>
        <v>10.245899999999999</v>
      </c>
      <c r="R111" s="484">
        <f>IFERROR(Q111/Q113,"")</f>
        <v>1.2915569753896945E-2</v>
      </c>
      <c r="S111" s="484"/>
      <c r="T111" s="607"/>
      <c r="U111" s="484"/>
      <c r="V111" s="484"/>
      <c r="W111" s="484"/>
      <c r="X111" s="484"/>
      <c r="Y111" s="484"/>
      <c r="Z111" s="484"/>
      <c r="AA111" s="484"/>
      <c r="AB111" s="484"/>
      <c r="AC111" s="484"/>
      <c r="AD111" s="484"/>
      <c r="AE111" s="484"/>
      <c r="AF111" s="484"/>
      <c r="AG111" s="484"/>
      <c r="AH111" s="484"/>
      <c r="AI111" s="484"/>
      <c r="AJ111" s="484"/>
    </row>
    <row r="112" spans="2:36" x14ac:dyDescent="0.35">
      <c r="B112" s="30" t="str">
        <f>B110</f>
        <v>Endeavour</v>
      </c>
      <c r="C112" s="30" t="str">
        <f>C110</f>
        <v>Residential</v>
      </c>
      <c r="D112" s="30" t="str">
        <f>D110</f>
        <v>flat rate</v>
      </c>
      <c r="E112" s="30" t="s">
        <v>19</v>
      </c>
      <c r="F112" s="258">
        <f>F110</f>
        <v>4900</v>
      </c>
      <c r="G112" s="30" t="s">
        <v>72</v>
      </c>
      <c r="H112" s="482"/>
      <c r="I112" s="482" cm="1">
        <f t="array" ref="I112">IFERROR(_xlfn.XLOOKUP(1,($B112=DistributionZone)*($C112=CustomerType)*($E112=tariffType)*($G112=Description),valuesPY),0)*SUM(I105:I110)</f>
        <v>10.921228042887101</v>
      </c>
      <c r="J112" s="482">
        <f t="shared" si="50"/>
        <v>53.514017410146792</v>
      </c>
      <c r="K112" s="484">
        <f>IFERROR(J112/J113,"")</f>
        <v>5.8956157777605919E-2</v>
      </c>
      <c r="L112" s="484"/>
      <c r="M112" s="484">
        <f t="shared" si="51"/>
        <v>-0.18602141152235974</v>
      </c>
      <c r="N112" s="563"/>
      <c r="O112" s="482"/>
      <c r="P112" s="482" cm="1">
        <f t="array" ref="P112">IFERROR(_xlfn.XLOOKUP(1,($B112=DistributionZone)*($C112=CustomerType)*($E112=tariffType)*($G112=Description),valuesFY),0)*SUM(P105:P111)</f>
        <v>8.8896457867916645</v>
      </c>
      <c r="Q112" s="482">
        <f t="shared" si="52"/>
        <v>43.559264355279154</v>
      </c>
      <c r="R112" s="484">
        <f>IFERROR(Q112/Q113,"")</f>
        <v>5.4909057985052051E-2</v>
      </c>
      <c r="S112" s="484"/>
      <c r="T112" s="607"/>
      <c r="U112" s="484"/>
      <c r="V112" s="484"/>
      <c r="W112" s="484"/>
      <c r="X112" s="484"/>
      <c r="Y112" s="484"/>
      <c r="Z112" s="484"/>
      <c r="AA112" s="484"/>
      <c r="AB112" s="484"/>
      <c r="AC112" s="484"/>
      <c r="AD112" s="484"/>
      <c r="AE112" s="484"/>
      <c r="AF112" s="484"/>
      <c r="AG112" s="484"/>
      <c r="AH112" s="484"/>
      <c r="AI112" s="484"/>
      <c r="AJ112" s="484"/>
    </row>
    <row r="113" spans="2:36" x14ac:dyDescent="0.35">
      <c r="B113" s="30" t="str">
        <f t="shared" si="47"/>
        <v>Endeavour</v>
      </c>
      <c r="C113" s="30" t="str">
        <f t="shared" si="48"/>
        <v>Residential</v>
      </c>
      <c r="D113" s="30" t="str">
        <f t="shared" si="49"/>
        <v>flat rate</v>
      </c>
      <c r="E113" s="30" t="s">
        <v>19</v>
      </c>
      <c r="F113" s="258">
        <f t="shared" si="53"/>
        <v>4900</v>
      </c>
      <c r="G113" s="64" t="s">
        <v>55</v>
      </c>
      <c r="H113" s="487">
        <f>SUM(H105:H112)</f>
        <v>13.835244134497829</v>
      </c>
      <c r="I113" s="487">
        <f>SUM(I105:I112)</f>
        <v>182.41969294127256</v>
      </c>
      <c r="J113" s="487">
        <f>SUM(J105:J112)</f>
        <v>907.6917395467334</v>
      </c>
      <c r="K113" s="564"/>
      <c r="L113" s="565"/>
      <c r="M113" s="564">
        <f t="shared" si="51"/>
        <v>-0.12602670941933058</v>
      </c>
      <c r="N113" s="566"/>
      <c r="O113" s="487">
        <f>SUM(O107:O112)</f>
        <v>13.125399999999999</v>
      </c>
      <c r="P113" s="487">
        <f>SUM(P105:P112)</f>
        <v>159.21896662133685</v>
      </c>
      <c r="Q113" s="487">
        <f>SUM(Q105:Q112)</f>
        <v>793.2983364445505</v>
      </c>
      <c r="R113" s="564"/>
      <c r="S113" s="564"/>
      <c r="T113" s="611"/>
      <c r="U113" s="564"/>
      <c r="V113" s="564"/>
      <c r="W113" s="564"/>
      <c r="X113" s="564"/>
      <c r="Y113" s="564"/>
      <c r="Z113" s="564"/>
      <c r="AA113" s="564"/>
      <c r="AB113" s="564"/>
      <c r="AC113" s="564"/>
      <c r="AD113" s="564"/>
      <c r="AE113" s="564"/>
      <c r="AF113" s="564"/>
      <c r="AG113" s="564"/>
      <c r="AH113" s="564"/>
      <c r="AI113" s="564"/>
      <c r="AJ113" s="564"/>
    </row>
    <row r="114" spans="2:36" x14ac:dyDescent="0.35">
      <c r="B114" s="30" t="str">
        <f t="shared" si="47"/>
        <v>Endeavour</v>
      </c>
      <c r="C114" s="30" t="str">
        <f t="shared" si="48"/>
        <v>Residential</v>
      </c>
      <c r="D114" s="30" t="str">
        <f t="shared" si="49"/>
        <v>flat rate</v>
      </c>
      <c r="F114" s="258"/>
      <c r="G114" s="30" t="s">
        <v>38</v>
      </c>
      <c r="H114" s="482"/>
      <c r="I114" s="482"/>
      <c r="J114" s="482">
        <f>J113*GST</f>
        <v>90.769173954673349</v>
      </c>
      <c r="K114" s="484"/>
      <c r="L114" s="567"/>
      <c r="M114" s="484"/>
      <c r="N114" s="568"/>
      <c r="O114" s="482"/>
      <c r="P114" s="482"/>
      <c r="Q114" s="482">
        <f>Q113*GST</f>
        <v>79.32983364445505</v>
      </c>
      <c r="R114" s="564"/>
      <c r="S114" s="564"/>
      <c r="T114" s="611"/>
      <c r="U114" s="564"/>
      <c r="V114" s="564"/>
      <c r="W114" s="564"/>
      <c r="X114" s="564"/>
      <c r="Y114" s="564"/>
      <c r="Z114" s="564"/>
      <c r="AA114" s="564"/>
      <c r="AB114" s="564"/>
      <c r="AC114" s="564"/>
      <c r="AD114" s="564"/>
      <c r="AE114" s="564"/>
      <c r="AF114" s="564"/>
      <c r="AG114" s="564"/>
      <c r="AH114" s="564"/>
      <c r="AI114" s="564"/>
      <c r="AJ114" s="564"/>
    </row>
    <row r="115" spans="2:36" x14ac:dyDescent="0.35">
      <c r="B115" s="30" t="str">
        <f t="shared" si="47"/>
        <v>Endeavour</v>
      </c>
      <c r="C115" s="30" t="str">
        <f t="shared" si="48"/>
        <v>Residential</v>
      </c>
      <c r="D115" s="30" t="str">
        <f t="shared" si="49"/>
        <v>flat rate</v>
      </c>
      <c r="E115" s="30" t="s">
        <v>19</v>
      </c>
      <c r="F115" s="258"/>
      <c r="G115" s="64" t="s">
        <v>79</v>
      </c>
      <c r="H115" s="487"/>
      <c r="I115" s="487"/>
      <c r="J115" s="487">
        <f>SUM(J113:J114)</f>
        <v>998.46091350140671</v>
      </c>
      <c r="K115" s="564"/>
      <c r="L115" s="565"/>
      <c r="M115" s="564">
        <f>IF(OR(J115=0,Q115=""),"",Q115/J115-1)</f>
        <v>-0.12602670941933058</v>
      </c>
      <c r="N115" s="566"/>
      <c r="O115" s="487"/>
      <c r="P115" s="487"/>
      <c r="Q115" s="487">
        <f>SUM(Q113:Q114)</f>
        <v>872.62817008900561</v>
      </c>
      <c r="R115" s="564"/>
      <c r="S115" s="564"/>
      <c r="T115" s="611"/>
      <c r="U115" s="596"/>
      <c r="V115" s="564"/>
      <c r="W115" s="564"/>
      <c r="X115" s="564"/>
      <c r="Y115" s="564"/>
      <c r="Z115" s="564"/>
      <c r="AA115" s="564"/>
      <c r="AB115" s="564"/>
      <c r="AC115" s="564"/>
      <c r="AD115" s="564"/>
      <c r="AE115" s="564"/>
      <c r="AF115" s="564"/>
      <c r="AG115" s="564"/>
      <c r="AH115" s="564"/>
      <c r="AI115" s="564"/>
      <c r="AJ115" s="564"/>
    </row>
    <row r="116" spans="2:36" x14ac:dyDescent="0.35">
      <c r="F116" s="258"/>
      <c r="H116" s="482"/>
      <c r="I116" s="482"/>
      <c r="J116" s="482"/>
      <c r="K116" s="484"/>
      <c r="L116" s="567"/>
      <c r="M116" s="484"/>
      <c r="N116" s="568"/>
      <c r="O116" s="482"/>
      <c r="P116" s="482"/>
      <c r="Q116" s="482"/>
      <c r="R116" s="484"/>
      <c r="S116" s="484"/>
      <c r="T116" s="607"/>
      <c r="U116" s="484"/>
      <c r="V116" s="484"/>
      <c r="W116" s="484"/>
      <c r="X116" s="484"/>
      <c r="Y116" s="484"/>
      <c r="Z116" s="484"/>
      <c r="AA116" s="484"/>
      <c r="AB116" s="484"/>
      <c r="AC116" s="484"/>
      <c r="AD116" s="484"/>
      <c r="AE116" s="484"/>
      <c r="AF116" s="484"/>
      <c r="AG116" s="484"/>
      <c r="AH116" s="484"/>
      <c r="AI116" s="484"/>
      <c r="AJ116" s="484"/>
    </row>
    <row r="117" spans="2:36" s="570" customFormat="1" x14ac:dyDescent="0.35">
      <c r="B117" s="571" t="s">
        <v>4</v>
      </c>
      <c r="C117" s="571" t="s">
        <v>6</v>
      </c>
      <c r="D117" s="571" t="s">
        <v>272</v>
      </c>
      <c r="F117" s="485"/>
      <c r="H117" s="574"/>
      <c r="I117" s="574"/>
      <c r="J117" s="574"/>
      <c r="K117" s="575"/>
      <c r="L117" s="581"/>
      <c r="M117" s="575"/>
      <c r="N117" s="582"/>
      <c r="O117" s="574"/>
      <c r="P117" s="574"/>
      <c r="Q117" s="574"/>
      <c r="R117" s="575"/>
      <c r="S117" s="575"/>
      <c r="T117" s="612"/>
      <c r="U117" s="575"/>
      <c r="V117" s="575"/>
      <c r="W117" s="575"/>
      <c r="X117" s="575"/>
      <c r="Y117" s="575"/>
      <c r="Z117" s="575"/>
      <c r="AA117" s="575"/>
      <c r="AB117" s="575"/>
      <c r="AC117" s="575"/>
      <c r="AD117" s="575"/>
      <c r="AE117" s="575"/>
      <c r="AF117" s="575"/>
      <c r="AG117" s="575"/>
      <c r="AH117" s="575"/>
      <c r="AI117" s="575"/>
      <c r="AJ117" s="575"/>
    </row>
    <row r="118" spans="2:36" s="570" customFormat="1" x14ac:dyDescent="0.35">
      <c r="B118" s="570" t="str">
        <f t="shared" ref="B118:B156" si="55">B117</f>
        <v>Endeavour</v>
      </c>
      <c r="C118" s="570" t="str">
        <f t="shared" ref="C118:C156" si="56">C117</f>
        <v>Residential</v>
      </c>
      <c r="D118" s="570" t="str">
        <f t="shared" ref="D118:D156" si="57">D117</f>
        <v>time of use</v>
      </c>
      <c r="E118" s="615" t="s">
        <v>279</v>
      </c>
      <c r="F118" s="485" cm="1">
        <f t="array" ref="F118">_xlfn.XLOOKUP(1,($B118=DistributionZone)*($C118=CustomerType)*($D118=tariffL2)*($F$5=Description),valuesPY)*_xlfn.XLOOKUP(1,($B118=DistributionZone)*($C118=CustomerType)*($D118=tariffL2)*($E118=tariffType)*("Usage proportion"=Description),valuesFY)</f>
        <v>3254.3760390086245</v>
      </c>
      <c r="G118" s="570" t="s">
        <v>69</v>
      </c>
      <c r="H118" s="574"/>
      <c r="I118" s="675" cm="1">
        <f t="array" ref="I118">IFERROR(_xlfn.XLOOKUP(1,($B118=DistributionZone)*($C118=CustomerType)*($E118=tariffType)*("WEC scale"=Description),valuesPY),0)*$I$105</f>
        <v>0</v>
      </c>
      <c r="J118" s="574">
        <f t="shared" ref="J118:J123" si="58">H118+I118*F118/1000</f>
        <v>0</v>
      </c>
      <c r="K118" s="575" t="str">
        <f>IFERROR(J118/J126,"")</f>
        <v/>
      </c>
      <c r="L118" s="575"/>
      <c r="M118" s="575" t="str">
        <f t="shared" ref="M118:M125" si="59">IF(OR(J118=0,Q118=""),"",Q118/J118-1)</f>
        <v/>
      </c>
      <c r="N118" s="576"/>
      <c r="O118" s="574"/>
      <c r="P118" s="574" cm="1">
        <f t="array" ref="P118">IFERROR(_xlfn.XLOOKUP(1,($B118=DistributionZone)*($C118=CustomerType)*($E118=tariffType)*("WEC"=Description),valuesFY),0)</f>
        <v>160.80421318471832</v>
      </c>
      <c r="Q118" s="574">
        <f>O118+P118*F118/1000</f>
        <v>523.31737835998206</v>
      </c>
      <c r="R118" s="575">
        <f>IFERROR(Q118/Q126,"")</f>
        <v>0.89109471114215555</v>
      </c>
      <c r="S118" s="575"/>
      <c r="T118" s="627"/>
      <c r="U118" s="628"/>
      <c r="V118" s="603"/>
      <c r="W118" s="629"/>
      <c r="X118" s="575"/>
      <c r="Y118" s="575"/>
      <c r="Z118" s="575"/>
      <c r="AA118" s="575"/>
      <c r="AB118" s="575"/>
      <c r="AC118" s="575"/>
      <c r="AD118" s="575"/>
      <c r="AE118" s="575"/>
      <c r="AF118" s="575"/>
      <c r="AG118" s="575"/>
      <c r="AH118" s="575"/>
      <c r="AI118" s="575"/>
      <c r="AJ118" s="575"/>
    </row>
    <row r="119" spans="2:36" s="570" customFormat="1" x14ac:dyDescent="0.35">
      <c r="B119" s="570" t="str">
        <f t="shared" si="55"/>
        <v>Endeavour</v>
      </c>
      <c r="C119" s="570" t="str">
        <f t="shared" si="56"/>
        <v>Residential</v>
      </c>
      <c r="D119" s="570" t="str">
        <f t="shared" si="57"/>
        <v>time of use</v>
      </c>
      <c r="E119" s="615" t="s">
        <v>279</v>
      </c>
      <c r="F119" s="485" cm="1">
        <f t="array" ref="F119">_xlfn.XLOOKUP(1,($B119=DistributionZone)*($C119=CustomerType)*($D119=tariffL2)*($F$5=Description),valuesPY)*_xlfn.XLOOKUP(1,($B119=DistributionZone)*($C119=CustomerType)*($D119=tariffL2)*($E119=tariffType)*("Usage proportion"=Description),valuesFY)</f>
        <v>3254.3760390086245</v>
      </c>
      <c r="G119" s="570" t="s">
        <v>70</v>
      </c>
      <c r="H119" s="574"/>
      <c r="I119" s="574" cm="1">
        <f t="array" ref="I119">IFERROR(_xlfn.XLOOKUP(1,($B119=DistributionZone)*($I$5=Desc_FixedOrVar)*($G119=Description),valuesPY),0)</f>
        <v>0.15378802592718904</v>
      </c>
      <c r="J119" s="574">
        <f t="shared" si="58"/>
        <v>0.50048406666388112</v>
      </c>
      <c r="K119" s="575" t="str">
        <f>IFERROR(J119/J126,"")</f>
        <v/>
      </c>
      <c r="L119" s="575"/>
      <c r="M119" s="575">
        <f t="shared" si="59"/>
        <v>-0.19621579764116659</v>
      </c>
      <c r="N119" s="576"/>
      <c r="O119" s="574"/>
      <c r="P119" s="574" cm="1">
        <f t="array" ref="P119">IFERROR(_xlfn.XLOOKUP(1,($B119=DistributionZone)*($I$5=Desc_FixedOrVar)*($G119=Description),valuesFY),0)</f>
        <v>0.12361238575222523</v>
      </c>
      <c r="Q119" s="574">
        <f t="shared" ref="Q119:Q125" si="60">IF(AND(O119="",P119=""),"",O119+P119*$F119/1000)</f>
        <v>0.40228118631673287</v>
      </c>
      <c r="R119" s="575">
        <f>IFERROR(Q119/Q126,"")</f>
        <v>6.849966241179291E-4</v>
      </c>
      <c r="S119" s="575"/>
      <c r="T119" s="627"/>
      <c r="U119" s="628"/>
      <c r="V119" s="603"/>
      <c r="W119" s="629"/>
      <c r="X119" s="575"/>
      <c r="Y119" s="575"/>
      <c r="Z119" s="575"/>
      <c r="AA119" s="575"/>
      <c r="AB119" s="575"/>
      <c r="AC119" s="575"/>
      <c r="AD119" s="575"/>
      <c r="AE119" s="575"/>
      <c r="AF119" s="575"/>
      <c r="AG119" s="575"/>
      <c r="AH119" s="575"/>
      <c r="AI119" s="575"/>
      <c r="AJ119" s="575"/>
    </row>
    <row r="120" spans="2:36" s="570" customFormat="1" x14ac:dyDescent="0.35">
      <c r="B120" s="570" t="str">
        <f t="shared" si="55"/>
        <v>Endeavour</v>
      </c>
      <c r="C120" s="570" t="str">
        <f t="shared" si="56"/>
        <v>Residential</v>
      </c>
      <c r="D120" s="570" t="str">
        <f t="shared" si="57"/>
        <v>time of use</v>
      </c>
      <c r="E120" s="615" t="s">
        <v>279</v>
      </c>
      <c r="F120" s="485" cm="1">
        <f t="array" ref="F120">_xlfn.XLOOKUP(1,($B120=DistributionZone)*($C120=CustomerType)*($D120=tariffL2)*($F$5=Description),valuesPY)*_xlfn.XLOOKUP(1,($B120=DistributionZone)*($C120=CustomerType)*($D120=tariffL2)*($E120=tariffType)*("Usage proportion"=Description),valuesFY)</f>
        <v>3254.3760390086245</v>
      </c>
      <c r="G120" s="570" t="s">
        <v>77</v>
      </c>
      <c r="H120" s="574" cm="1">
        <f t="array" ref="H120">IFERROR(_xlfn.XLOOKUP(1,($B120=DistributionZone)*(H$5=Desc_FixedOrVar)*($G120=Description),valuesPY),0)*Days/7</f>
        <v>13.835244134497829</v>
      </c>
      <c r="I120" s="574" cm="1">
        <f t="array" ref="I120">IFERROR(_xlfn.XLOOKUP(1,($B120=DistributionZone)*($I$5=Desc_FixedOrVar)*($G120=Description),valuesPY),0)</f>
        <v>0.57443</v>
      </c>
      <c r="J120" s="574">
        <f t="shared" si="58"/>
        <v>15.704655362585553</v>
      </c>
      <c r="K120" s="575" t="str">
        <f>IFERROR(J120/J126,"")</f>
        <v/>
      </c>
      <c r="L120" s="575"/>
      <c r="M120" s="575">
        <f t="shared" si="59"/>
        <v>-5.6603117190476504E-2</v>
      </c>
      <c r="N120" s="576"/>
      <c r="O120" s="574" cm="1">
        <f t="array" ref="O120">IFERROR(_xlfn.XLOOKUP(1,($B120=DistributionZone)*(O$5=Desc_FixedOrVar)*($G120=Description),valuesFY),0)*Days/7</f>
        <v>13.125399999999999</v>
      </c>
      <c r="P120" s="574" cm="1">
        <f t="array" ref="P120">IFERROR(_xlfn.XLOOKUP(1,($B120=DistributionZone)*($I$5=Desc_FixedOrVar)*($G120=Description),valuesFY),0)</f>
        <v>0.51939999999999997</v>
      </c>
      <c r="Q120" s="574">
        <f t="shared" si="60"/>
        <v>14.815722914661078</v>
      </c>
      <c r="R120" s="575">
        <f>IFERROR(Q120/Q126,"")</f>
        <v>2.5227926449483448E-2</v>
      </c>
      <c r="S120" s="575"/>
      <c r="T120" s="627"/>
      <c r="U120" s="628"/>
      <c r="V120" s="603"/>
      <c r="W120" s="629"/>
      <c r="X120" s="575"/>
      <c r="Y120" s="575"/>
      <c r="Z120" s="575"/>
      <c r="AA120" s="575"/>
      <c r="AB120" s="575"/>
      <c r="AC120" s="575"/>
      <c r="AD120" s="575"/>
      <c r="AE120" s="575"/>
      <c r="AF120" s="575"/>
      <c r="AG120" s="575"/>
      <c r="AH120" s="575"/>
      <c r="AI120" s="575"/>
      <c r="AJ120" s="575"/>
    </row>
    <row r="121" spans="2:36" s="570" customFormat="1" x14ac:dyDescent="0.35">
      <c r="B121" s="570" t="str">
        <f t="shared" si="55"/>
        <v>Endeavour</v>
      </c>
      <c r="C121" s="570" t="str">
        <f t="shared" si="56"/>
        <v>Residential</v>
      </c>
      <c r="D121" s="570" t="str">
        <f t="shared" si="57"/>
        <v>time of use</v>
      </c>
      <c r="E121" s="615" t="s">
        <v>279</v>
      </c>
      <c r="F121" s="485" cm="1">
        <f t="array" ref="F121">_xlfn.XLOOKUP(1,($B121=DistributionZone)*($C121=CustomerType)*($D121=tariffL2)*($F$5=Description),valuesPY)*_xlfn.XLOOKUP(1,($B121=DistributionZone)*($C121=CustomerType)*($D121=tariffL2)*($E121=tariffType)*("Usage proportion"=Description),valuesFY)</f>
        <v>3254.3760390086245</v>
      </c>
      <c r="G121" s="570" t="s">
        <v>71</v>
      </c>
      <c r="H121" s="574"/>
      <c r="I121" s="574" cm="1">
        <f t="array" ref="I121">IFERROR(_xlfn.XLOOKUP(1,($B121=DistributionZone)*($I$5=Desc_FixedOrVar)*($G121=Description),valuesPY),0)</f>
        <v>5.2786233739509421E-2</v>
      </c>
      <c r="J121" s="574">
        <f t="shared" si="58"/>
        <v>0.17178625427136807</v>
      </c>
      <c r="K121" s="575" t="str">
        <f>IFERROR(J121/J126,"")</f>
        <v/>
      </c>
      <c r="L121" s="575"/>
      <c r="M121" s="575">
        <f t="shared" si="59"/>
        <v>1.413017537285187</v>
      </c>
      <c r="N121" s="576"/>
      <c r="O121" s="574"/>
      <c r="P121" s="574" cm="1">
        <f t="array" ref="P121">IFERROR(_xlfn.XLOOKUP(1,($B121=DistributionZone)*($I$5=Desc_FixedOrVar)*($G121=Description),valuesFY),0)</f>
        <v>0.12737410774067126</v>
      </c>
      <c r="Q121" s="574">
        <f t="shared" si="60"/>
        <v>0.41452324422134351</v>
      </c>
      <c r="R121" s="575">
        <f>IFERROR(Q121/Q126,"")</f>
        <v>7.0584216356185442E-4</v>
      </c>
      <c r="S121" s="575"/>
      <c r="T121" s="627"/>
      <c r="U121" s="628"/>
      <c r="V121" s="603"/>
      <c r="W121" s="629"/>
      <c r="X121" s="575"/>
      <c r="Y121" s="575"/>
      <c r="Z121" s="575"/>
      <c r="AA121" s="575"/>
      <c r="AB121" s="575"/>
      <c r="AC121" s="575"/>
      <c r="AD121" s="575"/>
      <c r="AE121" s="575"/>
      <c r="AF121" s="575"/>
      <c r="AG121" s="575"/>
      <c r="AH121" s="575"/>
      <c r="AI121" s="575"/>
      <c r="AJ121" s="575"/>
    </row>
    <row r="122" spans="2:36" s="570" customFormat="1" x14ac:dyDescent="0.35">
      <c r="B122" s="570" t="str">
        <f t="shared" si="55"/>
        <v>Endeavour</v>
      </c>
      <c r="C122" s="570" t="str">
        <f t="shared" si="56"/>
        <v>Residential</v>
      </c>
      <c r="D122" s="570" t="str">
        <f t="shared" si="57"/>
        <v>time of use</v>
      </c>
      <c r="E122" s="615" t="s">
        <v>279</v>
      </c>
      <c r="F122" s="485" cm="1">
        <f t="array" ref="F122">_xlfn.XLOOKUP(1,($B122=DistributionZone)*($C122=CustomerType)*($D122=tariffL2)*($F$5=Description),valuesPY)*_xlfn.XLOOKUP(1,($B122=DistributionZone)*($C122=CustomerType)*($D122=tariffL2)*($E122=tariffType)*("Usage proportion"=Description),valuesFY)</f>
        <v>3254.3760390086245</v>
      </c>
      <c r="G122" s="570" t="s">
        <v>173</v>
      </c>
      <c r="H122" s="574"/>
      <c r="I122" s="574" cm="1">
        <f t="array" ref="I122">IFERROR(_xlfn.XLOOKUP(1,($B122=DistributionZone)*($I$5=Desc_FixedOrVar)*($G122=Description),valuesPY),0)</f>
        <v>0.11507709849820914</v>
      </c>
      <c r="J122" s="574">
        <f t="shared" si="58"/>
        <v>0.37450415199120723</v>
      </c>
      <c r="K122" s="575" t="str">
        <f>IFERROR(J122/J126,"")</f>
        <v/>
      </c>
      <c r="L122" s="575"/>
      <c r="M122" s="575">
        <f t="shared" si="59"/>
        <v>-1</v>
      </c>
      <c r="N122" s="576"/>
      <c r="O122" s="574"/>
      <c r="P122" s="574" cm="1">
        <f t="array" ref="P122">IFERROR(_xlfn.XLOOKUP(1,($B122=DistributionZone)*($I$5=Desc_FixedOrVar)*($G122=Description),valuesFY),0)</f>
        <v>0</v>
      </c>
      <c r="Q122" s="574">
        <f t="shared" si="60"/>
        <v>0</v>
      </c>
      <c r="R122" s="575">
        <f>IFERROR(Q122/Q126,"")</f>
        <v>0</v>
      </c>
      <c r="S122" s="575"/>
      <c r="T122" s="627"/>
      <c r="U122" s="628"/>
      <c r="V122" s="603"/>
      <c r="W122" s="629"/>
      <c r="X122" s="575"/>
      <c r="Y122" s="575"/>
      <c r="Z122" s="575"/>
      <c r="AA122" s="575"/>
      <c r="AB122" s="575"/>
      <c r="AC122" s="575"/>
      <c r="AD122" s="575"/>
      <c r="AE122" s="575"/>
      <c r="AF122" s="575"/>
      <c r="AG122" s="575"/>
      <c r="AH122" s="575"/>
      <c r="AI122" s="575"/>
      <c r="AJ122" s="575"/>
    </row>
    <row r="123" spans="2:36" s="570" customFormat="1" x14ac:dyDescent="0.35">
      <c r="B123" s="570" t="str">
        <f t="shared" si="55"/>
        <v>Endeavour</v>
      </c>
      <c r="C123" s="570" t="str">
        <f t="shared" si="56"/>
        <v>Residential</v>
      </c>
      <c r="D123" s="570" t="str">
        <f t="shared" si="57"/>
        <v>time of use</v>
      </c>
      <c r="E123" s="615" t="s">
        <v>279</v>
      </c>
      <c r="F123" s="485" cm="1">
        <f t="array" ref="F123">_xlfn.XLOOKUP(1,($B123=DistributionZone)*($C123=CustomerType)*($D123=tariffL2)*($F$5=Description),valuesPY)*_xlfn.XLOOKUP(1,($B123=DistributionZone)*($C123=CustomerType)*($D123=tariffL2)*($E123=tariffType)*("Usage proportion"=Description),valuesFY)</f>
        <v>3254.3760390086245</v>
      </c>
      <c r="G123" s="570" t="s">
        <v>130</v>
      </c>
      <c r="H123" s="574"/>
      <c r="I123" s="574" cm="1">
        <f t="array" ref="I123">IFERROR(_xlfn.XLOOKUP(1,($B123=DistributionZone)*($I$5=Desc_FixedOrVar)*($G123=Description),valuesPY),0)</f>
        <v>3.1348835402205433</v>
      </c>
      <c r="J123" s="574">
        <f t="shared" si="58"/>
        <v>10.202089878376267</v>
      </c>
      <c r="K123" s="575" t="str">
        <f>IFERROR(J123/J126,"")</f>
        <v/>
      </c>
      <c r="L123" s="575"/>
      <c r="M123" s="575">
        <f t="shared" si="59"/>
        <v>-7.2394778388588654E-2</v>
      </c>
      <c r="N123" s="576"/>
      <c r="O123" s="574"/>
      <c r="P123" s="574" cm="1">
        <f t="array" ref="P123">IFERROR(_xlfn.XLOOKUP(1,($B123=DistributionZone)*($I$5=Desc_FixedOrVar)*($G123=Description),valuesFY),0)</f>
        <v>2.9079343410522429</v>
      </c>
      <c r="Q123" s="574">
        <f t="shared" si="60"/>
        <v>9.4635118425307532</v>
      </c>
      <c r="R123" s="575">
        <f>IFERROR(Q123/Q126,"")</f>
        <v>1.6114284945281249E-2</v>
      </c>
      <c r="S123" s="575"/>
      <c r="T123" s="627"/>
      <c r="U123" s="628"/>
      <c r="V123" s="603"/>
      <c r="W123" s="630"/>
      <c r="X123" s="575"/>
      <c r="Y123" s="575"/>
      <c r="Z123" s="575"/>
      <c r="AA123" s="575"/>
      <c r="AB123" s="575"/>
      <c r="AC123" s="575"/>
      <c r="AD123" s="575"/>
      <c r="AE123" s="575"/>
      <c r="AF123" s="575"/>
      <c r="AG123" s="575"/>
      <c r="AH123" s="575"/>
      <c r="AI123" s="575"/>
      <c r="AJ123" s="575"/>
    </row>
    <row r="124" spans="2:36" s="570" customFormat="1" x14ac:dyDescent="0.35">
      <c r="B124" s="570" t="str">
        <f t="shared" si="55"/>
        <v>Endeavour</v>
      </c>
      <c r="C124" s="570" t="str">
        <f t="shared" si="56"/>
        <v>Residential</v>
      </c>
      <c r="D124" s="570" t="str">
        <f t="shared" si="57"/>
        <v>time of use</v>
      </c>
      <c r="E124" s="615" t="s">
        <v>279</v>
      </c>
      <c r="F124" s="485" cm="1">
        <f t="array" ref="F124">_xlfn.XLOOKUP(1,($B124=DistributionZone)*($C124=CustomerType)*($D124=tariffL2)*($F$5=Description),valuesPY)*_xlfn.XLOOKUP(1,($B124=DistributionZone)*($C124=CustomerType)*($D124=tariffL2)*($E124=tariffType)*("Usage proportion"=Description),valuesFY)</f>
        <v>3254.3760390086245</v>
      </c>
      <c r="G124" s="570" t="s">
        <v>302</v>
      </c>
      <c r="H124" s="574"/>
      <c r="I124" s="574"/>
      <c r="J124" s="574"/>
      <c r="K124" s="575"/>
      <c r="L124" s="575"/>
      <c r="M124" s="575"/>
      <c r="N124" s="576"/>
      <c r="O124" s="574"/>
      <c r="P124" s="574" cm="1">
        <f t="array" ref="P124">IFERROR(_xlfn.XLOOKUP(1,($B124=DistributionZone)*($D124=tariffL2)*($G124=Description),valuesFY),0)</f>
        <v>2.0909999999999997</v>
      </c>
      <c r="Q124" s="574">
        <f t="shared" ref="Q124" si="61">IF(AND(O124="",P124=""),"",O124+P124*$F124/1000)</f>
        <v>6.8049002975670332</v>
      </c>
      <c r="R124" s="575">
        <f>IFERROR(Q124/Q126,"")</f>
        <v>1.1587252622901547E-2</v>
      </c>
      <c r="S124" s="575"/>
      <c r="T124" s="627"/>
      <c r="U124" s="628"/>
      <c r="V124" s="603"/>
      <c r="W124" s="630"/>
      <c r="X124" s="575"/>
      <c r="Y124" s="575"/>
      <c r="Z124" s="575"/>
      <c r="AA124" s="575"/>
      <c r="AB124" s="575"/>
      <c r="AC124" s="575"/>
      <c r="AD124" s="575"/>
      <c r="AE124" s="575"/>
      <c r="AF124" s="575"/>
      <c r="AG124" s="575"/>
      <c r="AH124" s="575"/>
      <c r="AI124" s="575"/>
      <c r="AJ124" s="575"/>
    </row>
    <row r="125" spans="2:36" s="570" customFormat="1" x14ac:dyDescent="0.35">
      <c r="B125" s="570" t="str">
        <f>B123</f>
        <v>Endeavour</v>
      </c>
      <c r="C125" s="570" t="str">
        <f>C123</f>
        <v>Residential</v>
      </c>
      <c r="D125" s="570" t="str">
        <f>D123</f>
        <v>time of use</v>
      </c>
      <c r="E125" s="615" t="s">
        <v>279</v>
      </c>
      <c r="F125" s="485" cm="1">
        <f t="array" ref="F125">_xlfn.XLOOKUP(1,($B125=DistributionZone)*($C125=CustomerType)*($D125=tariffL2)*($F$5=Description),valuesPY)*_xlfn.XLOOKUP(1,($B125=DistributionZone)*($C125=CustomerType)*($D125=tariffL2)*($E125=tariffType)*("Usage proportion"=Description),valuesFY)</f>
        <v>3254.3760390086245</v>
      </c>
      <c r="G125" s="570" t="s">
        <v>72</v>
      </c>
      <c r="H125" s="574"/>
      <c r="I125" s="574" cm="1">
        <f t="array" ref="I125">IFERROR(_xlfn.XLOOKUP(1,($B125=DistributionZone)*($C125=CustomerType)*("Losses"=Description),valuesPY),0)*SUM(I118:I123)</f>
        <v>0.2566966818870644</v>
      </c>
      <c r="J125" s="574">
        <f>I125*F125/1000</f>
        <v>0.83538753082628159</v>
      </c>
      <c r="K125" s="575" t="str">
        <f>IFERROR(J125/J126,"")</f>
        <v/>
      </c>
      <c r="L125" s="575"/>
      <c r="M125" s="575">
        <f t="shared" si="59"/>
        <v>37.373066483191927</v>
      </c>
      <c r="N125" s="576"/>
      <c r="O125" s="574"/>
      <c r="P125" s="574" cm="1">
        <f t="array" ref="P125">IFERROR(_xlfn.XLOOKUP(1,($B125=DistributionZone)*($C125=CustomerType)*("Losses"=Description)*($D125=tariffType)*($P$5=Desc_FixedOrVar),valuesFY),0)*SUM(P118:P124)</f>
        <v>9.8502388400670906</v>
      </c>
      <c r="Q125" s="574">
        <f t="shared" si="60"/>
        <v>32.056381259626448</v>
      </c>
      <c r="R125" s="575">
        <f>IFERROR(Q125/Q126,"")</f>
        <v>5.4584986052498376E-2</v>
      </c>
      <c r="S125" s="575"/>
      <c r="T125" s="627"/>
      <c r="U125" s="628"/>
      <c r="V125" s="603"/>
      <c r="X125" s="575"/>
      <c r="Y125" s="575"/>
      <c r="Z125" s="575"/>
      <c r="AA125" s="575"/>
      <c r="AB125" s="575"/>
      <c r="AC125" s="575"/>
      <c r="AD125" s="575"/>
      <c r="AE125" s="575"/>
      <c r="AF125" s="575"/>
      <c r="AG125" s="575"/>
      <c r="AH125" s="575"/>
      <c r="AI125" s="575"/>
      <c r="AJ125" s="575"/>
    </row>
    <row r="126" spans="2:36" s="571" customFormat="1" x14ac:dyDescent="0.35">
      <c r="B126" s="570" t="str">
        <f t="shared" si="55"/>
        <v>Endeavour</v>
      </c>
      <c r="C126" s="570" t="str">
        <f t="shared" si="56"/>
        <v>Residential</v>
      </c>
      <c r="D126" s="570" t="str">
        <f t="shared" si="57"/>
        <v>time of use</v>
      </c>
      <c r="E126" s="615" t="s">
        <v>279</v>
      </c>
      <c r="F126" s="584"/>
      <c r="G126" s="571" t="s">
        <v>55</v>
      </c>
      <c r="H126" s="577"/>
      <c r="I126" s="577">
        <f>IF($H$3=PY,0,SUM(I118:I125))</f>
        <v>0</v>
      </c>
      <c r="J126" s="577">
        <f>IF($H$3=PY,0,F118*I126/1000+SUM(H118:H125))</f>
        <v>0</v>
      </c>
      <c r="K126" s="578"/>
      <c r="L126" s="579"/>
      <c r="M126" s="578"/>
      <c r="N126" s="580"/>
      <c r="O126" s="577"/>
      <c r="P126" s="577">
        <f>SUM(P118:P125)</f>
        <v>176.42377285933057</v>
      </c>
      <c r="Q126" s="577">
        <f>O120+P126*$F$118/1000</f>
        <v>587.27469910490549</v>
      </c>
      <c r="R126" s="578"/>
      <c r="S126" s="578"/>
      <c r="T126" s="621"/>
      <c r="U126" s="625"/>
      <c r="V126" s="603"/>
      <c r="W126" s="629"/>
      <c r="X126" s="578"/>
      <c r="Y126" s="578"/>
      <c r="Z126" s="578"/>
      <c r="AA126" s="578"/>
      <c r="AB126" s="578"/>
      <c r="AC126" s="578"/>
      <c r="AD126" s="578"/>
      <c r="AE126" s="578"/>
      <c r="AF126" s="578"/>
      <c r="AG126" s="578"/>
      <c r="AH126" s="578"/>
      <c r="AI126" s="578"/>
      <c r="AJ126" s="578"/>
    </row>
    <row r="127" spans="2:36" s="570" customFormat="1" x14ac:dyDescent="0.35">
      <c r="B127" s="570" t="str">
        <f t="shared" si="55"/>
        <v>Endeavour</v>
      </c>
      <c r="C127" s="570" t="str">
        <f t="shared" si="56"/>
        <v>Residential</v>
      </c>
      <c r="D127" s="570" t="str">
        <f t="shared" si="57"/>
        <v>time of use</v>
      </c>
      <c r="E127" s="615" t="s">
        <v>280</v>
      </c>
      <c r="F127" s="485" cm="1">
        <f t="array" ref="F127">_xlfn.XLOOKUP(1,($B127=DistributionZone)*($C127=CustomerType)*($D127=tariffL2)*($F$5=Description),valuesPY)*_xlfn.XLOOKUP(1,($B127=DistributionZone)*($C127=CustomerType)*($D127=tariffL2)*($E127=tariffType)*("Usage proportion"=Description),valuesFY)</f>
        <v>327.11329612094818</v>
      </c>
      <c r="G127" s="570" t="s">
        <v>69</v>
      </c>
      <c r="H127" s="574"/>
      <c r="I127" s="574" cm="1">
        <f t="array" ref="I127">IFERROR(_xlfn.XLOOKUP(1,($B127=DistributionZone)*($C127=CustomerType)*($E127=tariffType)*("WEC scale"=Description),valuesPY),0)*$I$105</f>
        <v>0</v>
      </c>
      <c r="J127" s="574">
        <f t="shared" ref="J127:J132" si="62">H127+I127*F127/1000</f>
        <v>0</v>
      </c>
      <c r="K127" s="575" t="str">
        <f>IFERROR(J127/J135,"")</f>
        <v/>
      </c>
      <c r="L127" s="575"/>
      <c r="M127" s="575" t="str">
        <f t="shared" ref="M127:M134" si="63">IF(OR(J127=0,Q127=""),"",Q127/J127-1)</f>
        <v/>
      </c>
      <c r="N127" s="576"/>
      <c r="O127" s="574"/>
      <c r="P127" s="574" cm="1">
        <f t="array" ref="P127">IFERROR(_xlfn.XLOOKUP(1,($B127=DistributionZone)*($C127=CustomerType)*($E127=tariffType)*("WEC"=Description),valuesFY),0)</f>
        <v>138.00642699939837</v>
      </c>
      <c r="Q127" s="574">
        <f>O127+P127*F127/1000</f>
        <v>45.143737221648216</v>
      </c>
      <c r="R127" s="575">
        <f>IFERROR(Q127/Q135,"")</f>
        <v>0.90628036600722728</v>
      </c>
      <c r="S127" s="575"/>
      <c r="T127" s="613"/>
      <c r="U127" s="575"/>
      <c r="V127" s="603"/>
      <c r="W127" s="603"/>
      <c r="X127" s="575"/>
      <c r="Y127" s="575"/>
      <c r="Z127" s="575"/>
      <c r="AA127" s="575"/>
      <c r="AB127" s="575"/>
      <c r="AC127" s="575"/>
      <c r="AD127" s="575"/>
      <c r="AE127" s="575"/>
      <c r="AF127" s="575"/>
      <c r="AG127" s="575"/>
      <c r="AH127" s="575"/>
      <c r="AI127" s="575"/>
      <c r="AJ127" s="575"/>
    </row>
    <row r="128" spans="2:36" s="570" customFormat="1" x14ac:dyDescent="0.35">
      <c r="B128" s="570" t="str">
        <f t="shared" si="55"/>
        <v>Endeavour</v>
      </c>
      <c r="C128" s="570" t="str">
        <f t="shared" si="56"/>
        <v>Residential</v>
      </c>
      <c r="D128" s="570" t="str">
        <f t="shared" si="57"/>
        <v>time of use</v>
      </c>
      <c r="E128" s="615" t="s">
        <v>280</v>
      </c>
      <c r="F128" s="485" cm="1">
        <f t="array" ref="F128">_xlfn.XLOOKUP(1,($B128=DistributionZone)*($C128=CustomerType)*($D128=tariffL2)*($F$5=Description),valuesPY)*_xlfn.XLOOKUP(1,($B128=DistributionZone)*($C128=CustomerType)*($D128=tariffL2)*($E128=tariffType)*("Usage proportion"=Description),valuesFY)</f>
        <v>327.11329612094818</v>
      </c>
      <c r="G128" s="570" t="s">
        <v>70</v>
      </c>
      <c r="H128" s="574"/>
      <c r="I128" s="574" cm="1">
        <f t="array" ref="I128">IFERROR(_xlfn.XLOOKUP(1,($B128=DistributionZone)*($I$5=Desc_FixedOrVar)*($G128=Description),valuesPY),0)</f>
        <v>0.15378802592718904</v>
      </c>
      <c r="J128" s="574">
        <f t="shared" si="62"/>
        <v>5.0306108064976651E-2</v>
      </c>
      <c r="K128" s="575" t="str">
        <f>IFERROR(J128/J135,"")</f>
        <v/>
      </c>
      <c r="L128" s="575"/>
      <c r="M128" s="575">
        <f t="shared" si="63"/>
        <v>-0.19621579764116681</v>
      </c>
      <c r="N128" s="576"/>
      <c r="O128" s="574"/>
      <c r="P128" s="574" cm="1">
        <f t="array" ref="P128">IFERROR(_xlfn.XLOOKUP(1,($B128=DistributionZone)*($I$5=Desc_FixedOrVar)*($G128=Description),valuesFY),0)</f>
        <v>0.12361238575222523</v>
      </c>
      <c r="Q128" s="574">
        <f t="shared" ref="Q128:Q134" si="64">IF(AND(O128="",P128=""),"",O128+P128*$F128/1000)</f>
        <v>4.0435254944784525E-2</v>
      </c>
      <c r="R128" s="575">
        <f>IFERROR(Q128/Q135,"")</f>
        <v>8.1175551485759151E-4</v>
      </c>
      <c r="S128" s="575"/>
      <c r="T128" s="612"/>
      <c r="U128" s="575"/>
      <c r="V128" s="575"/>
      <c r="W128" s="575"/>
      <c r="X128" s="575"/>
      <c r="Y128" s="575"/>
      <c r="Z128" s="575"/>
      <c r="AA128" s="575"/>
      <c r="AB128" s="575"/>
      <c r="AC128" s="575"/>
      <c r="AD128" s="575"/>
      <c r="AE128" s="575"/>
      <c r="AF128" s="575"/>
      <c r="AG128" s="575"/>
      <c r="AH128" s="575"/>
      <c r="AI128" s="575"/>
      <c r="AJ128" s="575"/>
    </row>
    <row r="129" spans="2:36" s="570" customFormat="1" x14ac:dyDescent="0.35">
      <c r="B129" s="570" t="str">
        <f t="shared" si="55"/>
        <v>Endeavour</v>
      </c>
      <c r="C129" s="570" t="str">
        <f t="shared" si="56"/>
        <v>Residential</v>
      </c>
      <c r="D129" s="570" t="str">
        <f t="shared" si="57"/>
        <v>time of use</v>
      </c>
      <c r="E129" s="615" t="s">
        <v>280</v>
      </c>
      <c r="F129" s="485" cm="1">
        <f t="array" ref="F129">_xlfn.XLOOKUP(1,($B129=DistributionZone)*($C129=CustomerType)*($D129=tariffL2)*($F$5=Description),valuesPY)*_xlfn.XLOOKUP(1,($B129=DistributionZone)*($C129=CustomerType)*($D129=tariffL2)*($E129=tariffType)*("Usage proportion"=Description),valuesFY)</f>
        <v>327.11329612094818</v>
      </c>
      <c r="G129" s="570" t="s">
        <v>77</v>
      </c>
      <c r="H129" s="574"/>
      <c r="I129" s="574" cm="1">
        <f t="array" ref="I129">IFERROR(_xlfn.XLOOKUP(1,($B129=DistributionZone)*($I$5=Desc_FixedOrVar)*($G129=Description),valuesPY),0)</f>
        <v>0.57443</v>
      </c>
      <c r="J129" s="574">
        <f t="shared" si="62"/>
        <v>0.18790369069075627</v>
      </c>
      <c r="K129" s="575" t="str">
        <f>IFERROR(J129/J135,"")</f>
        <v/>
      </c>
      <c r="L129" s="575"/>
      <c r="M129" s="575">
        <f t="shared" si="63"/>
        <v>-9.5799314102675726E-2</v>
      </c>
      <c r="N129" s="576"/>
      <c r="O129" s="574"/>
      <c r="P129" s="574" cm="1">
        <f t="array" ref="P129">IFERROR(_xlfn.XLOOKUP(1,($B129=DistributionZone)*($I$5=Desc_FixedOrVar)*($G129=Description),valuesFY),0)</f>
        <v>0.51939999999999997</v>
      </c>
      <c r="Q129" s="574">
        <f t="shared" si="64"/>
        <v>0.16990264600522048</v>
      </c>
      <c r="R129" s="575">
        <f>IFERROR(Q129/Q135,"")</f>
        <v>3.4108702930640031E-3</v>
      </c>
      <c r="S129" s="575"/>
      <c r="T129" s="612"/>
      <c r="U129" s="575"/>
      <c r="V129" s="575"/>
      <c r="W129" s="575"/>
      <c r="X129" s="575"/>
      <c r="Y129" s="575"/>
      <c r="Z129" s="575"/>
      <c r="AA129" s="575"/>
      <c r="AB129" s="575"/>
      <c r="AC129" s="575"/>
      <c r="AD129" s="575"/>
      <c r="AE129" s="575"/>
      <c r="AF129" s="575"/>
      <c r="AG129" s="575"/>
      <c r="AH129" s="575"/>
      <c r="AI129" s="575"/>
      <c r="AJ129" s="575"/>
    </row>
    <row r="130" spans="2:36" s="570" customFormat="1" x14ac:dyDescent="0.35">
      <c r="B130" s="570" t="str">
        <f t="shared" si="55"/>
        <v>Endeavour</v>
      </c>
      <c r="C130" s="570" t="str">
        <f t="shared" si="56"/>
        <v>Residential</v>
      </c>
      <c r="D130" s="570" t="str">
        <f t="shared" si="57"/>
        <v>time of use</v>
      </c>
      <c r="E130" s="615" t="s">
        <v>280</v>
      </c>
      <c r="F130" s="485" cm="1">
        <f t="array" ref="F130">_xlfn.XLOOKUP(1,($B130=DistributionZone)*($C130=CustomerType)*($D130=tariffL2)*($F$5=Description),valuesPY)*_xlfn.XLOOKUP(1,($B130=DistributionZone)*($C130=CustomerType)*($D130=tariffL2)*($E130=tariffType)*("Usage proportion"=Description),valuesFY)</f>
        <v>327.11329612094818</v>
      </c>
      <c r="G130" s="570" t="s">
        <v>71</v>
      </c>
      <c r="H130" s="574"/>
      <c r="I130" s="574" cm="1">
        <f t="array" ref="I130">IFERROR(_xlfn.XLOOKUP(1,($B130=DistributionZone)*($I$5=Desc_FixedOrVar)*($G130=Description),valuesPY),0)</f>
        <v>5.2786233739509421E-2</v>
      </c>
      <c r="J130" s="574">
        <f t="shared" si="62"/>
        <v>1.726707890834173E-2</v>
      </c>
      <c r="K130" s="575" t="str">
        <f>IFERROR(J130/J135,"")</f>
        <v/>
      </c>
      <c r="L130" s="575"/>
      <c r="M130" s="575">
        <f t="shared" si="63"/>
        <v>1.413017537285187</v>
      </c>
      <c r="N130" s="576"/>
      <c r="O130" s="574"/>
      <c r="P130" s="574" cm="1">
        <f t="array" ref="P130">IFERROR(_xlfn.XLOOKUP(1,($B130=DistributionZone)*($I$5=Desc_FixedOrVar)*($G130=Description),valuesFY),0)</f>
        <v>0.12737410774067126</v>
      </c>
      <c r="Q130" s="574">
        <f t="shared" si="64"/>
        <v>4.1665764223515755E-2</v>
      </c>
      <c r="R130" s="575">
        <f>IFERROR(Q130/Q135,"")</f>
        <v>8.364585294535796E-4</v>
      </c>
      <c r="S130" s="575"/>
      <c r="T130" s="612"/>
      <c r="U130" s="575"/>
      <c r="V130" s="575"/>
      <c r="W130" s="575"/>
      <c r="X130" s="575"/>
      <c r="Y130" s="575"/>
      <c r="Z130" s="575"/>
      <c r="AA130" s="575"/>
      <c r="AB130" s="575"/>
      <c r="AC130" s="575"/>
      <c r="AD130" s="575"/>
      <c r="AE130" s="575"/>
      <c r="AF130" s="575"/>
      <c r="AG130" s="575"/>
      <c r="AH130" s="575"/>
      <c r="AI130" s="575"/>
      <c r="AJ130" s="575"/>
    </row>
    <row r="131" spans="2:36" s="570" customFormat="1" x14ac:dyDescent="0.35">
      <c r="B131" s="570" t="str">
        <f t="shared" si="55"/>
        <v>Endeavour</v>
      </c>
      <c r="C131" s="570" t="str">
        <f t="shared" si="56"/>
        <v>Residential</v>
      </c>
      <c r="D131" s="570" t="str">
        <f t="shared" si="57"/>
        <v>time of use</v>
      </c>
      <c r="E131" s="615" t="s">
        <v>280</v>
      </c>
      <c r="F131" s="485" cm="1">
        <f t="array" ref="F131">_xlfn.XLOOKUP(1,($B131=DistributionZone)*($C131=CustomerType)*($D131=tariffL2)*($F$5=Description),valuesPY)*_xlfn.XLOOKUP(1,($B131=DistributionZone)*($C131=CustomerType)*($D131=tariffL2)*($E131=tariffType)*("Usage proportion"=Description),valuesFY)</f>
        <v>327.11329612094818</v>
      </c>
      <c r="G131" s="570" t="s">
        <v>173</v>
      </c>
      <c r="H131" s="574"/>
      <c r="I131" s="574" cm="1">
        <f t="array" ref="I131">IFERROR(_xlfn.XLOOKUP(1,($B131=DistributionZone)*($I$5=Desc_FixedOrVar)*($G131=Description),valuesPY),0)</f>
        <v>0.11507709849820914</v>
      </c>
      <c r="J131" s="574">
        <f t="shared" si="62"/>
        <v>3.7643248997784207E-2</v>
      </c>
      <c r="K131" s="575" t="str">
        <f>IFERROR(J131/J135,"")</f>
        <v/>
      </c>
      <c r="L131" s="575"/>
      <c r="M131" s="575">
        <f t="shared" si="63"/>
        <v>-1</v>
      </c>
      <c r="N131" s="576"/>
      <c r="O131" s="574"/>
      <c r="P131" s="574" cm="1">
        <f t="array" ref="P131">IFERROR(_xlfn.XLOOKUP(1,($B131=DistributionZone)*($I$5=Desc_FixedOrVar)*($G131=Description),valuesFY),0)</f>
        <v>0</v>
      </c>
      <c r="Q131" s="574">
        <f t="shared" si="64"/>
        <v>0</v>
      </c>
      <c r="R131" s="575">
        <f>IFERROR(Q131/Q135,"")</f>
        <v>0</v>
      </c>
      <c r="S131" s="575"/>
      <c r="T131" s="612"/>
      <c r="U131" s="575"/>
      <c r="V131" s="575"/>
      <c r="W131" s="575"/>
      <c r="X131" s="575"/>
      <c r="Y131" s="575"/>
      <c r="Z131" s="575"/>
      <c r="AA131" s="575"/>
      <c r="AB131" s="575"/>
      <c r="AC131" s="575"/>
      <c r="AD131" s="575"/>
      <c r="AE131" s="575"/>
      <c r="AF131" s="575"/>
      <c r="AG131" s="575"/>
      <c r="AH131" s="575"/>
      <c r="AI131" s="575"/>
      <c r="AJ131" s="575"/>
    </row>
    <row r="132" spans="2:36" s="570" customFormat="1" x14ac:dyDescent="0.35">
      <c r="B132" s="570" t="str">
        <f t="shared" si="55"/>
        <v>Endeavour</v>
      </c>
      <c r="C132" s="570" t="str">
        <f t="shared" si="56"/>
        <v>Residential</v>
      </c>
      <c r="D132" s="570" t="str">
        <f t="shared" si="57"/>
        <v>time of use</v>
      </c>
      <c r="E132" s="615" t="s">
        <v>280</v>
      </c>
      <c r="F132" s="485" cm="1">
        <f t="array" ref="F132">_xlfn.XLOOKUP(1,($B132=DistributionZone)*($C132=CustomerType)*($D132=tariffL2)*($F$5=Description),valuesPY)*_xlfn.XLOOKUP(1,($B132=DistributionZone)*($C132=CustomerType)*($D132=tariffL2)*($E132=tariffType)*("Usage proportion"=Description),valuesFY)</f>
        <v>327.11329612094818</v>
      </c>
      <c r="G132" s="570" t="s">
        <v>130</v>
      </c>
      <c r="H132" s="574"/>
      <c r="I132" s="574" cm="1">
        <f t="array" ref="I132">IFERROR(_xlfn.XLOOKUP(1,($B132=DistributionZone)*($I$5=Desc_FixedOrVar)*($G132=Description),valuesPY),0)</f>
        <v>3.1348835402205433</v>
      </c>
      <c r="J132" s="574">
        <f t="shared" si="62"/>
        <v>1.025462087796849</v>
      </c>
      <c r="K132" s="575" t="str">
        <f>IFERROR(J132/J135,"")</f>
        <v/>
      </c>
      <c r="L132" s="575"/>
      <c r="M132" s="575">
        <f t="shared" si="63"/>
        <v>-7.2394778388588654E-2</v>
      </c>
      <c r="N132" s="576"/>
      <c r="O132" s="574"/>
      <c r="P132" s="574" cm="1">
        <f t="array" ref="P132">IFERROR(_xlfn.XLOOKUP(1,($B132=DistributionZone)*($I$5=Desc_FixedOrVar)*($G132=Description),valuesFY),0)</f>
        <v>2.9079343410522429</v>
      </c>
      <c r="Q132" s="574">
        <f t="shared" si="64"/>
        <v>0.95122398720489665</v>
      </c>
      <c r="R132" s="575">
        <f>IFERROR(Q132/Q135,"")</f>
        <v>1.909623961893674E-2</v>
      </c>
      <c r="S132" s="575"/>
      <c r="T132" s="612"/>
      <c r="U132" s="575"/>
      <c r="V132" s="575"/>
      <c r="W132" s="575"/>
      <c r="X132" s="575"/>
      <c r="Y132" s="575"/>
      <c r="Z132" s="575"/>
      <c r="AA132" s="575"/>
      <c r="AB132" s="575"/>
      <c r="AC132" s="575"/>
      <c r="AD132" s="575"/>
      <c r="AE132" s="575"/>
      <c r="AF132" s="575"/>
      <c r="AG132" s="575"/>
      <c r="AH132" s="575"/>
      <c r="AI132" s="575"/>
      <c r="AJ132" s="575"/>
    </row>
    <row r="133" spans="2:36" s="570" customFormat="1" x14ac:dyDescent="0.35">
      <c r="B133" s="570" t="str">
        <f t="shared" si="55"/>
        <v>Endeavour</v>
      </c>
      <c r="C133" s="570" t="str">
        <f t="shared" si="56"/>
        <v>Residential</v>
      </c>
      <c r="D133" s="570" t="str">
        <f t="shared" si="57"/>
        <v>time of use</v>
      </c>
      <c r="E133" s="615" t="s">
        <v>280</v>
      </c>
      <c r="F133" s="485" cm="1">
        <f t="array" ref="F133">_xlfn.XLOOKUP(1,($B133=DistributionZone)*($C133=CustomerType)*($D133=tariffL2)*($F$5=Description),valuesPY)*_xlfn.XLOOKUP(1,($B133=DistributionZone)*($C133=CustomerType)*($D133=tariffL2)*($E133=tariffType)*("Usage proportion"=Description),valuesFY)</f>
        <v>327.11329612094818</v>
      </c>
      <c r="G133" s="570" t="s">
        <v>302</v>
      </c>
      <c r="H133" s="574"/>
      <c r="I133" s="574"/>
      <c r="J133" s="574"/>
      <c r="K133" s="575"/>
      <c r="L133" s="575"/>
      <c r="M133" s="575"/>
      <c r="N133" s="576"/>
      <c r="O133" s="574"/>
      <c r="P133" s="574" cm="1">
        <f t="array" ref="P133">IFERROR(_xlfn.XLOOKUP(1,($B133=DistributionZone)*($D133=tariffL2)*($G133=Description),valuesFY),0)</f>
        <v>2.0909999999999997</v>
      </c>
      <c r="Q133" s="574">
        <f t="shared" ref="Q133" si="65">IF(AND(O133="",P133=""),"",O133+P133*$F133/1000)</f>
        <v>0.68399390218890255</v>
      </c>
      <c r="R133" s="575">
        <f>IFERROR(Q133/Q135,"")</f>
        <v>1.3731478211006603E-2</v>
      </c>
      <c r="S133" s="575"/>
      <c r="T133" s="612"/>
      <c r="U133" s="575"/>
      <c r="V133" s="575"/>
      <c r="W133" s="575"/>
      <c r="X133" s="575"/>
      <c r="Y133" s="575"/>
      <c r="Z133" s="575"/>
      <c r="AA133" s="575"/>
      <c r="AB133" s="575"/>
      <c r="AC133" s="575"/>
      <c r="AD133" s="575"/>
      <c r="AE133" s="575"/>
      <c r="AF133" s="575"/>
      <c r="AG133" s="575"/>
      <c r="AH133" s="575"/>
      <c r="AI133" s="575"/>
      <c r="AJ133" s="575"/>
    </row>
    <row r="134" spans="2:36" s="570" customFormat="1" x14ac:dyDescent="0.35">
      <c r="B134" s="570" t="str">
        <f>B132</f>
        <v>Endeavour</v>
      </c>
      <c r="C134" s="570" t="str">
        <f>C132</f>
        <v>Residential</v>
      </c>
      <c r="D134" s="570" t="str">
        <f>D132</f>
        <v>time of use</v>
      </c>
      <c r="E134" s="615" t="s">
        <v>280</v>
      </c>
      <c r="F134" s="485" cm="1">
        <f t="array" ref="F134">_xlfn.XLOOKUP(1,($B134=DistributionZone)*($C134=CustomerType)*($D134=tariffL2)*($F$5=Description),valuesPY)*_xlfn.XLOOKUP(1,($B134=DistributionZone)*($C134=CustomerType)*($D134=tariffL2)*($E134=tariffType)*("Usage proportion"=Description),valuesFY)</f>
        <v>327.11329612094818</v>
      </c>
      <c r="G134" s="570" t="s">
        <v>72</v>
      </c>
      <c r="H134" s="574"/>
      <c r="I134" s="574" cm="1">
        <f t="array" ref="I134">IFERROR(_xlfn.XLOOKUP(1,($B134=DistributionZone)*($C134=CustomerType)*("Losses"=Description),valuesPY),0)*SUM(I127:I132)</f>
        <v>0.2566966818870644</v>
      </c>
      <c r="J134" s="574">
        <f>I134*F134/1000</f>
        <v>8.3968897715388138E-2</v>
      </c>
      <c r="K134" s="575" t="str">
        <f>IFERROR(J134/J135,"")</f>
        <v/>
      </c>
      <c r="L134" s="575"/>
      <c r="M134" s="575">
        <f t="shared" si="63"/>
        <v>32.121205975401367</v>
      </c>
      <c r="N134" s="576"/>
      <c r="O134" s="574"/>
      <c r="P134" s="574" cm="1">
        <f t="array" ref="P134">IFERROR(_xlfn.XLOOKUP(1,($B134=DistributionZone)*($C134=CustomerType)*("Losses"=Description)*($D134=tariffType)*($P$5=Desc_FixedOrVar),valuesFY),0)*SUM(P127:P133)</f>
        <v>8.5021036739835409</v>
      </c>
      <c r="Q134" s="574">
        <f t="shared" si="64"/>
        <v>2.7811511567587797</v>
      </c>
      <c r="R134" s="575">
        <f>IFERROR(Q134/Q135,"")</f>
        <v>5.5832831825453941E-2</v>
      </c>
      <c r="S134" s="575"/>
      <c r="T134" s="612"/>
      <c r="U134" s="575"/>
      <c r="V134" s="575"/>
      <c r="W134" s="575"/>
      <c r="X134" s="575"/>
      <c r="Y134" s="575"/>
      <c r="Z134" s="575"/>
      <c r="AA134" s="575"/>
      <c r="AB134" s="575"/>
      <c r="AC134" s="575"/>
      <c r="AD134" s="575"/>
      <c r="AE134" s="575"/>
      <c r="AF134" s="575"/>
      <c r="AG134" s="575"/>
      <c r="AH134" s="575"/>
      <c r="AI134" s="575"/>
      <c r="AJ134" s="575"/>
    </row>
    <row r="135" spans="2:36" s="571" customFormat="1" x14ac:dyDescent="0.35">
      <c r="B135" s="570" t="str">
        <f t="shared" si="55"/>
        <v>Endeavour</v>
      </c>
      <c r="C135" s="570" t="str">
        <f t="shared" si="56"/>
        <v>Residential</v>
      </c>
      <c r="D135" s="570" t="str">
        <f t="shared" si="57"/>
        <v>time of use</v>
      </c>
      <c r="E135" s="615" t="s">
        <v>280</v>
      </c>
      <c r="F135" s="584"/>
      <c r="G135" s="571" t="s">
        <v>55</v>
      </c>
      <c r="H135" s="577"/>
      <c r="I135" s="577">
        <f>IF($H$3=PY,0,SUM(I127:I134))</f>
        <v>0</v>
      </c>
      <c r="J135" s="577">
        <f>IF($H$3=PY,0,F127*I135/1000+SUM(H127:H134))</f>
        <v>0</v>
      </c>
      <c r="K135" s="578"/>
      <c r="L135" s="579"/>
      <c r="M135" s="578"/>
      <c r="N135" s="580"/>
      <c r="O135" s="577"/>
      <c r="P135" s="577">
        <f>SUM(P127:P134)</f>
        <v>152.2778515079271</v>
      </c>
      <c r="Q135" s="577">
        <f>O135+P135*$F$127/1000</f>
        <v>49.81210993297433</v>
      </c>
      <c r="R135" s="578"/>
      <c r="S135" s="578"/>
      <c r="T135" s="621"/>
      <c r="U135" s="578"/>
      <c r="V135" s="578"/>
      <c r="W135" s="578"/>
      <c r="X135" s="578"/>
      <c r="Y135" s="578"/>
      <c r="Z135" s="578"/>
      <c r="AA135" s="578"/>
      <c r="AB135" s="578"/>
      <c r="AC135" s="578"/>
      <c r="AD135" s="578"/>
      <c r="AE135" s="578"/>
      <c r="AF135" s="578"/>
      <c r="AG135" s="578"/>
      <c r="AH135" s="578"/>
      <c r="AI135" s="578"/>
      <c r="AJ135" s="578"/>
    </row>
    <row r="136" spans="2:36" s="570" customFormat="1" x14ac:dyDescent="0.35">
      <c r="B136" s="570" t="str">
        <f t="shared" si="55"/>
        <v>Endeavour</v>
      </c>
      <c r="C136" s="570" t="str">
        <f t="shared" si="56"/>
        <v>Residential</v>
      </c>
      <c r="D136" s="570" t="str">
        <f t="shared" si="57"/>
        <v>time of use</v>
      </c>
      <c r="E136" s="615" t="s">
        <v>281</v>
      </c>
      <c r="F136" s="485" cm="1">
        <f t="array" ref="F136">_xlfn.XLOOKUP(1,($B136=DistributionZone)*($C136=CustomerType)*($D136=tariffL2)*($F$5=Description),valuesPY)*_xlfn.XLOOKUP(1,($B136=DistributionZone)*($C136=CustomerType)*($D136=tariffL2)*($E136=tariffType)*("Usage proportion"=Description),valuesFY)</f>
        <v>481.04896488374737</v>
      </c>
      <c r="G136" s="570" t="s">
        <v>69</v>
      </c>
      <c r="H136" s="574"/>
      <c r="I136" s="574" cm="1">
        <f t="array" ref="I136">IFERROR(_xlfn.XLOOKUP(1,($B136=DistributionZone)*($C136=CustomerType)*($E136=tariffType)*("WEC scale"=Description),valuesPY),0)*$I$105</f>
        <v>0</v>
      </c>
      <c r="J136" s="574">
        <f t="shared" ref="J136:J141" si="66">H136+I136*F136/1000</f>
        <v>0</v>
      </c>
      <c r="K136" s="575" t="str">
        <f>IFERROR(J136/J144,"")</f>
        <v/>
      </c>
      <c r="L136" s="575"/>
      <c r="M136" s="575" t="str">
        <f t="shared" ref="M136:M143" si="67">IF(OR(J136=0,Q136=""),"",Q136/J136-1)</f>
        <v/>
      </c>
      <c r="N136" s="576"/>
      <c r="O136" s="574"/>
      <c r="P136" s="574" cm="1">
        <f t="array" ref="P136">IFERROR(_xlfn.XLOOKUP(1,($B136=DistributionZone)*($C136=CustomerType)*($E136=tariffType)*("WEC"=Description),valuesFY),0)</f>
        <v>220.4001470428426</v>
      </c>
      <c r="Q136" s="574">
        <f>O136+P136*F136/1000</f>
        <v>106.02326259518514</v>
      </c>
      <c r="R136" s="575">
        <f>IFERROR(Q136/Q144,"")</f>
        <v>0.92008255867457578</v>
      </c>
      <c r="S136" s="575"/>
      <c r="T136" s="612"/>
      <c r="U136" s="575"/>
      <c r="V136" s="575"/>
      <c r="W136" s="575"/>
      <c r="X136" s="575"/>
      <c r="Y136" s="575"/>
      <c r="Z136" s="575"/>
      <c r="AA136" s="575"/>
      <c r="AB136" s="575"/>
      <c r="AC136" s="575"/>
      <c r="AD136" s="575"/>
      <c r="AE136" s="575"/>
      <c r="AF136" s="575"/>
      <c r="AG136" s="575"/>
      <c r="AH136" s="575"/>
      <c r="AI136" s="575"/>
      <c r="AJ136" s="575"/>
    </row>
    <row r="137" spans="2:36" s="570" customFormat="1" x14ac:dyDescent="0.35">
      <c r="B137" s="570" t="str">
        <f t="shared" si="55"/>
        <v>Endeavour</v>
      </c>
      <c r="C137" s="570" t="str">
        <f t="shared" si="56"/>
        <v>Residential</v>
      </c>
      <c r="D137" s="570" t="str">
        <f t="shared" si="57"/>
        <v>time of use</v>
      </c>
      <c r="E137" s="615" t="s">
        <v>281</v>
      </c>
      <c r="F137" s="485" cm="1">
        <f t="array" ref="F137">_xlfn.XLOOKUP(1,($B137=DistributionZone)*($C137=CustomerType)*($D137=tariffL2)*($F$5=Description),valuesPY)*_xlfn.XLOOKUP(1,($B137=DistributionZone)*($C137=CustomerType)*($D137=tariffL2)*($E137=tariffType)*("Usage proportion"=Description),valuesFY)</f>
        <v>481.04896488374737</v>
      </c>
      <c r="G137" s="570" t="s">
        <v>70</v>
      </c>
      <c r="H137" s="574"/>
      <c r="I137" s="574" cm="1">
        <f t="array" ref="I137">IFERROR(_xlfn.XLOOKUP(1,($B137=DistributionZone)*($I$5=Desc_FixedOrVar)*($G137=Description),valuesPY),0)</f>
        <v>0.15378802592718904</v>
      </c>
      <c r="J137" s="574">
        <f t="shared" si="66"/>
        <v>7.3979570683789186E-2</v>
      </c>
      <c r="K137" s="575" t="str">
        <f>IFERROR(J137/J144,"")</f>
        <v/>
      </c>
      <c r="L137" s="575"/>
      <c r="M137" s="575">
        <f t="shared" si="67"/>
        <v>-0.19621579764116648</v>
      </c>
      <c r="N137" s="576"/>
      <c r="O137" s="574"/>
      <c r="P137" s="574" cm="1">
        <f t="array" ref="P137">IFERROR(_xlfn.XLOOKUP(1,($B137=DistributionZone)*($I$5=Desc_FixedOrVar)*($G137=Description),valuesFY),0)</f>
        <v>0.12361238575222523</v>
      </c>
      <c r="Q137" s="574">
        <f>O137+P137*F137/1000</f>
        <v>5.9463610212918433E-2</v>
      </c>
      <c r="R137" s="575">
        <f>IFERROR(Q137/Q144,"")</f>
        <v>5.1603232435533679E-4</v>
      </c>
      <c r="S137" s="575"/>
      <c r="T137" s="612"/>
      <c r="U137" s="575"/>
      <c r="V137" s="575"/>
      <c r="W137" s="575"/>
      <c r="X137" s="575"/>
      <c r="Y137" s="575"/>
      <c r="Z137" s="575"/>
      <c r="AA137" s="575"/>
      <c r="AB137" s="575"/>
      <c r="AC137" s="575"/>
      <c r="AD137" s="575"/>
      <c r="AE137" s="575"/>
      <c r="AF137" s="575"/>
      <c r="AG137" s="575"/>
      <c r="AH137" s="575"/>
      <c r="AI137" s="575"/>
      <c r="AJ137" s="575"/>
    </row>
    <row r="138" spans="2:36" s="570" customFormat="1" x14ac:dyDescent="0.35">
      <c r="B138" s="570" t="str">
        <f t="shared" si="55"/>
        <v>Endeavour</v>
      </c>
      <c r="C138" s="570" t="str">
        <f t="shared" si="56"/>
        <v>Residential</v>
      </c>
      <c r="D138" s="570" t="str">
        <f t="shared" si="57"/>
        <v>time of use</v>
      </c>
      <c r="E138" s="615" t="s">
        <v>281</v>
      </c>
      <c r="F138" s="485" cm="1">
        <f t="array" ref="F138">_xlfn.XLOOKUP(1,($B138=DistributionZone)*($C138=CustomerType)*($D138=tariffL2)*($F$5=Description),valuesPY)*_xlfn.XLOOKUP(1,($B138=DistributionZone)*($C138=CustomerType)*($D138=tariffL2)*($E138=tariffType)*("Usage proportion"=Description),valuesFY)</f>
        <v>481.04896488374737</v>
      </c>
      <c r="G138" s="570" t="s">
        <v>77</v>
      </c>
      <c r="H138" s="574"/>
      <c r="I138" s="574" cm="1">
        <f t="array" ref="I138">IFERROR(_xlfn.XLOOKUP(1,($B138=DistributionZone)*($I$5=Desc_FixedOrVar)*($G138=Description),valuesPY),0)</f>
        <v>0.57443</v>
      </c>
      <c r="J138" s="574">
        <f t="shared" si="66"/>
        <v>0.276328956898171</v>
      </c>
      <c r="K138" s="575" t="str">
        <f>IFERROR(J138/J144,"")</f>
        <v/>
      </c>
      <c r="L138" s="575"/>
      <c r="M138" s="575">
        <f t="shared" si="67"/>
        <v>-9.5799314102675726E-2</v>
      </c>
      <c r="N138" s="576"/>
      <c r="O138" s="574"/>
      <c r="P138" s="574" cm="1">
        <f t="array" ref="P138">IFERROR(_xlfn.XLOOKUP(1,($B138=DistributionZone)*($I$5=Desc_FixedOrVar)*($G138=Description),valuesFY),0)</f>
        <v>0.51939999999999997</v>
      </c>
      <c r="Q138" s="574">
        <f t="shared" ref="Q138:Q143" si="68">IF(AND(O138="",P138=""),"",O138+P138*$F138/1000)</f>
        <v>0.24985683236061837</v>
      </c>
      <c r="R138" s="575">
        <f>IFERROR(Q138/Q144,"")</f>
        <v>2.1682874870436433E-3</v>
      </c>
      <c r="S138" s="575"/>
      <c r="T138" s="612"/>
      <c r="U138" s="575"/>
      <c r="V138" s="575"/>
      <c r="W138" s="575"/>
      <c r="X138" s="575"/>
      <c r="Y138" s="575"/>
      <c r="Z138" s="575"/>
      <c r="AA138" s="575"/>
      <c r="AB138" s="575"/>
      <c r="AC138" s="575"/>
      <c r="AD138" s="575"/>
      <c r="AE138" s="575"/>
      <c r="AF138" s="575"/>
      <c r="AG138" s="575"/>
      <c r="AH138" s="575"/>
      <c r="AI138" s="575"/>
      <c r="AJ138" s="575"/>
    </row>
    <row r="139" spans="2:36" s="570" customFormat="1" x14ac:dyDescent="0.35">
      <c r="B139" s="570" t="str">
        <f t="shared" si="55"/>
        <v>Endeavour</v>
      </c>
      <c r="C139" s="570" t="str">
        <f t="shared" si="56"/>
        <v>Residential</v>
      </c>
      <c r="D139" s="570" t="str">
        <f t="shared" si="57"/>
        <v>time of use</v>
      </c>
      <c r="E139" s="615" t="s">
        <v>281</v>
      </c>
      <c r="F139" s="485" cm="1">
        <f t="array" ref="F139">_xlfn.XLOOKUP(1,($B139=DistributionZone)*($C139=CustomerType)*($D139=tariffL2)*($F$5=Description),valuesPY)*_xlfn.XLOOKUP(1,($B139=DistributionZone)*($C139=CustomerType)*($D139=tariffL2)*($E139=tariffType)*("Usage proportion"=Description),valuesFY)</f>
        <v>481.04896488374737</v>
      </c>
      <c r="G139" s="570" t="s">
        <v>71</v>
      </c>
      <c r="H139" s="574"/>
      <c r="I139" s="574" cm="1">
        <f t="array" ref="I139">IFERROR(_xlfn.XLOOKUP(1,($B139=DistributionZone)*($I$5=Desc_FixedOrVar)*($G139=Description),valuesPY),0)</f>
        <v>5.2786233739509421E-2</v>
      </c>
      <c r="J139" s="574">
        <f t="shared" si="66"/>
        <v>2.5392763100502549E-2</v>
      </c>
      <c r="K139" s="575" t="str">
        <f>IFERROR(J139/J144,"")</f>
        <v/>
      </c>
      <c r="L139" s="575"/>
      <c r="M139" s="575">
        <f t="shared" si="67"/>
        <v>1.4130175372851865</v>
      </c>
      <c r="N139" s="576"/>
      <c r="O139" s="574"/>
      <c r="P139" s="574" cm="1">
        <f t="array" ref="P139">IFERROR(_xlfn.XLOOKUP(1,($B139=DistributionZone)*($I$5=Desc_FixedOrVar)*($G139=Description),valuesFY),0)</f>
        <v>0.12737410774067126</v>
      </c>
      <c r="Q139" s="574">
        <f t="shared" si="68"/>
        <v>6.1273182681640823E-2</v>
      </c>
      <c r="R139" s="575">
        <f>IFERROR(Q139/Q144,"")</f>
        <v>5.3173601075750165E-4</v>
      </c>
      <c r="S139" s="575"/>
      <c r="T139" s="612"/>
      <c r="U139" s="575"/>
      <c r="V139" s="575"/>
      <c r="W139" s="575"/>
      <c r="X139" s="575"/>
      <c r="Y139" s="575"/>
      <c r="Z139" s="575"/>
      <c r="AA139" s="575"/>
      <c r="AB139" s="575"/>
      <c r="AC139" s="575"/>
      <c r="AD139" s="575"/>
      <c r="AE139" s="575"/>
      <c r="AF139" s="575"/>
      <c r="AG139" s="575"/>
      <c r="AH139" s="575"/>
      <c r="AI139" s="575"/>
      <c r="AJ139" s="575"/>
    </row>
    <row r="140" spans="2:36" s="570" customFormat="1" x14ac:dyDescent="0.35">
      <c r="B140" s="570" t="str">
        <f t="shared" si="55"/>
        <v>Endeavour</v>
      </c>
      <c r="C140" s="570" t="str">
        <f t="shared" si="56"/>
        <v>Residential</v>
      </c>
      <c r="D140" s="570" t="str">
        <f t="shared" si="57"/>
        <v>time of use</v>
      </c>
      <c r="E140" s="615" t="s">
        <v>281</v>
      </c>
      <c r="F140" s="485" cm="1">
        <f t="array" ref="F140">_xlfn.XLOOKUP(1,($B140=DistributionZone)*($C140=CustomerType)*($D140=tariffL2)*($F$5=Description),valuesPY)*_xlfn.XLOOKUP(1,($B140=DistributionZone)*($C140=CustomerType)*($D140=tariffL2)*($E140=tariffType)*("Usage proportion"=Description),valuesFY)</f>
        <v>481.04896488374737</v>
      </c>
      <c r="G140" s="570" t="s">
        <v>173</v>
      </c>
      <c r="H140" s="574"/>
      <c r="I140" s="574" cm="1">
        <f t="array" ref="I140">IFERROR(_xlfn.XLOOKUP(1,($B140=DistributionZone)*($I$5=Desc_FixedOrVar)*($G140=Description),valuesPY),0)</f>
        <v>0.11507709849820914</v>
      </c>
      <c r="J140" s="574">
        <f t="shared" si="66"/>
        <v>5.5357719114388547E-2</v>
      </c>
      <c r="K140" s="575" t="str">
        <f>IFERROR(J140/J144,"")</f>
        <v/>
      </c>
      <c r="L140" s="575"/>
      <c r="M140" s="575">
        <f t="shared" si="67"/>
        <v>-1</v>
      </c>
      <c r="N140" s="576"/>
      <c r="O140" s="574"/>
      <c r="P140" s="574" cm="1">
        <f t="array" ref="P140">IFERROR(_xlfn.XLOOKUP(1,($B140=DistributionZone)*($I$5=Desc_FixedOrVar)*($G140=Description),valuesFY),0)</f>
        <v>0</v>
      </c>
      <c r="Q140" s="574">
        <f t="shared" si="68"/>
        <v>0</v>
      </c>
      <c r="R140" s="575">
        <f>IFERROR(Q140/Q144,"")</f>
        <v>0</v>
      </c>
      <c r="S140" s="575"/>
      <c r="T140" s="612"/>
      <c r="U140" s="575"/>
      <c r="V140" s="575"/>
      <c r="W140" s="575"/>
      <c r="X140" s="575"/>
      <c r="Y140" s="575"/>
      <c r="Z140" s="575"/>
      <c r="AA140" s="575"/>
      <c r="AB140" s="575"/>
      <c r="AC140" s="575"/>
      <c r="AD140" s="575"/>
      <c r="AE140" s="575"/>
      <c r="AF140" s="575"/>
      <c r="AG140" s="575"/>
      <c r="AH140" s="575"/>
      <c r="AI140" s="575"/>
      <c r="AJ140" s="575"/>
    </row>
    <row r="141" spans="2:36" s="570" customFormat="1" x14ac:dyDescent="0.35">
      <c r="B141" s="570" t="str">
        <f t="shared" si="55"/>
        <v>Endeavour</v>
      </c>
      <c r="C141" s="570" t="str">
        <f t="shared" si="56"/>
        <v>Residential</v>
      </c>
      <c r="D141" s="570" t="str">
        <f t="shared" si="57"/>
        <v>time of use</v>
      </c>
      <c r="E141" s="615" t="s">
        <v>281</v>
      </c>
      <c r="F141" s="485" cm="1">
        <f t="array" ref="F141">_xlfn.XLOOKUP(1,($B141=DistributionZone)*($C141=CustomerType)*($D141=tariffL2)*($F$5=Description),valuesPY)*_xlfn.XLOOKUP(1,($B141=DistributionZone)*($C141=CustomerType)*($D141=tariffL2)*($E141=tariffType)*("Usage proportion"=Description),valuesFY)</f>
        <v>481.04896488374737</v>
      </c>
      <c r="G141" s="570" t="s">
        <v>130</v>
      </c>
      <c r="H141" s="574"/>
      <c r="I141" s="574" cm="1">
        <f t="array" ref="I141">IFERROR(_xlfn.XLOOKUP(1,($B141=DistributionZone)*($I$5=Desc_FixedOrVar)*($G141=Description),valuesPY),0)</f>
        <v>3.1348835402205433</v>
      </c>
      <c r="J141" s="574">
        <f t="shared" si="66"/>
        <v>1.5080324820541897</v>
      </c>
      <c r="K141" s="575" t="str">
        <f>IFERROR(J141/J144,"")</f>
        <v/>
      </c>
      <c r="L141" s="575"/>
      <c r="M141" s="575">
        <f t="shared" si="67"/>
        <v>-7.2394778388588654E-2</v>
      </c>
      <c r="N141" s="576"/>
      <c r="O141" s="574"/>
      <c r="P141" s="574" cm="1">
        <f t="array" ref="P141">IFERROR(_xlfn.XLOOKUP(1,($B141=DistributionZone)*($I$5=Desc_FixedOrVar)*($G141=Description),valuesFY),0)</f>
        <v>2.9079343410522429</v>
      </c>
      <c r="Q141" s="574">
        <f t="shared" si="68"/>
        <v>1.3988588047130834</v>
      </c>
      <c r="R141" s="575">
        <f>IFERROR(Q141/Q144,"")</f>
        <v>1.2139464083265461E-2</v>
      </c>
      <c r="S141" s="575"/>
      <c r="T141" s="612"/>
      <c r="U141" s="575"/>
      <c r="V141" s="575"/>
      <c r="W141" s="575"/>
      <c r="X141" s="575"/>
      <c r="Y141" s="575"/>
      <c r="Z141" s="575"/>
      <c r="AA141" s="575"/>
      <c r="AB141" s="575"/>
      <c r="AC141" s="575"/>
      <c r="AD141" s="575"/>
      <c r="AE141" s="575"/>
      <c r="AF141" s="575"/>
      <c r="AG141" s="575"/>
      <c r="AH141" s="575"/>
      <c r="AI141" s="575"/>
      <c r="AJ141" s="575"/>
    </row>
    <row r="142" spans="2:36" s="570" customFormat="1" x14ac:dyDescent="0.35">
      <c r="B142" s="570" t="str">
        <f t="shared" si="55"/>
        <v>Endeavour</v>
      </c>
      <c r="C142" s="570" t="str">
        <f t="shared" si="56"/>
        <v>Residential</v>
      </c>
      <c r="D142" s="570" t="str">
        <f t="shared" si="57"/>
        <v>time of use</v>
      </c>
      <c r="E142" s="615" t="s">
        <v>281</v>
      </c>
      <c r="F142" s="485" cm="1">
        <f t="array" ref="F142">_xlfn.XLOOKUP(1,($B142=DistributionZone)*($C142=CustomerType)*($D142=tariffL2)*($F$5=Description),valuesPY)*_xlfn.XLOOKUP(1,($B142=DistributionZone)*($C142=CustomerType)*($D142=tariffL2)*($E142=tariffType)*("Usage proportion"=Description),valuesFY)</f>
        <v>481.04896488374737</v>
      </c>
      <c r="G142" s="570" t="s">
        <v>302</v>
      </c>
      <c r="H142" s="574"/>
      <c r="I142" s="574"/>
      <c r="J142" s="574"/>
      <c r="K142" s="575"/>
      <c r="L142" s="575"/>
      <c r="M142" s="575"/>
      <c r="N142" s="576"/>
      <c r="O142" s="574"/>
      <c r="P142" s="574" cm="1">
        <f t="array" ref="P142">IFERROR(_xlfn.XLOOKUP(1,($B142=DistributionZone)*($D142=tariffL2)*($G142=Description),valuesFY),0)</f>
        <v>2.0909999999999997</v>
      </c>
      <c r="Q142" s="574">
        <f t="shared" si="68"/>
        <v>1.0058733855719155</v>
      </c>
      <c r="R142" s="575">
        <f>IFERROR(Q142/Q144,"")</f>
        <v>8.7290895945480503E-3</v>
      </c>
      <c r="S142" s="575"/>
      <c r="T142" s="612"/>
      <c r="U142" s="575"/>
      <c r="V142" s="575"/>
      <c r="W142" s="575"/>
      <c r="X142" s="575"/>
      <c r="Y142" s="575"/>
      <c r="Z142" s="575"/>
      <c r="AA142" s="575"/>
      <c r="AB142" s="575"/>
      <c r="AC142" s="575"/>
      <c r="AD142" s="575"/>
      <c r="AE142" s="575"/>
      <c r="AF142" s="575"/>
      <c r="AG142" s="575"/>
      <c r="AH142" s="575"/>
      <c r="AI142" s="575"/>
      <c r="AJ142" s="575"/>
    </row>
    <row r="143" spans="2:36" s="570" customFormat="1" x14ac:dyDescent="0.35">
      <c r="B143" s="570" t="str">
        <f>B141</f>
        <v>Endeavour</v>
      </c>
      <c r="C143" s="570" t="str">
        <f>C141</f>
        <v>Residential</v>
      </c>
      <c r="D143" s="570" t="str">
        <f>D141</f>
        <v>time of use</v>
      </c>
      <c r="E143" s="615" t="s">
        <v>281</v>
      </c>
      <c r="F143" s="485" cm="1">
        <f t="array" ref="F143">_xlfn.XLOOKUP(1,($B143=DistributionZone)*($C143=CustomerType)*($D143=tariffL2)*($F$5=Description),valuesPY)*_xlfn.XLOOKUP(1,($B143=DistributionZone)*($C143=CustomerType)*($D143=tariffL2)*($E143=tariffType)*("Usage proportion"=Description),valuesFY)</f>
        <v>481.04896488374737</v>
      </c>
      <c r="G143" s="570" t="s">
        <v>72</v>
      </c>
      <c r="H143" s="574"/>
      <c r="I143" s="574" cm="1">
        <f t="array" ref="I143">IFERROR(_xlfn.XLOOKUP(1,($B143=DistributionZone)*($C143=CustomerType)*("Losses"=Description),valuesPY),0)*SUM(I136:I141)</f>
        <v>0.2566966818870644</v>
      </c>
      <c r="J143" s="574">
        <f>I143*F143/1000</f>
        <v>0.12348367311086492</v>
      </c>
      <c r="K143" s="575" t="str">
        <f>IFERROR(J143/J144,"")</f>
        <v/>
      </c>
      <c r="L143" s="575"/>
      <c r="M143" s="575">
        <f t="shared" si="67"/>
        <v>51.102010553029835</v>
      </c>
      <c r="N143" s="576"/>
      <c r="O143" s="574"/>
      <c r="P143" s="574" cm="1">
        <f t="array" ref="P143">IFERROR(_xlfn.XLOOKUP(1,($B143=DistributionZone)*($C143=CustomerType)*("Losses"=Description)*($D143=tariffType)*($P$5=Desc_FixedOrVar),valuesFY),0)*SUM(P136:P142)</f>
        <v>13.374413228607573</v>
      </c>
      <c r="Q143" s="574">
        <f t="shared" si="68"/>
        <v>6.4337476395491704</v>
      </c>
      <c r="R143" s="575">
        <f>IFERROR(Q143/Q144,"")</f>
        <v>5.5832831825453934E-2</v>
      </c>
      <c r="S143" s="575"/>
      <c r="T143" s="612"/>
      <c r="U143" s="575"/>
      <c r="V143" s="575"/>
      <c r="W143" s="575"/>
      <c r="X143" s="575"/>
      <c r="Y143" s="575"/>
      <c r="Z143" s="575"/>
      <c r="AA143" s="575"/>
      <c r="AB143" s="575"/>
      <c r="AC143" s="575"/>
      <c r="AD143" s="575"/>
      <c r="AE143" s="575"/>
      <c r="AF143" s="575"/>
      <c r="AG143" s="575"/>
      <c r="AH143" s="575"/>
      <c r="AI143" s="575"/>
      <c r="AJ143" s="575"/>
    </row>
    <row r="144" spans="2:36" s="571" customFormat="1" x14ac:dyDescent="0.35">
      <c r="B144" s="570" t="str">
        <f t="shared" si="55"/>
        <v>Endeavour</v>
      </c>
      <c r="C144" s="570" t="str">
        <f t="shared" si="56"/>
        <v>Residential</v>
      </c>
      <c r="D144" s="570" t="str">
        <f t="shared" si="57"/>
        <v>time of use</v>
      </c>
      <c r="E144" s="615" t="s">
        <v>281</v>
      </c>
      <c r="F144" s="584"/>
      <c r="G144" s="571" t="s">
        <v>55</v>
      </c>
      <c r="H144" s="577"/>
      <c r="I144" s="577">
        <f>IF($H$3=PY,0,SUM(I136:I143))</f>
        <v>0</v>
      </c>
      <c r="J144" s="577">
        <f>IF($H$3=PY,0,F136*I144/1000+SUM(H136:H143))</f>
        <v>0</v>
      </c>
      <c r="K144" s="578"/>
      <c r="L144" s="579"/>
      <c r="M144" s="578"/>
      <c r="N144" s="580"/>
      <c r="O144" s="577"/>
      <c r="P144" s="577">
        <f>SUM(P136:P143)</f>
        <v>239.54388110599535</v>
      </c>
      <c r="Q144" s="577">
        <f>O144+P144*$F$136/1000</f>
        <v>115.23233605027453</v>
      </c>
      <c r="R144" s="578"/>
      <c r="S144" s="578"/>
      <c r="T144" s="621"/>
      <c r="U144" s="578"/>
      <c r="V144" s="578"/>
      <c r="W144" s="578"/>
      <c r="X144" s="578"/>
      <c r="Y144" s="578"/>
      <c r="Z144" s="578"/>
      <c r="AA144" s="578"/>
      <c r="AB144" s="578"/>
      <c r="AC144" s="578"/>
      <c r="AD144" s="578"/>
      <c r="AE144" s="578"/>
      <c r="AF144" s="578"/>
      <c r="AG144" s="578"/>
      <c r="AH144" s="578"/>
      <c r="AI144" s="578"/>
      <c r="AJ144" s="578"/>
    </row>
    <row r="145" spans="2:36" s="570" customFormat="1" x14ac:dyDescent="0.35">
      <c r="B145" s="570" t="str">
        <f t="shared" si="55"/>
        <v>Endeavour</v>
      </c>
      <c r="C145" s="570" t="str">
        <f t="shared" si="56"/>
        <v>Residential</v>
      </c>
      <c r="D145" s="570" t="str">
        <f t="shared" si="57"/>
        <v>time of use</v>
      </c>
      <c r="E145" s="615" t="s">
        <v>282</v>
      </c>
      <c r="F145" s="485" cm="1">
        <f t="array" ref="F145">_xlfn.XLOOKUP(1,($B145=DistributionZone)*($C145=CustomerType)*($D145=tariffL2)*($F$5=Description),valuesPY)*_xlfn.XLOOKUP(1,($B145=DistributionZone)*($C145=CustomerType)*($D145=tariffL2)*($E145=tariffType)*("Usage proportion"=Description),valuesFY)</f>
        <v>837.46169998667972</v>
      </c>
      <c r="G145" s="570" t="s">
        <v>69</v>
      </c>
      <c r="H145" s="574"/>
      <c r="I145" s="574" cm="1">
        <f t="array" ref="I145">IFERROR(_xlfn.XLOOKUP(1,($B145=DistributionZone)*($C145=CustomerType)*($E145=tariffType)*("WEC scale"=Description),valuesPY),0)*$I$105</f>
        <v>0</v>
      </c>
      <c r="J145" s="574">
        <f t="shared" ref="J145:J150" si="69">H145+I145*F145/1000</f>
        <v>0</v>
      </c>
      <c r="K145" s="575" t="str">
        <f>IFERROR(J145/J153,"")</f>
        <v/>
      </c>
      <c r="L145" s="575"/>
      <c r="M145" s="575" t="str">
        <f t="shared" ref="M145:M152" si="70">IF(OR(J145=0,Q145=""),"",Q145/J145-1)</f>
        <v/>
      </c>
      <c r="N145" s="576"/>
      <c r="O145" s="574"/>
      <c r="P145" s="574" cm="1">
        <f t="array" ref="P145">IFERROR(_xlfn.XLOOKUP(1,($B145=DistributionZone)*($C145=CustomerType)*($E145=tariffType)*("WEC"=Description),valuesFY),0)</f>
        <v>40.43007371631635</v>
      </c>
      <c r="Q145" s="574">
        <f>O145+P145*F145/1000</f>
        <v>33.858638265053067</v>
      </c>
      <c r="R145" s="575">
        <f>IFERROR(Q145/Q153,"")</f>
        <v>0.82626078936592351</v>
      </c>
      <c r="S145" s="575"/>
      <c r="T145" s="613"/>
      <c r="U145" s="575"/>
      <c r="V145" s="575"/>
      <c r="W145" s="575"/>
      <c r="X145" s="575"/>
      <c r="Y145" s="575"/>
      <c r="Z145" s="575"/>
      <c r="AA145" s="575"/>
      <c r="AB145" s="575"/>
      <c r="AC145" s="575"/>
      <c r="AD145" s="575"/>
      <c r="AE145" s="575"/>
      <c r="AF145" s="575"/>
      <c r="AG145" s="575"/>
      <c r="AH145" s="575"/>
      <c r="AI145" s="575"/>
      <c r="AJ145" s="575"/>
    </row>
    <row r="146" spans="2:36" s="570" customFormat="1" x14ac:dyDescent="0.35">
      <c r="B146" s="570" t="str">
        <f t="shared" si="55"/>
        <v>Endeavour</v>
      </c>
      <c r="C146" s="570" t="str">
        <f t="shared" si="56"/>
        <v>Residential</v>
      </c>
      <c r="D146" s="570" t="str">
        <f t="shared" si="57"/>
        <v>time of use</v>
      </c>
      <c r="E146" s="615" t="s">
        <v>282</v>
      </c>
      <c r="F146" s="485" cm="1">
        <f t="array" ref="F146">_xlfn.XLOOKUP(1,($B146=DistributionZone)*($C146=CustomerType)*($D146=tariffL2)*($F$5=Description),valuesPY)*_xlfn.XLOOKUP(1,($B146=DistributionZone)*($C146=CustomerType)*($D146=tariffL2)*($E146=tariffType)*("Usage proportion"=Description),valuesFY)</f>
        <v>837.46169998667972</v>
      </c>
      <c r="G146" s="570" t="s">
        <v>70</v>
      </c>
      <c r="H146" s="574"/>
      <c r="I146" s="574" cm="1">
        <f t="array" ref="I146">IFERROR(_xlfn.XLOOKUP(1,($B146=DistributionZone)*($I$5=Desc_FixedOrVar)*($G146=Description),valuesPY),0)</f>
        <v>0.15378802592718904</v>
      </c>
      <c r="J146" s="574">
        <f t="shared" si="69"/>
        <v>0.12879158163057933</v>
      </c>
      <c r="K146" s="575" t="str">
        <f>IFERROR(J146/J153,"")</f>
        <v/>
      </c>
      <c r="L146" s="575"/>
      <c r="M146" s="575">
        <f t="shared" si="70"/>
        <v>-0.1962157976411667</v>
      </c>
      <c r="N146" s="576"/>
      <c r="O146" s="574"/>
      <c r="P146" s="574" cm="1">
        <f t="array" ref="P146">IFERROR(_xlfn.XLOOKUP(1,($B146=DistributionZone)*($I$5=Desc_FixedOrVar)*($G146=Description),valuesFY),0)</f>
        <v>0.12361238575222523</v>
      </c>
      <c r="Q146" s="574">
        <f t="shared" ref="Q146:Q152" si="71">IF(AND(O146="",P146=""),"",O146+P146*$F146/1000)</f>
        <v>0.10352063871146777</v>
      </c>
      <c r="R146" s="575">
        <f>IFERROR(Q146/Q153,"")</f>
        <v>2.526239950579651E-3</v>
      </c>
      <c r="S146" s="575"/>
      <c r="T146" s="612"/>
      <c r="U146" s="575"/>
      <c r="V146" s="575"/>
      <c r="W146" s="575"/>
      <c r="X146" s="575"/>
      <c r="Y146" s="575"/>
      <c r="Z146" s="575"/>
      <c r="AA146" s="575"/>
      <c r="AB146" s="575"/>
      <c r="AC146" s="575"/>
      <c r="AD146" s="575"/>
      <c r="AE146" s="575"/>
      <c r="AF146" s="575"/>
      <c r="AG146" s="575"/>
      <c r="AH146" s="575"/>
      <c r="AI146" s="575"/>
      <c r="AJ146" s="575"/>
    </row>
    <row r="147" spans="2:36" s="570" customFormat="1" x14ac:dyDescent="0.35">
      <c r="B147" s="570" t="str">
        <f t="shared" si="55"/>
        <v>Endeavour</v>
      </c>
      <c r="C147" s="570" t="str">
        <f t="shared" si="56"/>
        <v>Residential</v>
      </c>
      <c r="D147" s="570" t="str">
        <f t="shared" si="57"/>
        <v>time of use</v>
      </c>
      <c r="E147" s="615" t="s">
        <v>282</v>
      </c>
      <c r="F147" s="485" cm="1">
        <f t="array" ref="F147">_xlfn.XLOOKUP(1,($B147=DistributionZone)*($C147=CustomerType)*($D147=tariffL2)*($F$5=Description),valuesPY)*_xlfn.XLOOKUP(1,($B147=DistributionZone)*($C147=CustomerType)*($D147=tariffL2)*($E147=tariffType)*("Usage proportion"=Description),valuesFY)</f>
        <v>837.46169998667972</v>
      </c>
      <c r="G147" s="570" t="s">
        <v>77</v>
      </c>
      <c r="H147" s="574"/>
      <c r="I147" s="574" cm="1">
        <f t="array" ref="I147">IFERROR(_xlfn.XLOOKUP(1,($B147=DistributionZone)*($I$5=Desc_FixedOrVar)*($G147=Description),valuesPY),0)</f>
        <v>0.57443</v>
      </c>
      <c r="J147" s="574">
        <f t="shared" si="69"/>
        <v>0.48106312432334841</v>
      </c>
      <c r="K147" s="575" t="str">
        <f>IFERROR(J147/J153,"")</f>
        <v/>
      </c>
      <c r="L147" s="575"/>
      <c r="M147" s="575">
        <f>IF(OR(J147=0,Q147=""),"",Q147/J147-1)</f>
        <v>-9.5799314102675726E-2</v>
      </c>
      <c r="N147" s="576"/>
      <c r="O147" s="574"/>
      <c r="P147" s="574" cm="1">
        <f t="array" ref="P147">IFERROR(_xlfn.XLOOKUP(1,($B147=DistributionZone)*($I$5=Desc_FixedOrVar)*($G147=Description),valuesFY),0)</f>
        <v>0.51939999999999997</v>
      </c>
      <c r="Q147" s="574">
        <f>IF(AND(O147="",P147=""),"",O147+P147*$F147/1000)</f>
        <v>0.43497760697308141</v>
      </c>
      <c r="R147" s="575">
        <f>IFERROR(Q147/Q153,"")</f>
        <v>1.0614866967790484E-2</v>
      </c>
      <c r="S147" s="575"/>
      <c r="T147" s="612"/>
      <c r="U147" s="575"/>
      <c r="V147" s="575"/>
      <c r="W147" s="575"/>
      <c r="X147" s="575"/>
      <c r="Y147" s="575"/>
      <c r="Z147" s="575"/>
      <c r="AA147" s="575"/>
      <c r="AB147" s="575"/>
      <c r="AC147" s="575"/>
      <c r="AD147" s="575"/>
      <c r="AE147" s="575"/>
      <c r="AF147" s="575"/>
      <c r="AG147" s="575"/>
      <c r="AH147" s="575"/>
      <c r="AI147" s="575"/>
      <c r="AJ147" s="575"/>
    </row>
    <row r="148" spans="2:36" s="570" customFormat="1" x14ac:dyDescent="0.35">
      <c r="B148" s="570" t="str">
        <f t="shared" si="55"/>
        <v>Endeavour</v>
      </c>
      <c r="C148" s="570" t="str">
        <f t="shared" si="56"/>
        <v>Residential</v>
      </c>
      <c r="D148" s="570" t="str">
        <f t="shared" si="57"/>
        <v>time of use</v>
      </c>
      <c r="E148" s="615" t="s">
        <v>282</v>
      </c>
      <c r="F148" s="485" cm="1">
        <f t="array" ref="F148">_xlfn.XLOOKUP(1,($B148=DistributionZone)*($C148=CustomerType)*($D148=tariffL2)*($F$5=Description),valuesPY)*_xlfn.XLOOKUP(1,($B148=DistributionZone)*($C148=CustomerType)*($D148=tariffL2)*($E148=tariffType)*("Usage proportion"=Description),valuesFY)</f>
        <v>837.46169998667972</v>
      </c>
      <c r="G148" s="570" t="s">
        <v>71</v>
      </c>
      <c r="H148" s="574"/>
      <c r="I148" s="574" cm="1">
        <f t="array" ref="I148">IFERROR(_xlfn.XLOOKUP(1,($B148=DistributionZone)*($I$5=Desc_FixedOrVar)*($G148=Description),valuesPY),0)</f>
        <v>5.2786233739509421E-2</v>
      </c>
      <c r="J148" s="574">
        <f t="shared" si="69"/>
        <v>4.4206449043383791E-2</v>
      </c>
      <c r="K148" s="575" t="str">
        <f>IFERROR(J148/J153,"")</f>
        <v/>
      </c>
      <c r="L148" s="575"/>
      <c r="M148" s="575">
        <f t="shared" si="70"/>
        <v>1.4130175372851865</v>
      </c>
      <c r="N148" s="576"/>
      <c r="O148" s="574"/>
      <c r="P148" s="574" cm="1">
        <f t="array" ref="P148">IFERROR(_xlfn.XLOOKUP(1,($B148=DistributionZone)*($I$5=Desc_FixedOrVar)*($G148=Description),valuesFY),0)</f>
        <v>0.12737410774067126</v>
      </c>
      <c r="Q148" s="574">
        <f t="shared" si="71"/>
        <v>0.10667093680278905</v>
      </c>
      <c r="R148" s="575">
        <f>IFERROR(Q148/Q153,"")</f>
        <v>2.6031174601621825E-3</v>
      </c>
      <c r="S148" s="575"/>
      <c r="T148" s="612"/>
      <c r="U148" s="575"/>
      <c r="V148" s="575"/>
      <c r="W148" s="575"/>
      <c r="X148" s="575"/>
      <c r="Y148" s="575"/>
      <c r="Z148" s="575"/>
      <c r="AA148" s="575"/>
      <c r="AB148" s="575"/>
      <c r="AC148" s="575"/>
      <c r="AD148" s="575"/>
      <c r="AE148" s="575"/>
      <c r="AF148" s="575"/>
      <c r="AG148" s="575"/>
      <c r="AH148" s="575"/>
      <c r="AI148" s="575"/>
      <c r="AJ148" s="575"/>
    </row>
    <row r="149" spans="2:36" s="570" customFormat="1" x14ac:dyDescent="0.35">
      <c r="B149" s="570" t="str">
        <f t="shared" si="55"/>
        <v>Endeavour</v>
      </c>
      <c r="C149" s="570" t="str">
        <f t="shared" si="56"/>
        <v>Residential</v>
      </c>
      <c r="D149" s="570" t="str">
        <f t="shared" si="57"/>
        <v>time of use</v>
      </c>
      <c r="E149" s="615" t="s">
        <v>282</v>
      </c>
      <c r="F149" s="485" cm="1">
        <f t="array" ref="F149">_xlfn.XLOOKUP(1,($B149=DistributionZone)*($C149=CustomerType)*($D149=tariffL2)*($F$5=Description),valuesPY)*_xlfn.XLOOKUP(1,($B149=DistributionZone)*($C149=CustomerType)*($D149=tariffL2)*($E149=tariffType)*("Usage proportion"=Description),valuesFY)</f>
        <v>837.46169998667972</v>
      </c>
      <c r="G149" s="570" t="s">
        <v>173</v>
      </c>
      <c r="H149" s="574"/>
      <c r="I149" s="574" cm="1">
        <f t="array" ref="I149">IFERROR(_xlfn.XLOOKUP(1,($B149=DistributionZone)*($I$5=Desc_FixedOrVar)*($G149=Description),valuesPY),0)</f>
        <v>0.11507709849820914</v>
      </c>
      <c r="J149" s="574">
        <f t="shared" si="69"/>
        <v>9.6372662537844822E-2</v>
      </c>
      <c r="K149" s="575" t="str">
        <f>IFERROR(J149/J153,"")</f>
        <v/>
      </c>
      <c r="L149" s="575"/>
      <c r="M149" s="575">
        <f t="shared" si="70"/>
        <v>-1</v>
      </c>
      <c r="N149" s="576"/>
      <c r="O149" s="574"/>
      <c r="P149" s="574" cm="1">
        <f t="array" ref="P149">IFERROR(_xlfn.XLOOKUP(1,($B149=DistributionZone)*($I$5=Desc_FixedOrVar)*($G149=Description),valuesFY),0)</f>
        <v>0</v>
      </c>
      <c r="Q149" s="574">
        <f t="shared" si="71"/>
        <v>0</v>
      </c>
      <c r="R149" s="575">
        <f>IFERROR(Q149/Q153,"")</f>
        <v>0</v>
      </c>
      <c r="S149" s="575"/>
      <c r="T149" s="612"/>
      <c r="U149" s="575"/>
      <c r="V149" s="575"/>
      <c r="W149" s="575"/>
      <c r="X149" s="575"/>
      <c r="Y149" s="575"/>
      <c r="Z149" s="575"/>
      <c r="AA149" s="575"/>
      <c r="AB149" s="575"/>
      <c r="AC149" s="575"/>
      <c r="AD149" s="575"/>
      <c r="AE149" s="575"/>
      <c r="AF149" s="575"/>
      <c r="AG149" s="575"/>
      <c r="AH149" s="575"/>
      <c r="AI149" s="575"/>
      <c r="AJ149" s="575"/>
    </row>
    <row r="150" spans="2:36" s="570" customFormat="1" x14ac:dyDescent="0.35">
      <c r="B150" s="570" t="str">
        <f t="shared" si="55"/>
        <v>Endeavour</v>
      </c>
      <c r="C150" s="570" t="str">
        <f t="shared" si="56"/>
        <v>Residential</v>
      </c>
      <c r="D150" s="570" t="str">
        <f t="shared" si="57"/>
        <v>time of use</v>
      </c>
      <c r="E150" s="615" t="s">
        <v>282</v>
      </c>
      <c r="F150" s="485" cm="1">
        <f t="array" ref="F150">_xlfn.XLOOKUP(1,($B150=DistributionZone)*($C150=CustomerType)*($D150=tariffL2)*($F$5=Description),valuesPY)*_xlfn.XLOOKUP(1,($B150=DistributionZone)*($C150=CustomerType)*($D150=tariffL2)*($E150=tariffType)*("Usage proportion"=Description),valuesFY)</f>
        <v>837.46169998667972</v>
      </c>
      <c r="G150" s="570" t="s">
        <v>130</v>
      </c>
      <c r="H150" s="574"/>
      <c r="I150" s="574" cm="1">
        <f t="array" ref="I150">IFERROR(_xlfn.XLOOKUP(1,($B150=DistributionZone)*($I$5=Desc_FixedOrVar)*($G150=Description),valuesPY),0)</f>
        <v>3.1348835402205433</v>
      </c>
      <c r="J150" s="574">
        <f t="shared" si="69"/>
        <v>2.6253448988533568</v>
      </c>
      <c r="K150" s="575" t="str">
        <f>IFERROR(J150/J153,"")</f>
        <v/>
      </c>
      <c r="L150" s="575"/>
      <c r="M150" s="575">
        <f t="shared" si="70"/>
        <v>-7.2394778388588432E-2</v>
      </c>
      <c r="N150" s="576"/>
      <c r="O150" s="574"/>
      <c r="P150" s="574" cm="1">
        <f t="array" ref="P150">IFERROR(_xlfn.XLOOKUP(1,($B150=DistributionZone)*($I$5=Desc_FixedOrVar)*($G150=Description),valuesFY),0)</f>
        <v>2.9079343410522429</v>
      </c>
      <c r="Q150" s="574">
        <f t="shared" si="71"/>
        <v>2.4352836367072568</v>
      </c>
      <c r="R150" s="575">
        <f>IFERROR(Q150/Q153,"")</f>
        <v>5.942883361828849E-2</v>
      </c>
      <c r="S150" s="575"/>
      <c r="T150" s="612"/>
      <c r="U150" s="575"/>
      <c r="V150" s="575"/>
      <c r="W150" s="575"/>
      <c r="X150" s="575"/>
      <c r="Y150" s="575"/>
      <c r="Z150" s="575"/>
      <c r="AA150" s="575"/>
      <c r="AB150" s="575"/>
      <c r="AC150" s="575"/>
      <c r="AD150" s="575"/>
      <c r="AE150" s="575"/>
      <c r="AF150" s="575"/>
      <c r="AG150" s="575"/>
      <c r="AH150" s="575"/>
      <c r="AI150" s="575"/>
      <c r="AJ150" s="575"/>
    </row>
    <row r="151" spans="2:36" s="570" customFormat="1" x14ac:dyDescent="0.35">
      <c r="B151" s="570" t="str">
        <f t="shared" si="55"/>
        <v>Endeavour</v>
      </c>
      <c r="C151" s="570" t="str">
        <f t="shared" si="56"/>
        <v>Residential</v>
      </c>
      <c r="D151" s="570" t="str">
        <f t="shared" si="57"/>
        <v>time of use</v>
      </c>
      <c r="E151" s="615" t="s">
        <v>282</v>
      </c>
      <c r="F151" s="485" cm="1">
        <f t="array" ref="F151">_xlfn.XLOOKUP(1,($B151=DistributionZone)*($C151=CustomerType)*($D151=tariffL2)*($F$5=Description),valuesPY)*_xlfn.XLOOKUP(1,($B151=DistributionZone)*($C151=CustomerType)*($D151=tariffL2)*($E151=tariffType)*("Usage proportion"=Description),valuesFY)</f>
        <v>837.46169998667972</v>
      </c>
      <c r="G151" s="570" t="s">
        <v>302</v>
      </c>
      <c r="H151" s="574"/>
      <c r="I151" s="574"/>
      <c r="J151" s="574"/>
      <c r="K151" s="575"/>
      <c r="L151" s="575"/>
      <c r="M151" s="575"/>
      <c r="N151" s="576"/>
      <c r="O151" s="574"/>
      <c r="P151" s="574" cm="1">
        <f t="array" ref="P151">IFERROR(_xlfn.XLOOKUP(1,($B151=DistributionZone)*($D151=tariffL2)*($G151=Description),valuesFY),0)</f>
        <v>2.0909999999999997</v>
      </c>
      <c r="Q151" s="574">
        <f t="shared" ref="Q151" si="72">IF(AND(O151="",P151=""),"",O151+P151*$F151/1000)</f>
        <v>1.751132414672147</v>
      </c>
      <c r="R151" s="575">
        <f>IFERROR(Q151/Q153,"")</f>
        <v>4.2733320811801881E-2</v>
      </c>
      <c r="S151" s="575"/>
      <c r="T151" s="612"/>
      <c r="U151" s="575"/>
      <c r="V151" s="575"/>
      <c r="W151" s="575"/>
      <c r="X151" s="575"/>
      <c r="Y151" s="575"/>
      <c r="Z151" s="575"/>
      <c r="AA151" s="575"/>
      <c r="AB151" s="575"/>
      <c r="AC151" s="575"/>
      <c r="AD151" s="575"/>
      <c r="AE151" s="575"/>
      <c r="AF151" s="575"/>
      <c r="AG151" s="575"/>
      <c r="AH151" s="575"/>
      <c r="AI151" s="575"/>
      <c r="AJ151" s="575"/>
    </row>
    <row r="152" spans="2:36" s="570" customFormat="1" x14ac:dyDescent="0.35">
      <c r="B152" s="570" t="str">
        <f>B150</f>
        <v>Endeavour</v>
      </c>
      <c r="C152" s="570" t="str">
        <f>C150</f>
        <v>Residential</v>
      </c>
      <c r="D152" s="570" t="str">
        <f>D150</f>
        <v>time of use</v>
      </c>
      <c r="E152" s="615" t="s">
        <v>282</v>
      </c>
      <c r="F152" s="485" cm="1">
        <f t="array" ref="F152">_xlfn.XLOOKUP(1,($B152=DistributionZone)*($C152=CustomerType)*($D152=tariffL2)*($F$5=Description),valuesPY)*_xlfn.XLOOKUP(1,($B152=DistributionZone)*($C152=CustomerType)*($D152=tariffL2)*($E152=tariffType)*("Usage proportion"=Description),valuesFY)</f>
        <v>837.46169998667972</v>
      </c>
      <c r="G152" s="570" t="s">
        <v>72</v>
      </c>
      <c r="H152" s="574"/>
      <c r="I152" s="574" cm="1">
        <f t="array" ref="I152">IFERROR(_xlfn.XLOOKUP(1,($B152=DistributionZone)*($C152=CustomerType)*("Losses"=Description),valuesPY),0)*SUM(I145:I150)</f>
        <v>0.2566966818870644</v>
      </c>
      <c r="J152" s="574">
        <f>I152*F152/1000</f>
        <v>0.21497363959408089</v>
      </c>
      <c r="K152" s="575" t="str">
        <f>IFERROR(J152/J153,"")</f>
        <v/>
      </c>
      <c r="L152" s="575"/>
      <c r="M152" s="575">
        <f t="shared" si="70"/>
        <v>9.6428217965190353</v>
      </c>
      <c r="N152" s="576"/>
      <c r="O152" s="574"/>
      <c r="P152" s="574" cm="1">
        <f t="array" ref="P152">IFERROR(_xlfn.XLOOKUP(1,($B152=DistributionZone)*($C152=CustomerType)*("Losses"=Description)*($D152=tariffType)*($P$5=Desc_FixedOrVar),valuesFY),0)*SUM(P145:P151)</f>
        <v>2.7319770410817621</v>
      </c>
      <c r="Q152" s="574">
        <f t="shared" si="71"/>
        <v>2.2879261371489115</v>
      </c>
      <c r="R152" s="575">
        <f>IFERROR(Q152/Q153,"")</f>
        <v>5.5832831825453948E-2</v>
      </c>
      <c r="S152" s="575"/>
      <c r="T152" s="612"/>
      <c r="U152" s="575"/>
      <c r="V152" s="575"/>
      <c r="W152" s="575"/>
      <c r="X152" s="575"/>
      <c r="Y152" s="575"/>
      <c r="Z152" s="575"/>
      <c r="AA152" s="575"/>
      <c r="AB152" s="575"/>
      <c r="AC152" s="575"/>
      <c r="AD152" s="575"/>
      <c r="AE152" s="575"/>
      <c r="AF152" s="575"/>
      <c r="AG152" s="575"/>
      <c r="AH152" s="575"/>
      <c r="AI152" s="575"/>
      <c r="AJ152" s="575"/>
    </row>
    <row r="153" spans="2:36" s="571" customFormat="1" x14ac:dyDescent="0.35">
      <c r="B153" s="570" t="str">
        <f t="shared" si="55"/>
        <v>Endeavour</v>
      </c>
      <c r="C153" s="570" t="str">
        <f t="shared" si="56"/>
        <v>Residential</v>
      </c>
      <c r="D153" s="570" t="str">
        <f t="shared" si="57"/>
        <v>time of use</v>
      </c>
      <c r="E153" s="615" t="s">
        <v>282</v>
      </c>
      <c r="F153" s="584"/>
      <c r="G153" s="571" t="s">
        <v>55</v>
      </c>
      <c r="H153" s="577"/>
      <c r="I153" s="577">
        <f>IF($H$3=PY,0,SUM(I145:I152))</f>
        <v>0</v>
      </c>
      <c r="J153" s="577">
        <f>IF($H$3=PY,0,F145*I153/1000+SUM(H145:H152))</f>
        <v>0</v>
      </c>
      <c r="K153" s="578"/>
      <c r="L153" s="579"/>
      <c r="M153" s="578"/>
      <c r="N153" s="580"/>
      <c r="O153" s="577"/>
      <c r="P153" s="577">
        <f>SUM(P145:P152)</f>
        <v>48.931371591943247</v>
      </c>
      <c r="Q153" s="577">
        <f>O153+P153*$F$145/1000</f>
        <v>40.978149636068714</v>
      </c>
      <c r="R153" s="578"/>
      <c r="S153" s="578"/>
      <c r="T153" s="621"/>
      <c r="U153" s="578"/>
      <c r="V153" s="578"/>
      <c r="W153" s="578"/>
      <c r="X153" s="578"/>
      <c r="Y153" s="578"/>
      <c r="Z153" s="578"/>
      <c r="AA153" s="578"/>
      <c r="AB153" s="578"/>
      <c r="AC153" s="578"/>
      <c r="AD153" s="578"/>
      <c r="AE153" s="578"/>
      <c r="AF153" s="578"/>
      <c r="AG153" s="578"/>
      <c r="AH153" s="578"/>
      <c r="AI153" s="578"/>
      <c r="AJ153" s="578"/>
    </row>
    <row r="154" spans="2:36" s="570" customFormat="1" x14ac:dyDescent="0.35">
      <c r="B154" s="570" t="str">
        <f t="shared" si="55"/>
        <v>Endeavour</v>
      </c>
      <c r="C154" s="570" t="str">
        <f t="shared" si="56"/>
        <v>Residential</v>
      </c>
      <c r="D154" s="570" t="str">
        <f t="shared" si="57"/>
        <v>time of use</v>
      </c>
      <c r="E154" s="570" t="s">
        <v>272</v>
      </c>
      <c r="F154" s="485" cm="1">
        <f t="array" ref="F154">_xlfn.XLOOKUP(1,($B154=DistributionZone)*($C154=CustomerType)*($D154=tariffL2)*($F$5=Description)*($E154=tariffType),valuesPY)</f>
        <v>4900</v>
      </c>
      <c r="G154" s="571" t="s">
        <v>55</v>
      </c>
      <c r="H154" s="577">
        <f>IF($H$3=PY,0,SUM(H145:H152,H136:H143,H127:H134,H118:H125))</f>
        <v>0</v>
      </c>
      <c r="I154" s="577"/>
      <c r="J154" s="577">
        <f>SUM(J153,J144,J135,J126)</f>
        <v>0</v>
      </c>
      <c r="K154" s="578"/>
      <c r="L154" s="579"/>
      <c r="M154" s="578" t="str">
        <f>IF(OR(J154=0,Q154=""),"",Q154/J154-1)</f>
        <v/>
      </c>
      <c r="N154" s="580"/>
      <c r="O154" s="577">
        <f>SUM(O118:O153)</f>
        <v>13.125399999999999</v>
      </c>
      <c r="P154" s="577"/>
      <c r="Q154" s="577">
        <f>SUM(Q153,Q144,Q135,Q126)</f>
        <v>793.29729472422309</v>
      </c>
      <c r="R154" s="578"/>
      <c r="S154" s="578"/>
      <c r="T154" s="621"/>
      <c r="U154" s="578"/>
      <c r="V154" s="578"/>
      <c r="W154" s="578"/>
      <c r="X154" s="578"/>
      <c r="Y154" s="578"/>
      <c r="Z154" s="578"/>
      <c r="AA154" s="578"/>
      <c r="AB154" s="578"/>
      <c r="AC154" s="578"/>
      <c r="AD154" s="578"/>
      <c r="AE154" s="578"/>
      <c r="AF154" s="578"/>
      <c r="AG154" s="578"/>
      <c r="AH154" s="578"/>
      <c r="AI154" s="578"/>
      <c r="AJ154" s="578"/>
    </row>
    <row r="155" spans="2:36" s="570" customFormat="1" x14ac:dyDescent="0.35">
      <c r="B155" s="570" t="str">
        <f t="shared" si="55"/>
        <v>Endeavour</v>
      </c>
      <c r="C155" s="570" t="str">
        <f t="shared" si="56"/>
        <v>Residential</v>
      </c>
      <c r="D155" s="570" t="str">
        <f t="shared" si="57"/>
        <v>time of use</v>
      </c>
      <c r="F155" s="485"/>
      <c r="G155" s="570" t="s">
        <v>38</v>
      </c>
      <c r="H155" s="574"/>
      <c r="I155" s="574"/>
      <c r="J155" s="574">
        <f>J154*GST</f>
        <v>0</v>
      </c>
      <c r="K155" s="575"/>
      <c r="L155" s="581"/>
      <c r="M155" s="575"/>
      <c r="N155" s="582"/>
      <c r="O155" s="574"/>
      <c r="P155" s="574"/>
      <c r="Q155" s="574">
        <f>Q154*GST</f>
        <v>79.329729472422315</v>
      </c>
      <c r="R155" s="578"/>
      <c r="S155" s="578"/>
      <c r="T155" s="621"/>
      <c r="U155" s="578"/>
      <c r="V155" s="578"/>
      <c r="W155" s="578"/>
      <c r="X155" s="578"/>
      <c r="Y155" s="578"/>
      <c r="Z155" s="578"/>
      <c r="AA155" s="578"/>
      <c r="AB155" s="578"/>
      <c r="AC155" s="578"/>
      <c r="AD155" s="578"/>
      <c r="AE155" s="578"/>
      <c r="AF155" s="578"/>
      <c r="AG155" s="578"/>
      <c r="AH155" s="578"/>
      <c r="AI155" s="578"/>
      <c r="AJ155" s="578"/>
    </row>
    <row r="156" spans="2:36" s="570" customFormat="1" x14ac:dyDescent="0.35">
      <c r="B156" s="570" t="str">
        <f t="shared" si="55"/>
        <v>Endeavour</v>
      </c>
      <c r="C156" s="570" t="str">
        <f t="shared" si="56"/>
        <v>Residential</v>
      </c>
      <c r="D156" s="570" t="str">
        <f t="shared" si="57"/>
        <v>time of use</v>
      </c>
      <c r="E156" s="570" t="s">
        <v>272</v>
      </c>
      <c r="F156" s="485"/>
      <c r="G156" s="571" t="s">
        <v>79</v>
      </c>
      <c r="H156" s="577"/>
      <c r="I156" s="577"/>
      <c r="J156" s="577">
        <f>SUM(J154:J155)</f>
        <v>0</v>
      </c>
      <c r="K156" s="578"/>
      <c r="L156" s="579"/>
      <c r="M156" s="578" t="str">
        <f>IF(OR(J156=0,Q156=""),"",Q156/J156-1)</f>
        <v/>
      </c>
      <c r="N156" s="580"/>
      <c r="O156" s="577"/>
      <c r="P156" s="577"/>
      <c r="Q156" s="577">
        <f>SUM(Q154:Q155)</f>
        <v>872.62702419664538</v>
      </c>
      <c r="R156" s="578"/>
      <c r="S156" s="578"/>
      <c r="T156" s="621"/>
      <c r="U156" s="578"/>
      <c r="V156" s="578"/>
      <c r="W156" s="578"/>
      <c r="X156" s="578"/>
      <c r="Y156" s="578"/>
      <c r="Z156" s="578"/>
      <c r="AA156" s="578"/>
      <c r="AB156" s="578"/>
      <c r="AC156" s="578"/>
      <c r="AD156" s="578"/>
      <c r="AE156" s="578"/>
      <c r="AF156" s="578"/>
      <c r="AG156" s="578"/>
      <c r="AH156" s="578"/>
      <c r="AI156" s="578"/>
      <c r="AJ156" s="578"/>
    </row>
    <row r="157" spans="2:36" x14ac:dyDescent="0.35">
      <c r="F157" s="258"/>
      <c r="H157" s="482"/>
      <c r="I157" s="482"/>
      <c r="J157" s="482"/>
      <c r="K157" s="484"/>
      <c r="L157" s="567"/>
      <c r="M157" s="484"/>
      <c r="N157" s="568"/>
      <c r="O157" s="482"/>
      <c r="P157" s="482"/>
      <c r="Q157" s="482"/>
      <c r="R157" s="484"/>
      <c r="S157" s="484"/>
      <c r="T157" s="607"/>
      <c r="U157" s="484"/>
      <c r="V157" s="484"/>
      <c r="W157" s="484"/>
      <c r="X157" s="484"/>
      <c r="Y157" s="484"/>
      <c r="Z157" s="484"/>
      <c r="AA157" s="484"/>
      <c r="AB157" s="484"/>
      <c r="AC157" s="484"/>
      <c r="AD157" s="484"/>
      <c r="AE157" s="484"/>
      <c r="AF157" s="484"/>
      <c r="AG157" s="484"/>
      <c r="AH157" s="484"/>
      <c r="AI157" s="484"/>
      <c r="AJ157" s="484"/>
    </row>
    <row r="158" spans="2:36" x14ac:dyDescent="0.35">
      <c r="B158" s="64" t="s">
        <v>4</v>
      </c>
      <c r="C158" s="64"/>
      <c r="D158" s="64" t="s">
        <v>285</v>
      </c>
      <c r="F158" s="258"/>
      <c r="H158" s="482"/>
      <c r="I158" s="482"/>
      <c r="J158" s="482"/>
      <c r="K158" s="484"/>
      <c r="L158" s="567"/>
      <c r="M158" s="484"/>
      <c r="N158" s="568"/>
      <c r="O158" s="482"/>
      <c r="P158" s="482"/>
      <c r="Q158" s="482"/>
      <c r="R158" s="484"/>
      <c r="S158" s="484"/>
      <c r="T158" s="607"/>
      <c r="U158" s="484"/>
      <c r="V158" s="484"/>
      <c r="W158" s="484"/>
      <c r="X158" s="484"/>
      <c r="Y158" s="484"/>
      <c r="Z158" s="484"/>
      <c r="AA158" s="484"/>
      <c r="AB158" s="484"/>
      <c r="AC158" s="484"/>
      <c r="AD158" s="484"/>
      <c r="AE158" s="484"/>
      <c r="AF158" s="484"/>
      <c r="AG158" s="484"/>
      <c r="AH158" s="484"/>
      <c r="AI158" s="484"/>
      <c r="AJ158" s="484"/>
    </row>
    <row r="159" spans="2:36" x14ac:dyDescent="0.35">
      <c r="B159" s="30" t="str">
        <f>B158</f>
        <v>Endeavour</v>
      </c>
      <c r="D159" s="30" t="str">
        <f>D158</f>
        <v>controlled load</v>
      </c>
      <c r="F159" s="485"/>
      <c r="G159" s="64"/>
      <c r="H159" s="487"/>
      <c r="I159" s="487"/>
      <c r="J159" s="487"/>
      <c r="K159" s="564"/>
      <c r="L159" s="565"/>
      <c r="M159" s="564"/>
      <c r="N159" s="566"/>
      <c r="O159" s="487"/>
      <c r="P159" s="487"/>
      <c r="Q159" s="487"/>
      <c r="R159" s="564"/>
      <c r="S159" s="564"/>
      <c r="T159" s="611"/>
      <c r="U159" s="564"/>
      <c r="V159" s="564"/>
      <c r="W159" s="564"/>
      <c r="X159" s="564"/>
      <c r="Y159" s="564"/>
      <c r="Z159" s="564"/>
      <c r="AA159" s="564"/>
      <c r="AB159" s="564"/>
      <c r="AC159" s="564"/>
      <c r="AD159" s="564"/>
      <c r="AE159" s="564"/>
      <c r="AF159" s="564"/>
      <c r="AG159" s="564"/>
      <c r="AH159" s="564"/>
      <c r="AI159" s="564"/>
      <c r="AJ159" s="564"/>
    </row>
    <row r="160" spans="2:36" x14ac:dyDescent="0.35">
      <c r="B160" s="30" t="str">
        <f t="shared" ref="B160:B180" si="73">B159</f>
        <v>Endeavour</v>
      </c>
      <c r="D160" s="30" t="str">
        <f t="shared" ref="D160:D180" si="74">D159</f>
        <v>controlled load</v>
      </c>
      <c r="E160" s="30" t="s">
        <v>14</v>
      </c>
      <c r="F160" s="258" cm="1">
        <f t="array" ref="F160">_xlfn.XLOOKUP(1,($B160=DistributionZone)*($C160=CustomerType)*($D160=tariffL2)*($F$5=Description)*(E160=tariffType),valuesFY)</f>
        <v>1474</v>
      </c>
      <c r="G160" s="30" t="s">
        <v>69</v>
      </c>
      <c r="H160" s="482"/>
      <c r="I160" s="482" cm="1">
        <f t="array" ref="I160">IFERROR(_xlfn.XLOOKUP(1,($B160=DistributionZone)*($C160=CustomerType)*($E160=tariffType)*($G160=Description),valuesPY),0)</f>
        <v>118.46</v>
      </c>
      <c r="J160" s="482">
        <f t="shared" ref="J160:J176" si="75">IF(AND(H160="",I160=""),"",H160+I160*F160/1000)</f>
        <v>174.61003999999997</v>
      </c>
      <c r="K160" s="484">
        <f>IFERROR(J160/J168,"")</f>
        <v>0.90919322153593851</v>
      </c>
      <c r="L160" s="484"/>
      <c r="M160" s="484">
        <f t="shared" ref="M160:M168" si="76">IF(OR(J160=0,Q160=""),"",Q160/J160-1)</f>
        <v>-0.10898193483032248</v>
      </c>
      <c r="N160" s="563"/>
      <c r="O160" s="482"/>
      <c r="P160" s="482" cm="1">
        <f t="array" ref="P160">IFERROR(_xlfn.XLOOKUP(1,($B160=DistributionZone)*($C160=CustomerType)*($E160=tariffType)*($G160=Description),valuesFY),0)</f>
        <v>105.55</v>
      </c>
      <c r="Q160" s="482">
        <f t="shared" ref="Q160:Q177" si="77">IF(AND(O160="",P160=""),"",O160+P160*$F160/1000)</f>
        <v>155.58069999999998</v>
      </c>
      <c r="R160" s="484">
        <f t="shared" ref="R160:R167" si="78">IFERROR(Q160/$Q$168,"")</f>
        <v>0.90220403174574437</v>
      </c>
      <c r="S160" s="484"/>
      <c r="T160" s="608"/>
      <c r="U160" s="484"/>
      <c r="V160" s="484"/>
      <c r="W160" s="484"/>
      <c r="X160" s="484"/>
      <c r="Y160" s="484"/>
      <c r="Z160" s="484"/>
      <c r="AA160" s="484"/>
      <c r="AB160" s="484"/>
      <c r="AC160" s="484"/>
      <c r="AD160" s="484"/>
      <c r="AE160" s="484"/>
      <c r="AF160" s="484"/>
      <c r="AG160" s="484"/>
      <c r="AH160" s="484"/>
      <c r="AI160" s="484"/>
      <c r="AJ160" s="484"/>
    </row>
    <row r="161" spans="2:36" x14ac:dyDescent="0.35">
      <c r="B161" s="30" t="str">
        <f t="shared" si="73"/>
        <v>Endeavour</v>
      </c>
      <c r="D161" s="30" t="str">
        <f t="shared" si="74"/>
        <v>controlled load</v>
      </c>
      <c r="E161" s="30" t="s">
        <v>14</v>
      </c>
      <c r="F161" s="258">
        <f t="shared" ref="F161:F168" si="79">F160</f>
        <v>1474</v>
      </c>
      <c r="G161" s="30" t="s">
        <v>70</v>
      </c>
      <c r="H161" s="482"/>
      <c r="I161" s="482" cm="1">
        <f t="array" ref="I161">IFERROR(_xlfn.XLOOKUP(1,($B161=DistributionZone)*(I$5=Desc_FixedOrVar)*($G161=Description),valuesPY),0)</f>
        <v>0.15378802592718904</v>
      </c>
      <c r="J161" s="482">
        <f t="shared" si="75"/>
        <v>0.22668355021667666</v>
      </c>
      <c r="K161" s="484">
        <f>IFERROR(J161/J168,"")</f>
        <v>1.1803396144385739E-3</v>
      </c>
      <c r="L161" s="484"/>
      <c r="M161" s="484">
        <f t="shared" si="76"/>
        <v>-0.1962157976411667</v>
      </c>
      <c r="N161" s="563"/>
      <c r="O161" s="482"/>
      <c r="P161" s="482" cm="1">
        <f t="array" ref="P161">IFERROR(_xlfn.XLOOKUP(1,($B161=DistributionZone)*(P$5=Desc_FixedOrVar)*($G161=Description),valuesFY),0)</f>
        <v>0.12361238575222523</v>
      </c>
      <c r="Q161" s="482">
        <f t="shared" si="77"/>
        <v>0.18220465659877999</v>
      </c>
      <c r="R161" s="484">
        <f t="shared" si="78"/>
        <v>1.0565949104629827E-3</v>
      </c>
      <c r="S161" s="631"/>
      <c r="T161" s="607"/>
      <c r="U161" s="484"/>
      <c r="V161" s="484"/>
      <c r="W161" s="484"/>
      <c r="X161" s="484"/>
      <c r="Y161" s="484"/>
      <c r="Z161" s="484"/>
      <c r="AA161" s="484"/>
      <c r="AB161" s="484"/>
      <c r="AC161" s="484"/>
      <c r="AD161" s="484"/>
      <c r="AE161" s="484"/>
      <c r="AF161" s="484"/>
      <c r="AG161" s="484"/>
      <c r="AH161" s="484"/>
      <c r="AI161" s="484"/>
      <c r="AJ161" s="484"/>
    </row>
    <row r="162" spans="2:36" x14ac:dyDescent="0.35">
      <c r="B162" s="30" t="str">
        <f t="shared" si="73"/>
        <v>Endeavour</v>
      </c>
      <c r="D162" s="30" t="str">
        <f t="shared" si="74"/>
        <v>controlled load</v>
      </c>
      <c r="E162" s="30" t="s">
        <v>14</v>
      </c>
      <c r="F162" s="258">
        <f t="shared" si="79"/>
        <v>1474</v>
      </c>
      <c r="G162" s="30" t="s">
        <v>77</v>
      </c>
      <c r="H162" s="482"/>
      <c r="I162" s="482" cm="1">
        <f t="array" ref="I162">IFERROR(_xlfn.XLOOKUP(1,($B162=DistributionZone)*(I$5=Desc_FixedOrVar)*($G162=Description),valuesPY),0)</f>
        <v>0.57443</v>
      </c>
      <c r="J162" s="482">
        <f t="shared" si="75"/>
        <v>0.84670982000000006</v>
      </c>
      <c r="K162" s="484">
        <f>IFERROR(J162/J168,"")</f>
        <v>4.408811938602813E-3</v>
      </c>
      <c r="L162" s="484"/>
      <c r="M162" s="484">
        <f t="shared" si="76"/>
        <v>-9.5799314102675726E-2</v>
      </c>
      <c r="N162" s="563"/>
      <c r="O162" s="482"/>
      <c r="P162" s="482" cm="1">
        <f t="array" ref="P162">IFERROR(_xlfn.XLOOKUP(1,($B162=DistributionZone)*(P$5=Desc_FixedOrVar)*($G162=Description),valuesFY),0)</f>
        <v>0.51939999999999997</v>
      </c>
      <c r="Q162" s="482">
        <f t="shared" si="77"/>
        <v>0.76559560000000004</v>
      </c>
      <c r="R162" s="484">
        <f t="shared" si="78"/>
        <v>4.4396473149098982E-3</v>
      </c>
      <c r="S162" s="484"/>
      <c r="T162" s="607"/>
      <c r="U162" s="484"/>
      <c r="V162" s="484"/>
      <c r="W162" s="484"/>
      <c r="X162" s="484"/>
      <c r="Y162" s="484"/>
      <c r="Z162" s="484"/>
      <c r="AA162" s="484"/>
      <c r="AB162" s="484"/>
      <c r="AC162" s="484"/>
      <c r="AD162" s="484"/>
      <c r="AE162" s="484"/>
      <c r="AF162" s="484"/>
      <c r="AG162" s="484"/>
      <c r="AH162" s="484"/>
      <c r="AI162" s="484"/>
      <c r="AJ162" s="484"/>
    </row>
    <row r="163" spans="2:36" x14ac:dyDescent="0.35">
      <c r="B163" s="30" t="str">
        <f t="shared" si="73"/>
        <v>Endeavour</v>
      </c>
      <c r="D163" s="30" t="str">
        <f t="shared" si="74"/>
        <v>controlled load</v>
      </c>
      <c r="E163" s="30" t="s">
        <v>14</v>
      </c>
      <c r="F163" s="258">
        <f t="shared" si="79"/>
        <v>1474</v>
      </c>
      <c r="G163" s="30" t="s">
        <v>71</v>
      </c>
      <c r="H163" s="482"/>
      <c r="I163" s="482" cm="1">
        <f t="array" ref="I163">IFERROR(_xlfn.XLOOKUP(1,($B163=DistributionZone)*(I$5=Desc_FixedOrVar)*($G163=Description),valuesPY),0)</f>
        <v>5.2786233739509421E-2</v>
      </c>
      <c r="J163" s="482">
        <f t="shared" si="75"/>
        <v>7.7806908532036881E-2</v>
      </c>
      <c r="K163" s="484">
        <f>IFERROR(J163/J168,"")</f>
        <v>4.0514001271630616E-4</v>
      </c>
      <c r="L163" s="484"/>
      <c r="M163" s="484">
        <f t="shared" si="76"/>
        <v>1.413017537285187</v>
      </c>
      <c r="N163" s="563"/>
      <c r="O163" s="482"/>
      <c r="P163" s="482" cm="1">
        <f t="array" ref="P163">IFERROR(_xlfn.XLOOKUP(1,($B163=DistributionZone)*(P$5=Desc_FixedOrVar)*($G163=Description),valuesFY),0)</f>
        <v>0.12737410774067126</v>
      </c>
      <c r="Q163" s="482">
        <f t="shared" si="77"/>
        <v>0.18774943480974943</v>
      </c>
      <c r="R163" s="484">
        <f t="shared" si="78"/>
        <v>1.0887487782439643E-3</v>
      </c>
      <c r="S163" s="484"/>
      <c r="T163" s="607"/>
      <c r="U163" s="484"/>
      <c r="V163" s="484"/>
      <c r="W163" s="484"/>
      <c r="X163" s="484"/>
      <c r="Y163" s="484"/>
      <c r="Z163" s="484"/>
      <c r="AA163" s="484"/>
      <c r="AB163" s="484"/>
      <c r="AC163" s="484"/>
      <c r="AD163" s="484"/>
      <c r="AE163" s="484"/>
      <c r="AF163" s="484"/>
      <c r="AG163" s="484"/>
      <c r="AH163" s="484"/>
      <c r="AI163" s="484"/>
      <c r="AJ163" s="484"/>
    </row>
    <row r="164" spans="2:36" x14ac:dyDescent="0.35">
      <c r="B164" s="30" t="str">
        <f t="shared" si="73"/>
        <v>Endeavour</v>
      </c>
      <c r="D164" s="30" t="str">
        <f t="shared" si="74"/>
        <v>controlled load</v>
      </c>
      <c r="E164" s="30" t="s">
        <v>14</v>
      </c>
      <c r="F164" s="258">
        <f t="shared" si="79"/>
        <v>1474</v>
      </c>
      <c r="G164" s="30" t="s">
        <v>173</v>
      </c>
      <c r="H164" s="482"/>
      <c r="I164" s="482" cm="1">
        <f t="array" ref="I164">IFERROR(_xlfn.XLOOKUP(1,($B164=DistributionZone)*(I$5=Desc_FixedOrVar)*($G164=Description),valuesPY),0)</f>
        <v>0.11507709849820914</v>
      </c>
      <c r="J164" s="482">
        <f t="shared" si="75"/>
        <v>0.16962364318636028</v>
      </c>
      <c r="K164" s="484">
        <f>IFERROR(J164/J169,"")</f>
        <v>1.9723229934103859E-3</v>
      </c>
      <c r="L164" s="484"/>
      <c r="M164" s="484">
        <f t="shared" si="76"/>
        <v>-1</v>
      </c>
      <c r="N164" s="563"/>
      <c r="O164" s="482"/>
      <c r="P164" s="482" cm="1">
        <f t="array" ref="P164">IFERROR(_xlfn.XLOOKUP(1,($B164=DistributionZone)*(P$5=Desc_FixedOrVar)*($G164=Description),valuesFY),0)</f>
        <v>0</v>
      </c>
      <c r="Q164" s="482">
        <f t="shared" si="77"/>
        <v>0</v>
      </c>
      <c r="R164" s="484">
        <f t="shared" si="78"/>
        <v>0</v>
      </c>
      <c r="S164" s="484"/>
      <c r="T164" s="607"/>
      <c r="U164" s="484"/>
      <c r="V164" s="484"/>
      <c r="W164" s="484"/>
      <c r="X164" s="484"/>
      <c r="Y164" s="484"/>
      <c r="Z164" s="484"/>
      <c r="AA164" s="484"/>
      <c r="AB164" s="484"/>
      <c r="AC164" s="484"/>
      <c r="AD164" s="484"/>
      <c r="AE164" s="484"/>
      <c r="AF164" s="484"/>
      <c r="AG164" s="484"/>
      <c r="AH164" s="484"/>
      <c r="AI164" s="484"/>
      <c r="AJ164" s="484"/>
    </row>
    <row r="165" spans="2:36" x14ac:dyDescent="0.35">
      <c r="B165" s="30" t="str">
        <f t="shared" si="73"/>
        <v>Endeavour</v>
      </c>
      <c r="D165" s="30" t="str">
        <f t="shared" si="74"/>
        <v>controlled load</v>
      </c>
      <c r="E165" s="30" t="s">
        <v>14</v>
      </c>
      <c r="F165" s="258">
        <f t="shared" si="79"/>
        <v>1474</v>
      </c>
      <c r="G165" s="30" t="s">
        <v>130</v>
      </c>
      <c r="H165" s="482"/>
      <c r="I165" s="482" cm="1">
        <f t="array" ref="I165">IFERROR(_xlfn.XLOOKUP(1,($B165=DistributionZone)*(I$5=Desc_FixedOrVar)*($G165=Description),valuesPY),0)</f>
        <v>3.1348835402205433</v>
      </c>
      <c r="J165" s="482">
        <f t="shared" si="75"/>
        <v>4.6208183382850816</v>
      </c>
      <c r="K165" s="484">
        <f>IFERROR(J165/J168,"")</f>
        <v>2.4060567829420097E-2</v>
      </c>
      <c r="L165" s="484"/>
      <c r="M165" s="484">
        <f t="shared" si="76"/>
        <v>-7.2394778388588876E-2</v>
      </c>
      <c r="N165" s="563"/>
      <c r="O165" s="482"/>
      <c r="P165" s="482" cm="1">
        <f t="array" ref="P165">IFERROR(_xlfn.XLOOKUP(1,($B165=DistributionZone)*(P$5=Desc_FixedOrVar)*($G165=Description),valuesFY),0)</f>
        <v>2.9079343410522429</v>
      </c>
      <c r="Q165" s="482">
        <f t="shared" si="77"/>
        <v>4.2862952187110057</v>
      </c>
      <c r="R165" s="484">
        <f t="shared" si="78"/>
        <v>2.4855993240637028E-2</v>
      </c>
      <c r="S165" s="484"/>
      <c r="T165" s="607"/>
      <c r="U165" s="484"/>
      <c r="V165" s="484"/>
      <c r="W165" s="484"/>
      <c r="X165" s="484"/>
      <c r="Y165" s="484"/>
      <c r="Z165" s="484"/>
      <c r="AA165" s="484"/>
      <c r="AB165" s="484"/>
      <c r="AC165" s="484"/>
      <c r="AD165" s="484"/>
      <c r="AE165" s="484"/>
      <c r="AF165" s="484"/>
      <c r="AG165" s="484"/>
      <c r="AH165" s="484"/>
      <c r="AI165" s="484"/>
      <c r="AJ165" s="484"/>
    </row>
    <row r="166" spans="2:36" x14ac:dyDescent="0.35">
      <c r="B166" s="30" t="str">
        <f t="shared" si="73"/>
        <v>Endeavour</v>
      </c>
      <c r="D166" s="30" t="str">
        <f t="shared" si="74"/>
        <v>controlled load</v>
      </c>
      <c r="E166" s="30" t="s">
        <v>14</v>
      </c>
      <c r="F166" s="258">
        <f t="shared" si="79"/>
        <v>1474</v>
      </c>
      <c r="G166" s="30" t="s">
        <v>302</v>
      </c>
      <c r="H166" s="482"/>
      <c r="I166" s="482"/>
      <c r="J166" s="482"/>
      <c r="K166" s="484"/>
      <c r="L166" s="484"/>
      <c r="M166" s="484"/>
      <c r="N166" s="563"/>
      <c r="O166" s="482"/>
      <c r="P166" s="482" cm="1">
        <f t="array" ref="P166">IFERROR(_xlfn.XLOOKUP(1,($B166=DistributionZone)*(E166=tariffType)*(P$5=Desc_FixedOrVar)*($G166=Description),valuesFY),0)</f>
        <v>1.2310000000000003</v>
      </c>
      <c r="Q166" s="482">
        <f t="shared" ref="Q166" si="80">IF(AND(O166="",P166=""),"",O166+P166*$F166/1000)</f>
        <v>1.8144940000000003</v>
      </c>
      <c r="R166" s="484">
        <f>IFERROR(Q166/$Q$168,"")</f>
        <v>1.0522152184547717E-2</v>
      </c>
      <c r="S166" s="484"/>
      <c r="T166" s="607"/>
      <c r="U166" s="484"/>
      <c r="V166" s="484"/>
      <c r="W166" s="484"/>
      <c r="X166" s="484"/>
      <c r="Y166" s="484"/>
      <c r="Z166" s="484"/>
      <c r="AA166" s="484"/>
      <c r="AB166" s="484"/>
      <c r="AC166" s="484"/>
      <c r="AD166" s="484"/>
      <c r="AE166" s="484"/>
      <c r="AF166" s="484"/>
      <c r="AG166" s="484"/>
      <c r="AH166" s="484"/>
      <c r="AI166" s="484"/>
      <c r="AJ166" s="484"/>
    </row>
    <row r="167" spans="2:36" x14ac:dyDescent="0.35">
      <c r="B167" s="30" t="str">
        <f>B165</f>
        <v>Endeavour</v>
      </c>
      <c r="D167" s="30" t="str">
        <f>D165</f>
        <v>controlled load</v>
      </c>
      <c r="E167" s="30" t="s">
        <v>14</v>
      </c>
      <c r="F167" s="258">
        <f>F165</f>
        <v>1474</v>
      </c>
      <c r="G167" s="30" t="s">
        <v>72</v>
      </c>
      <c r="H167" s="482"/>
      <c r="I167" s="482" cm="1">
        <f t="array" ref="I167">IFERROR(_xlfn.XLOOKUP(1,($B167=DistributionZone)*($C167=CustomerType)*($E167=tariffType)*($G167=Description),valuesPY),0)*SUM(I160:I165)</f>
        <v>7.8003716338870897</v>
      </c>
      <c r="J167" s="482">
        <f t="shared" si="75"/>
        <v>11.497747788349571</v>
      </c>
      <c r="K167" s="484">
        <f>IFERROR(J167/J168,"")</f>
        <v>5.9868689979667031E-2</v>
      </c>
      <c r="L167" s="484"/>
      <c r="M167" s="484">
        <f t="shared" si="76"/>
        <v>-0.16260987428736984</v>
      </c>
      <c r="N167" s="563"/>
      <c r="O167" s="482"/>
      <c r="P167" s="482" cm="1">
        <f t="array" ref="P167">IFERROR(_xlfn.XLOOKUP(1,($B167=DistributionZone)*($C167=CustomerType)*($E167=tariffType)*($G167=Description),valuesFY),0)*SUM(P160:P166)</f>
        <v>6.5319541831059444</v>
      </c>
      <c r="Q167" s="482">
        <f t="shared" si="77"/>
        <v>9.6281004658981626</v>
      </c>
      <c r="R167" s="484">
        <f t="shared" si="78"/>
        <v>5.5832831825453948E-2</v>
      </c>
      <c r="S167" s="484"/>
      <c r="T167" s="607"/>
      <c r="U167" s="484"/>
      <c r="V167" s="484"/>
      <c r="W167" s="484"/>
      <c r="X167" s="484"/>
      <c r="Y167" s="484"/>
      <c r="Z167" s="484"/>
      <c r="AA167" s="484"/>
      <c r="AB167" s="484"/>
      <c r="AC167" s="484"/>
      <c r="AD167" s="484"/>
      <c r="AE167" s="484"/>
      <c r="AF167" s="484"/>
      <c r="AG167" s="484"/>
      <c r="AH167" s="484"/>
      <c r="AI167" s="484"/>
      <c r="AJ167" s="484"/>
    </row>
    <row r="168" spans="2:36" x14ac:dyDescent="0.35">
      <c r="B168" s="30" t="str">
        <f t="shared" si="73"/>
        <v>Endeavour</v>
      </c>
      <c r="D168" s="30" t="str">
        <f t="shared" si="74"/>
        <v>controlled load</v>
      </c>
      <c r="E168" s="30" t="s">
        <v>14</v>
      </c>
      <c r="F168" s="258">
        <f t="shared" si="79"/>
        <v>1474</v>
      </c>
      <c r="G168" s="64" t="s">
        <v>55</v>
      </c>
      <c r="H168" s="487"/>
      <c r="I168" s="487">
        <f>SUM(I160:I167)</f>
        <v>130.29133653227254</v>
      </c>
      <c r="J168" s="487">
        <f>IF(AND(H168="",I168=""),"",H168+I168*F168/1000)</f>
        <v>192.04943004856972</v>
      </c>
      <c r="K168" s="564"/>
      <c r="L168" s="565"/>
      <c r="M168" s="564">
        <f t="shared" si="76"/>
        <v>-0.10207940043141006</v>
      </c>
      <c r="N168" s="566"/>
      <c r="O168" s="487"/>
      <c r="P168" s="487">
        <f>SUM(P160:P167)</f>
        <v>116.99127501765108</v>
      </c>
      <c r="Q168" s="487">
        <f t="shared" si="77"/>
        <v>172.44513937601769</v>
      </c>
      <c r="R168" s="484"/>
      <c r="S168" s="484"/>
      <c r="T168" s="607"/>
      <c r="U168" s="484"/>
      <c r="V168" s="484"/>
      <c r="W168" s="484"/>
      <c r="X168" s="484"/>
      <c r="Y168" s="484"/>
      <c r="Z168" s="484"/>
      <c r="AA168" s="484"/>
      <c r="AB168" s="484"/>
      <c r="AC168" s="484"/>
      <c r="AD168" s="484"/>
      <c r="AE168" s="484"/>
      <c r="AF168" s="484"/>
      <c r="AG168" s="484"/>
      <c r="AH168" s="484"/>
      <c r="AI168" s="484"/>
      <c r="AJ168" s="484"/>
    </row>
    <row r="169" spans="2:36" x14ac:dyDescent="0.35">
      <c r="B169" s="30" t="str">
        <f t="shared" si="73"/>
        <v>Endeavour</v>
      </c>
      <c r="D169" s="30" t="str">
        <f t="shared" si="74"/>
        <v>controlled load</v>
      </c>
      <c r="E169" s="30" t="s">
        <v>15</v>
      </c>
      <c r="F169" s="485" cm="1">
        <f t="array" ref="F169">_xlfn.XLOOKUP(1,($B169=DistributionZone)*($C169=CustomerType)*($D169=tariffL2)*($F$5=Description)*(E169=tariffType),valuesFY)</f>
        <v>726</v>
      </c>
      <c r="G169" s="30" t="s">
        <v>69</v>
      </c>
      <c r="H169" s="482"/>
      <c r="I169" s="482" cm="1">
        <f t="array" ref="I169">IFERROR(_xlfn.XLOOKUP(1,($B169=DistributionZone)*($C169=CustomerType)*($E169=tariffType)*($G169=Description),valuesPY),0)</f>
        <v>118.46</v>
      </c>
      <c r="J169" s="482">
        <f t="shared" si="75"/>
        <v>86.001959999999997</v>
      </c>
      <c r="K169" s="484">
        <f>IFERROR(J169/J177,"")</f>
        <v>0.90919322153593851</v>
      </c>
      <c r="L169" s="484"/>
      <c r="M169" s="484">
        <f t="shared" ref="M169:M178" si="81">IF(OR(J169=0,Q169=""),"",Q169/J169-1)</f>
        <v>-0.21323653553942257</v>
      </c>
      <c r="N169" s="563"/>
      <c r="O169" s="482"/>
      <c r="P169" s="482" cm="1">
        <f t="array" ref="P169">IFERROR(_xlfn.XLOOKUP(1,($B169=DistributionZone)*($C169=CustomerType)*($E169=tariffType)*($G169=Description),valuesFY),0)</f>
        <v>93.2</v>
      </c>
      <c r="Q169" s="482">
        <f t="shared" si="77"/>
        <v>67.663200000000003</v>
      </c>
      <c r="R169" s="484">
        <f t="shared" ref="R169:R176" si="82">IFERROR(Q169/$Q$177,"")</f>
        <v>0.89875386044777983</v>
      </c>
      <c r="S169" s="484"/>
      <c r="T169" s="608"/>
      <c r="U169" s="484"/>
      <c r="V169" s="484"/>
      <c r="W169" s="484"/>
      <c r="X169" s="484"/>
      <c r="Y169" s="484"/>
      <c r="Z169" s="484"/>
      <c r="AA169" s="484"/>
      <c r="AB169" s="484"/>
      <c r="AC169" s="484"/>
      <c r="AD169" s="484"/>
      <c r="AE169" s="484"/>
      <c r="AF169" s="484"/>
      <c r="AG169" s="484"/>
      <c r="AH169" s="484"/>
      <c r="AI169" s="484"/>
      <c r="AJ169" s="484"/>
    </row>
    <row r="170" spans="2:36" x14ac:dyDescent="0.35">
      <c r="B170" s="30" t="str">
        <f t="shared" si="73"/>
        <v>Endeavour</v>
      </c>
      <c r="D170" s="30" t="str">
        <f t="shared" si="74"/>
        <v>controlled load</v>
      </c>
      <c r="E170" s="30" t="s">
        <v>15</v>
      </c>
      <c r="F170" s="258">
        <f>F169</f>
        <v>726</v>
      </c>
      <c r="G170" s="30" t="s">
        <v>70</v>
      </c>
      <c r="H170" s="482"/>
      <c r="I170" s="482" cm="1">
        <f t="array" ref="I170">IFERROR(_xlfn.XLOOKUP(1,($B170=DistributionZone)*(I$5=Desc_FixedOrVar)*($G170=Description),valuesPY),0)</f>
        <v>0.15378802592718904</v>
      </c>
      <c r="J170" s="482">
        <f t="shared" si="75"/>
        <v>0.11165010682313924</v>
      </c>
      <c r="K170" s="484">
        <f>IFERROR(J170/J177,"")</f>
        <v>1.1803396144385737E-3</v>
      </c>
      <c r="L170" s="484"/>
      <c r="M170" s="484">
        <f t="shared" si="81"/>
        <v>-0.19621579764116659</v>
      </c>
      <c r="N170" s="563"/>
      <c r="O170" s="482"/>
      <c r="P170" s="482" cm="1">
        <f t="array" ref="P170">IFERROR(_xlfn.XLOOKUP(1,($B170=DistributionZone)*(P$5=Desc_FixedOrVar)*($G170=Description),valuesFY),0)</f>
        <v>0.12361238575222523</v>
      </c>
      <c r="Q170" s="482">
        <f t="shared" si="77"/>
        <v>8.9742592056115511E-2</v>
      </c>
      <c r="R170" s="484">
        <f t="shared" si="82"/>
        <v>1.1920290653859714E-3</v>
      </c>
      <c r="S170" s="484"/>
      <c r="T170" s="607"/>
      <c r="U170" s="484"/>
      <c r="V170" s="484"/>
      <c r="W170" s="484"/>
      <c r="X170" s="484"/>
      <c r="Y170" s="484"/>
      <c r="Z170" s="484"/>
      <c r="AA170" s="484"/>
      <c r="AB170" s="484"/>
      <c r="AC170" s="484"/>
      <c r="AD170" s="484"/>
      <c r="AE170" s="484"/>
      <c r="AF170" s="484"/>
      <c r="AG170" s="484"/>
      <c r="AH170" s="484"/>
      <c r="AI170" s="484"/>
      <c r="AJ170" s="484"/>
    </row>
    <row r="171" spans="2:36" x14ac:dyDescent="0.35">
      <c r="B171" s="30" t="str">
        <f t="shared" si="73"/>
        <v>Endeavour</v>
      </c>
      <c r="D171" s="30" t="str">
        <f t="shared" si="74"/>
        <v>controlled load</v>
      </c>
      <c r="E171" s="30" t="s">
        <v>15</v>
      </c>
      <c r="F171" s="258">
        <f t="shared" ref="F171:F177" si="83">F170</f>
        <v>726</v>
      </c>
      <c r="G171" s="30" t="s">
        <v>77</v>
      </c>
      <c r="H171" s="482"/>
      <c r="I171" s="482" cm="1">
        <f t="array" ref="I171">IFERROR(_xlfn.XLOOKUP(1,($B171=DistributionZone)*(I$5=Desc_FixedOrVar)*($G171=Description),valuesPY),0)</f>
        <v>0.57443</v>
      </c>
      <c r="J171" s="482">
        <f t="shared" si="75"/>
        <v>0.41703617999999998</v>
      </c>
      <c r="K171" s="484">
        <f>IFERROR(J171/J177,"")</f>
        <v>4.4088119386028121E-3</v>
      </c>
      <c r="L171" s="484"/>
      <c r="M171" s="484">
        <f t="shared" si="81"/>
        <v>-9.5799314102675726E-2</v>
      </c>
      <c r="N171" s="563"/>
      <c r="O171" s="482"/>
      <c r="P171" s="482" cm="1">
        <f t="array" ref="P171">IFERROR(_xlfn.XLOOKUP(1,($B171=DistributionZone)*(P$5=Desc_FixedOrVar)*($G171=Description),valuesFY),0)</f>
        <v>0.51939999999999997</v>
      </c>
      <c r="Q171" s="482">
        <f t="shared" si="77"/>
        <v>0.37708439999999999</v>
      </c>
      <c r="R171" s="484">
        <f t="shared" si="82"/>
        <v>5.0087205484611241E-3</v>
      </c>
      <c r="S171" s="484"/>
      <c r="T171" s="607"/>
      <c r="U171" s="484"/>
      <c r="V171" s="484"/>
      <c r="W171" s="484"/>
      <c r="X171" s="484"/>
      <c r="Y171" s="484"/>
      <c r="Z171" s="484"/>
      <c r="AA171" s="484"/>
      <c r="AB171" s="484"/>
      <c r="AC171" s="484"/>
      <c r="AD171" s="484"/>
      <c r="AE171" s="484"/>
      <c r="AF171" s="484"/>
      <c r="AG171" s="484"/>
      <c r="AH171" s="484"/>
      <c r="AI171" s="484"/>
      <c r="AJ171" s="484"/>
    </row>
    <row r="172" spans="2:36" x14ac:dyDescent="0.35">
      <c r="B172" s="30" t="str">
        <f t="shared" si="73"/>
        <v>Endeavour</v>
      </c>
      <c r="D172" s="30" t="str">
        <f t="shared" si="74"/>
        <v>controlled load</v>
      </c>
      <c r="E172" s="30" t="s">
        <v>15</v>
      </c>
      <c r="F172" s="258">
        <f t="shared" si="83"/>
        <v>726</v>
      </c>
      <c r="G172" s="30" t="s">
        <v>71</v>
      </c>
      <c r="H172" s="482"/>
      <c r="I172" s="482" cm="1">
        <f t="array" ref="I172">IFERROR(_xlfn.XLOOKUP(1,($B172=DistributionZone)*(I$5=Desc_FixedOrVar)*($G172=Description),valuesPY),0)</f>
        <v>5.2786233739509421E-2</v>
      </c>
      <c r="J172" s="482">
        <f t="shared" si="75"/>
        <v>3.8322805694883839E-2</v>
      </c>
      <c r="K172" s="484">
        <f>IFERROR(J172/J177,"")</f>
        <v>4.051400127163061E-4</v>
      </c>
      <c r="L172" s="484"/>
      <c r="M172" s="484">
        <f t="shared" si="81"/>
        <v>1.413017537285187</v>
      </c>
      <c r="N172" s="563"/>
      <c r="O172" s="482"/>
      <c r="P172" s="482" cm="1">
        <f t="array" ref="P172">IFERROR(_xlfn.XLOOKUP(1,($B172=DistributionZone)*(P$5=Desc_FixedOrVar)*($G172=Description),valuesFY),0)</f>
        <v>0.12737410774067126</v>
      </c>
      <c r="Q172" s="482">
        <f t="shared" si="77"/>
        <v>9.2473602219727336E-2</v>
      </c>
      <c r="R172" s="484">
        <f t="shared" si="82"/>
        <v>1.2283044104401258E-3</v>
      </c>
      <c r="S172" s="484"/>
      <c r="T172" s="607"/>
      <c r="U172" s="484"/>
      <c r="V172" s="484"/>
      <c r="W172" s="484"/>
      <c r="X172" s="484"/>
      <c r="Y172" s="484"/>
      <c r="Z172" s="484"/>
      <c r="AA172" s="484"/>
      <c r="AB172" s="484"/>
      <c r="AC172" s="484"/>
      <c r="AD172" s="484"/>
      <c r="AE172" s="484"/>
      <c r="AF172" s="484"/>
      <c r="AG172" s="484"/>
      <c r="AH172" s="484"/>
      <c r="AI172" s="484"/>
      <c r="AJ172" s="484"/>
    </row>
    <row r="173" spans="2:36" x14ac:dyDescent="0.35">
      <c r="B173" s="30" t="str">
        <f t="shared" si="73"/>
        <v>Endeavour</v>
      </c>
      <c r="D173" s="30" t="str">
        <f t="shared" si="74"/>
        <v>controlled load</v>
      </c>
      <c r="E173" s="30" t="s">
        <v>15</v>
      </c>
      <c r="F173" s="258">
        <f t="shared" si="83"/>
        <v>726</v>
      </c>
      <c r="G173" s="30" t="s">
        <v>173</v>
      </c>
      <c r="H173" s="482"/>
      <c r="I173" s="482" cm="1">
        <f t="array" ref="I173">IFERROR(_xlfn.XLOOKUP(1,($B173=DistributionZone)*(I$5=Desc_FixedOrVar)*($G173=Description),valuesPY),0)</f>
        <v>0.11507709849820914</v>
      </c>
      <c r="J173" s="482">
        <f t="shared" si="75"/>
        <v>8.3545973509699833E-2</v>
      </c>
      <c r="K173" s="484">
        <f>IFERROR(J173/J178,"")</f>
        <v>2.914655994414692E-4</v>
      </c>
      <c r="L173" s="484"/>
      <c r="M173" s="484">
        <f t="shared" si="81"/>
        <v>-1</v>
      </c>
      <c r="N173" s="563"/>
      <c r="O173" s="482"/>
      <c r="P173" s="482" cm="1">
        <f t="array" ref="P173">IFERROR(_xlfn.XLOOKUP(1,($B173=DistributionZone)*(P$5=Desc_FixedOrVar)*($G173=Description),valuesFY),0)</f>
        <v>0</v>
      </c>
      <c r="Q173" s="482">
        <f t="shared" si="77"/>
        <v>0</v>
      </c>
      <c r="R173" s="484">
        <f t="shared" si="82"/>
        <v>0</v>
      </c>
      <c r="S173" s="484"/>
      <c r="T173" s="607"/>
      <c r="U173" s="484"/>
      <c r="V173" s="484"/>
      <c r="W173" s="484"/>
      <c r="X173" s="484"/>
      <c r="Y173" s="484"/>
      <c r="Z173" s="484"/>
      <c r="AA173" s="484"/>
      <c r="AB173" s="484"/>
      <c r="AC173" s="484"/>
      <c r="AD173" s="484"/>
      <c r="AE173" s="484"/>
      <c r="AF173" s="484"/>
      <c r="AG173" s="484"/>
      <c r="AH173" s="484"/>
      <c r="AI173" s="484"/>
      <c r="AJ173" s="484"/>
    </row>
    <row r="174" spans="2:36" x14ac:dyDescent="0.35">
      <c r="B174" s="30" t="str">
        <f t="shared" si="73"/>
        <v>Endeavour</v>
      </c>
      <c r="D174" s="30" t="str">
        <f t="shared" si="74"/>
        <v>controlled load</v>
      </c>
      <c r="E174" s="30" t="s">
        <v>15</v>
      </c>
      <c r="F174" s="258">
        <f t="shared" si="83"/>
        <v>726</v>
      </c>
      <c r="G174" s="30" t="s">
        <v>130</v>
      </c>
      <c r="H174" s="482"/>
      <c r="I174" s="482" cm="1">
        <f t="array" ref="I174">IFERROR(_xlfn.XLOOKUP(1,($B174=DistributionZone)*(I$5=Desc_FixedOrVar)*($G174=Description),valuesPY),0)</f>
        <v>3.1348835402205433</v>
      </c>
      <c r="J174" s="482">
        <f t="shared" si="75"/>
        <v>2.2759254502001145</v>
      </c>
      <c r="K174" s="484">
        <f>IFERROR(J174/J177,"")</f>
        <v>2.406056782942009E-2</v>
      </c>
      <c r="L174" s="484"/>
      <c r="M174" s="484">
        <f t="shared" si="81"/>
        <v>-7.2394778388588654E-2</v>
      </c>
      <c r="N174" s="563"/>
      <c r="O174" s="482"/>
      <c r="P174" s="482" cm="1">
        <f t="array" ref="P174">IFERROR(_xlfn.XLOOKUP(1,($B174=DistributionZone)*(P$5=Desc_FixedOrVar)*($G174=Description),valuesFY),0)</f>
        <v>2.9079343410522429</v>
      </c>
      <c r="Q174" s="482">
        <f t="shared" si="77"/>
        <v>2.1111603316039282</v>
      </c>
      <c r="R174" s="484">
        <f t="shared" si="82"/>
        <v>2.8042030203319461E-2</v>
      </c>
      <c r="S174" s="484"/>
      <c r="T174" s="607"/>
      <c r="U174" s="484"/>
      <c r="V174" s="484"/>
      <c r="W174" s="484"/>
      <c r="X174" s="484"/>
      <c r="Y174" s="484"/>
      <c r="Z174" s="484"/>
      <c r="AA174" s="484"/>
      <c r="AB174" s="484"/>
      <c r="AC174" s="484"/>
      <c r="AD174" s="484"/>
      <c r="AE174" s="484"/>
      <c r="AF174" s="484"/>
      <c r="AG174" s="484"/>
      <c r="AH174" s="484"/>
      <c r="AI174" s="484"/>
      <c r="AJ174" s="484"/>
    </row>
    <row r="175" spans="2:36" x14ac:dyDescent="0.35">
      <c r="B175" s="30" t="str">
        <f t="shared" si="73"/>
        <v>Endeavour</v>
      </c>
      <c r="D175" s="30" t="str">
        <f t="shared" si="74"/>
        <v>controlled load</v>
      </c>
      <c r="E175" s="30" t="s">
        <v>15</v>
      </c>
      <c r="F175" s="258">
        <f t="shared" si="83"/>
        <v>726</v>
      </c>
      <c r="G175" s="30" t="s">
        <v>302</v>
      </c>
      <c r="H175" s="482"/>
      <c r="I175" s="482"/>
      <c r="J175" s="482"/>
      <c r="K175" s="484"/>
      <c r="L175" s="484"/>
      <c r="M175" s="484"/>
      <c r="N175" s="563"/>
      <c r="O175" s="482"/>
      <c r="P175" s="482" cm="1">
        <f t="array" ref="P175">IFERROR(_xlfn.XLOOKUP(1,($B175=DistributionZone)*(E175=tariffType)*(P$5=Desc_FixedOrVar)*($G175=Description),valuesFY),0)</f>
        <v>1.0310000000000004</v>
      </c>
      <c r="Q175" s="482">
        <f t="shared" ref="Q175" si="84">IF(AND(O175="",P175=""),"",O175+P175*$F175/1000)</f>
        <v>0.74850600000000034</v>
      </c>
      <c r="R175" s="484">
        <f>IFERROR(Q175/$Q$177,"")</f>
        <v>9.9422234991594569E-3</v>
      </c>
      <c r="S175" s="484"/>
      <c r="T175" s="607"/>
      <c r="U175" s="484"/>
      <c r="V175" s="484"/>
      <c r="W175" s="484"/>
      <c r="X175" s="484"/>
      <c r="Y175" s="484"/>
      <c r="Z175" s="484"/>
      <c r="AA175" s="484"/>
      <c r="AB175" s="484"/>
      <c r="AC175" s="484"/>
      <c r="AD175" s="484"/>
      <c r="AE175" s="484"/>
      <c r="AF175" s="484"/>
      <c r="AG175" s="484"/>
      <c r="AH175" s="484"/>
      <c r="AI175" s="484"/>
      <c r="AJ175" s="484"/>
    </row>
    <row r="176" spans="2:36" x14ac:dyDescent="0.35">
      <c r="B176" s="30" t="str">
        <f>B174</f>
        <v>Endeavour</v>
      </c>
      <c r="D176" s="30" t="str">
        <f>D174</f>
        <v>controlled load</v>
      </c>
      <c r="E176" s="30" t="s">
        <v>15</v>
      </c>
      <c r="F176" s="258">
        <f>F174</f>
        <v>726</v>
      </c>
      <c r="G176" s="30" t="s">
        <v>72</v>
      </c>
      <c r="H176" s="482"/>
      <c r="I176" s="482" cm="1">
        <f t="array" ref="I176">IFERROR(_xlfn.XLOOKUP(1,($B176=DistributionZone)*($C176=CustomerType)*($E176=tariffType)*($G176=Description),valuesPY),0)*SUM(I169:I174)</f>
        <v>7.8003716338870897</v>
      </c>
      <c r="J176" s="482">
        <f t="shared" si="75"/>
        <v>5.663069806202027</v>
      </c>
      <c r="K176" s="484">
        <f>IFERROR(J176/J177,"")</f>
        <v>5.9868689979667024E-2</v>
      </c>
      <c r="L176" s="484"/>
      <c r="M176" s="484">
        <f t="shared" si="81"/>
        <v>-0.25775119869796503</v>
      </c>
      <c r="N176" s="563"/>
      <c r="O176" s="482"/>
      <c r="P176" s="482" cm="1">
        <f t="array" ref="P176">IFERROR(_xlfn.XLOOKUP(1,($B176=DistributionZone)*($C176=CustomerType)*($E176=tariffType)*($G176=Description),valuesFY),0)*SUM(P169:P175)</f>
        <v>5.7898164949630875</v>
      </c>
      <c r="Q176" s="482">
        <f t="shared" si="77"/>
        <v>4.2034067753432023</v>
      </c>
      <c r="R176" s="484">
        <f t="shared" si="82"/>
        <v>5.5832831825453955E-2</v>
      </c>
      <c r="S176" s="484"/>
      <c r="T176" s="607"/>
      <c r="U176" s="484"/>
      <c r="V176" s="484"/>
      <c r="W176" s="484"/>
      <c r="X176" s="484"/>
      <c r="Y176" s="484"/>
      <c r="Z176" s="484"/>
      <c r="AA176" s="484"/>
      <c r="AB176" s="484"/>
      <c r="AC176" s="484"/>
      <c r="AD176" s="484"/>
      <c r="AE176" s="484"/>
      <c r="AF176" s="484"/>
      <c r="AG176" s="484"/>
      <c r="AH176" s="484"/>
      <c r="AI176" s="484"/>
      <c r="AJ176" s="484"/>
    </row>
    <row r="177" spans="2:36" x14ac:dyDescent="0.35">
      <c r="B177" s="30" t="str">
        <f t="shared" si="73"/>
        <v>Endeavour</v>
      </c>
      <c r="D177" s="30" t="str">
        <f t="shared" si="74"/>
        <v>controlled load</v>
      </c>
      <c r="E177" s="30" t="s">
        <v>15</v>
      </c>
      <c r="F177" s="258">
        <f t="shared" si="83"/>
        <v>726</v>
      </c>
      <c r="G177" s="64" t="s">
        <v>55</v>
      </c>
      <c r="H177" s="487"/>
      <c r="I177" s="487">
        <f>SUM(I169:I176)</f>
        <v>130.29133653227254</v>
      </c>
      <c r="J177" s="487">
        <f>IF(AND(H177="",I177=""),"",H177+I177*+Usage!I$39/1000)</f>
        <v>94.591510322429869</v>
      </c>
      <c r="K177" s="564"/>
      <c r="L177" s="565"/>
      <c r="M177" s="564">
        <f t="shared" si="81"/>
        <v>-0.20409798464364926</v>
      </c>
      <c r="N177" s="566"/>
      <c r="O177" s="487"/>
      <c r="P177" s="487">
        <f>SUM(P169:P176)</f>
        <v>103.69913732950825</v>
      </c>
      <c r="Q177" s="487">
        <f t="shared" si="77"/>
        <v>75.285573701222987</v>
      </c>
      <c r="R177" s="484"/>
      <c r="S177" s="484"/>
      <c r="T177" s="607"/>
      <c r="U177" s="484"/>
      <c r="V177" s="484"/>
      <c r="W177" s="484"/>
      <c r="X177" s="484"/>
      <c r="Y177" s="484"/>
      <c r="Z177" s="484"/>
      <c r="AA177" s="484"/>
      <c r="AB177" s="484"/>
      <c r="AC177" s="484"/>
      <c r="AD177" s="484"/>
      <c r="AE177" s="484"/>
      <c r="AF177" s="484"/>
      <c r="AG177" s="484"/>
      <c r="AH177" s="484"/>
      <c r="AI177" s="484"/>
      <c r="AJ177" s="484"/>
    </row>
    <row r="178" spans="2:36" x14ac:dyDescent="0.35">
      <c r="B178" s="30" t="str">
        <f t="shared" si="73"/>
        <v>Endeavour</v>
      </c>
      <c r="D178" s="30" t="str">
        <f t="shared" si="74"/>
        <v>controlled load</v>
      </c>
      <c r="E178" s="30" t="s">
        <v>55</v>
      </c>
      <c r="F178" s="258">
        <f>SUM(F159,F160,F169)</f>
        <v>2200</v>
      </c>
      <c r="G178" s="64" t="s">
        <v>55</v>
      </c>
      <c r="H178" s="487"/>
      <c r="I178" s="487"/>
      <c r="J178" s="487">
        <f>J159+J168+J177</f>
        <v>286.6409403709996</v>
      </c>
      <c r="K178" s="564"/>
      <c r="L178" s="565"/>
      <c r="M178" s="564">
        <f t="shared" si="81"/>
        <v>-0.135745533221449</v>
      </c>
      <c r="N178" s="566"/>
      <c r="O178" s="487"/>
      <c r="P178" s="487"/>
      <c r="Q178" s="487">
        <f>Q159+Q168+Q177</f>
        <v>247.73071307724069</v>
      </c>
      <c r="R178" s="484"/>
      <c r="S178" s="484"/>
      <c r="T178" s="607"/>
      <c r="U178" s="484"/>
      <c r="V178" s="484"/>
      <c r="W178" s="484"/>
      <c r="X178" s="484"/>
      <c r="Y178" s="484"/>
      <c r="Z178" s="484"/>
      <c r="AA178" s="484"/>
      <c r="AB178" s="484"/>
      <c r="AC178" s="484"/>
      <c r="AD178" s="484"/>
      <c r="AE178" s="484"/>
      <c r="AF178" s="484"/>
      <c r="AG178" s="484"/>
      <c r="AH178" s="484"/>
      <c r="AI178" s="484"/>
      <c r="AJ178" s="484"/>
    </row>
    <row r="179" spans="2:36" x14ac:dyDescent="0.35">
      <c r="B179" s="30" t="str">
        <f t="shared" si="73"/>
        <v>Endeavour</v>
      </c>
      <c r="D179" s="30" t="str">
        <f t="shared" si="74"/>
        <v>controlled load</v>
      </c>
      <c r="F179" s="258"/>
      <c r="G179" s="30" t="s">
        <v>38</v>
      </c>
      <c r="H179" s="482"/>
      <c r="I179" s="482"/>
      <c r="J179" s="482">
        <f>J178*GST</f>
        <v>28.664094037099961</v>
      </c>
      <c r="K179" s="484"/>
      <c r="L179" s="567"/>
      <c r="M179" s="484"/>
      <c r="N179" s="568"/>
      <c r="O179" s="482"/>
      <c r="P179" s="482"/>
      <c r="Q179" s="482">
        <f>Q178*GST</f>
        <v>24.77307130772407</v>
      </c>
      <c r="R179" s="564"/>
      <c r="S179" s="564"/>
      <c r="T179" s="611"/>
      <c r="U179" s="564"/>
      <c r="V179" s="564"/>
      <c r="W179" s="564"/>
      <c r="X179" s="564"/>
      <c r="Y179" s="564"/>
      <c r="Z179" s="564"/>
      <c r="AA179" s="564"/>
      <c r="AB179" s="564"/>
      <c r="AC179" s="564"/>
      <c r="AD179" s="564"/>
      <c r="AE179" s="564"/>
      <c r="AF179" s="564"/>
      <c r="AG179" s="564"/>
      <c r="AH179" s="564"/>
      <c r="AI179" s="564"/>
      <c r="AJ179" s="564"/>
    </row>
    <row r="180" spans="2:36" x14ac:dyDescent="0.35">
      <c r="B180" s="30" t="str">
        <f t="shared" si="73"/>
        <v>Endeavour</v>
      </c>
      <c r="D180" s="30" t="str">
        <f t="shared" si="74"/>
        <v>controlled load</v>
      </c>
      <c r="F180" s="258"/>
      <c r="G180" s="64" t="s">
        <v>79</v>
      </c>
      <c r="H180" s="487"/>
      <c r="I180" s="487"/>
      <c r="J180" s="487">
        <f>SUM(J178:J179)</f>
        <v>315.30503440809957</v>
      </c>
      <c r="K180" s="564"/>
      <c r="L180" s="565"/>
      <c r="M180" s="564">
        <f>IF(OR(J180=0,Q180=""),"",Q180/J180-1)</f>
        <v>-0.135745533221449</v>
      </c>
      <c r="N180" s="566"/>
      <c r="O180" s="487"/>
      <c r="P180" s="487"/>
      <c r="Q180" s="487">
        <f>SUM(Q178:Q179)</f>
        <v>272.50378438496477</v>
      </c>
      <c r="R180" s="564"/>
      <c r="S180" s="564"/>
      <c r="T180" s="611"/>
      <c r="U180" s="596"/>
      <c r="V180" s="564"/>
      <c r="W180" s="564"/>
      <c r="X180" s="564"/>
      <c r="Y180" s="564"/>
      <c r="Z180" s="564"/>
      <c r="AA180" s="564"/>
      <c r="AB180" s="564"/>
      <c r="AC180" s="564"/>
      <c r="AD180" s="564"/>
      <c r="AE180" s="564"/>
      <c r="AF180" s="564"/>
      <c r="AG180" s="564"/>
      <c r="AH180" s="564"/>
      <c r="AI180" s="564"/>
      <c r="AJ180" s="564"/>
    </row>
    <row r="181" spans="2:36" x14ac:dyDescent="0.35">
      <c r="F181" s="258"/>
      <c r="H181" s="482"/>
      <c r="I181" s="482"/>
      <c r="J181" s="482"/>
      <c r="K181" s="484"/>
      <c r="L181" s="567"/>
      <c r="M181" s="484"/>
      <c r="N181" s="568"/>
      <c r="O181" s="482"/>
      <c r="P181" s="482"/>
      <c r="Q181" s="482"/>
      <c r="R181" s="484"/>
      <c r="S181" s="484"/>
      <c r="T181" s="607"/>
      <c r="U181" s="484"/>
      <c r="V181" s="484"/>
      <c r="W181" s="484"/>
      <c r="X181" s="484"/>
      <c r="Y181" s="484"/>
      <c r="Z181" s="484"/>
      <c r="AA181" s="484"/>
      <c r="AB181" s="484"/>
      <c r="AC181" s="484"/>
      <c r="AD181" s="484"/>
      <c r="AE181" s="484"/>
      <c r="AF181" s="484"/>
      <c r="AG181" s="484"/>
      <c r="AH181" s="484"/>
      <c r="AI181" s="484"/>
      <c r="AJ181" s="484"/>
    </row>
    <row r="182" spans="2:36" x14ac:dyDescent="0.35">
      <c r="B182" s="64" t="s">
        <v>4</v>
      </c>
      <c r="C182" s="64" t="s">
        <v>13</v>
      </c>
      <c r="D182" s="64" t="s">
        <v>276</v>
      </c>
      <c r="F182" s="258"/>
      <c r="H182" s="482"/>
      <c r="I182" s="482"/>
      <c r="J182" s="482"/>
      <c r="K182" s="484"/>
      <c r="L182" s="567"/>
      <c r="M182" s="484"/>
      <c r="N182" s="568"/>
      <c r="O182" s="482"/>
      <c r="P182" s="482"/>
      <c r="Q182" s="482"/>
      <c r="R182" s="484"/>
      <c r="S182" s="484"/>
      <c r="T182" s="607"/>
      <c r="U182" s="484"/>
      <c r="V182" s="484"/>
      <c r="W182" s="484"/>
      <c r="X182" s="484"/>
      <c r="Y182" s="484"/>
      <c r="Z182" s="484"/>
      <c r="AA182" s="484"/>
      <c r="AB182" s="484"/>
      <c r="AC182" s="484"/>
      <c r="AD182" s="484"/>
      <c r="AE182" s="484"/>
      <c r="AF182" s="484"/>
      <c r="AG182" s="484"/>
      <c r="AH182" s="484"/>
      <c r="AI182" s="484"/>
      <c r="AJ182" s="484"/>
    </row>
    <row r="183" spans="2:36" x14ac:dyDescent="0.35">
      <c r="B183" s="30" t="str">
        <f t="shared" ref="B183:B193" si="85">B182</f>
        <v>Endeavour</v>
      </c>
      <c r="C183" s="30" t="str">
        <f t="shared" ref="C183:C193" si="86">C182</f>
        <v>Small business</v>
      </c>
      <c r="D183" s="30" t="str">
        <f t="shared" ref="D183:D193" si="87">D182</f>
        <v>flat rate</v>
      </c>
      <c r="E183" s="30" t="s">
        <v>19</v>
      </c>
      <c r="F183" s="485" cm="1">
        <f t="array" ref="F183">_xlfn.XLOOKUP(1,($B183=DistributionZone)*($C183=CustomerType)*($D183=tariffL2)*($F$5=Description)*(E183=tariffType),valuesFY)</f>
        <v>10000</v>
      </c>
      <c r="G183" s="30" t="s">
        <v>69</v>
      </c>
      <c r="H183" s="482"/>
      <c r="I183" s="482" cm="1">
        <f t="array" ref="I183">IFERROR(_xlfn.XLOOKUP(1,($B183=DistributionZone)*($C183=CustomerType)*($E183=tariffType)*($G183=Description),valuesPY),0)</f>
        <v>167.4675</v>
      </c>
      <c r="J183" s="482">
        <f t="shared" ref="J183:J190" si="88">H183+I183*F183/1000</f>
        <v>1674.675</v>
      </c>
      <c r="K183" s="484">
        <f>IFERROR(J183/J191,"")</f>
        <v>0.91112387699288211</v>
      </c>
      <c r="L183" s="484"/>
      <c r="M183" s="484">
        <f t="shared" ref="M183:M191" si="89">IF(OR(J183=0,Q183=""),"",Q183/J183-1)</f>
        <v>-0.13678773493364382</v>
      </c>
      <c r="N183" s="563"/>
      <c r="O183" s="482"/>
      <c r="P183" s="482" cm="1">
        <f t="array" ref="P183">IFERROR(_xlfn.XLOOKUP(1,($B183=DistributionZone)*($C183=CustomerType)*($E183=tariffType)*($G183=Description),valuesFY),0)</f>
        <v>144.56</v>
      </c>
      <c r="Q183" s="482">
        <f t="shared" ref="Q183:Q190" si="90">O183+P183*$F183/1000</f>
        <v>1445.6</v>
      </c>
      <c r="R183" s="484">
        <f>IFERROR(Q183/Q191,"")</f>
        <v>0.90050858577556026</v>
      </c>
      <c r="S183" s="484"/>
      <c r="T183" s="608"/>
      <c r="U183" s="484"/>
      <c r="V183" s="484"/>
      <c r="W183" s="484"/>
      <c r="X183" s="484"/>
      <c r="Y183" s="484"/>
      <c r="Z183" s="484"/>
      <c r="AA183" s="484"/>
      <c r="AB183" s="484"/>
      <c r="AC183" s="484"/>
      <c r="AD183" s="484"/>
      <c r="AE183" s="484"/>
      <c r="AF183" s="484"/>
      <c r="AG183" s="484"/>
      <c r="AH183" s="484"/>
      <c r="AI183" s="484"/>
      <c r="AJ183" s="484"/>
    </row>
    <row r="184" spans="2:36" x14ac:dyDescent="0.35">
      <c r="B184" s="30" t="str">
        <f t="shared" si="85"/>
        <v>Endeavour</v>
      </c>
      <c r="C184" s="30" t="str">
        <f t="shared" si="86"/>
        <v>Small business</v>
      </c>
      <c r="D184" s="30" t="str">
        <f t="shared" si="87"/>
        <v>flat rate</v>
      </c>
      <c r="E184" s="30" t="s">
        <v>19</v>
      </c>
      <c r="F184" s="258">
        <f>F183</f>
        <v>10000</v>
      </c>
      <c r="G184" s="30" t="s">
        <v>70</v>
      </c>
      <c r="H184" s="482"/>
      <c r="I184" s="482" cm="1">
        <f t="array" ref="I184">IFERROR(_xlfn.XLOOKUP(1,($B184=DistributionZone)*(I$5=Desc_FixedOrVar)*($G184=Description),valuesPY),0)</f>
        <v>0.15378802592718904</v>
      </c>
      <c r="J184" s="482">
        <f t="shared" si="88"/>
        <v>1.5378802592718905</v>
      </c>
      <c r="K184" s="484">
        <f>IFERROR(J184/J191,"")</f>
        <v>8.3669931430195327E-4</v>
      </c>
      <c r="L184" s="484"/>
      <c r="M184" s="484">
        <f t="shared" si="89"/>
        <v>-0.19621579764116659</v>
      </c>
      <c r="N184" s="563"/>
      <c r="O184" s="482"/>
      <c r="P184" s="482" cm="1">
        <f t="array" ref="P184">IFERROR(_xlfn.XLOOKUP(1,($B184=DistributionZone)*(P$5=Desc_FixedOrVar)*($G184=Description),valuesFY),0)</f>
        <v>0.12361238575222523</v>
      </c>
      <c r="Q184" s="482">
        <f t="shared" si="90"/>
        <v>1.2361238575222524</v>
      </c>
      <c r="R184" s="484">
        <f>IFERROR(Q184/Q191,"")</f>
        <v>7.7001947065633209E-4</v>
      </c>
      <c r="S184" s="484"/>
      <c r="T184" s="607"/>
      <c r="U184" s="484"/>
      <c r="V184" s="484"/>
      <c r="W184" s="484"/>
      <c r="X184" s="484"/>
      <c r="Y184" s="484"/>
      <c r="Z184" s="484"/>
      <c r="AA184" s="484"/>
      <c r="AB184" s="484"/>
      <c r="AC184" s="484"/>
      <c r="AD184" s="484"/>
      <c r="AE184" s="484"/>
      <c r="AF184" s="484"/>
      <c r="AG184" s="484"/>
      <c r="AH184" s="484"/>
      <c r="AI184" s="484"/>
      <c r="AJ184" s="484"/>
    </row>
    <row r="185" spans="2:36" x14ac:dyDescent="0.35">
      <c r="B185" s="30" t="str">
        <f t="shared" si="85"/>
        <v>Endeavour</v>
      </c>
      <c r="C185" s="30" t="str">
        <f t="shared" si="86"/>
        <v>Small business</v>
      </c>
      <c r="D185" s="30" t="str">
        <f t="shared" si="87"/>
        <v>flat rate</v>
      </c>
      <c r="E185" s="30" t="s">
        <v>19</v>
      </c>
      <c r="F185" s="258">
        <f t="shared" ref="F185:F191" si="91">F184</f>
        <v>10000</v>
      </c>
      <c r="G185" s="30" t="s">
        <v>77</v>
      </c>
      <c r="H185" s="482" cm="1">
        <f t="array" ref="H185">IFERROR(_xlfn.XLOOKUP(1,($B185=DistributionZone)*(H$5=Desc_FixedOrVar)*($G185=Description),valuesPY),0)*Days/7</f>
        <v>13.835244134497829</v>
      </c>
      <c r="I185" s="482" cm="1">
        <f t="array" ref="I185">IFERROR(_xlfn.XLOOKUP(1,($B185=DistributionZone)*(I$5=Desc_FixedOrVar)*($G185=Description),valuesPY),0)</f>
        <v>0.57443</v>
      </c>
      <c r="J185" s="482">
        <f t="shared" si="88"/>
        <v>19.57954413449783</v>
      </c>
      <c r="K185" s="484">
        <f>IFERROR(J185/J191,"")</f>
        <v>1.0652449079120968E-2</v>
      </c>
      <c r="L185" s="484"/>
      <c r="M185" s="484">
        <f t="shared" si="89"/>
        <v>-6.4360238718609519E-2</v>
      </c>
      <c r="N185" s="563"/>
      <c r="O185" s="482" cm="1">
        <f t="array" ref="O185">IFERROR(_xlfn.XLOOKUP(1,($B185=DistributionZone)*(O$5=Desc_FixedOrVar)*($G185=Description),valuesFY),0)*Days/7</f>
        <v>13.125399999999999</v>
      </c>
      <c r="P185" s="482" cm="1">
        <f t="array" ref="P185">IFERROR(_xlfn.XLOOKUP(1,($B185=DistributionZone)*(P$5=Desc_FixedOrVar)*($G185=Description),valuesFY),0)</f>
        <v>0.51939999999999997</v>
      </c>
      <c r="Q185" s="482">
        <f t="shared" si="90"/>
        <v>18.319399999999998</v>
      </c>
      <c r="R185" s="484">
        <f>IFERROR(Q185/Q191,"")</f>
        <v>1.1411716232883784E-2</v>
      </c>
      <c r="S185" s="484"/>
      <c r="T185" s="607"/>
      <c r="U185" s="484"/>
      <c r="V185" s="484"/>
      <c r="W185" s="484"/>
      <c r="X185" s="484"/>
      <c r="Y185" s="484"/>
      <c r="Z185" s="484"/>
      <c r="AA185" s="484"/>
      <c r="AB185" s="484"/>
      <c r="AC185" s="484"/>
      <c r="AD185" s="484"/>
      <c r="AE185" s="484"/>
      <c r="AF185" s="484"/>
      <c r="AG185" s="484"/>
      <c r="AH185" s="484"/>
      <c r="AI185" s="484"/>
      <c r="AJ185" s="484"/>
    </row>
    <row r="186" spans="2:36" x14ac:dyDescent="0.35">
      <c r="B186" s="30" t="str">
        <f t="shared" si="85"/>
        <v>Endeavour</v>
      </c>
      <c r="C186" s="30" t="str">
        <f t="shared" si="86"/>
        <v>Small business</v>
      </c>
      <c r="D186" s="30" t="str">
        <f t="shared" si="87"/>
        <v>flat rate</v>
      </c>
      <c r="E186" s="30" t="s">
        <v>19</v>
      </c>
      <c r="F186" s="258">
        <f t="shared" si="91"/>
        <v>10000</v>
      </c>
      <c r="G186" s="30" t="s">
        <v>71</v>
      </c>
      <c r="H186" s="482"/>
      <c r="I186" s="482" cm="1">
        <f t="array" ref="I186">IFERROR(_xlfn.XLOOKUP(1,($B186=DistributionZone)*(I$5=Desc_FixedOrVar)*($G186=Description),valuesPY),0)</f>
        <v>5.2786233739509421E-2</v>
      </c>
      <c r="J186" s="482">
        <f t="shared" si="88"/>
        <v>0.52786233739509414</v>
      </c>
      <c r="K186" s="484">
        <f>IFERROR(J186/J191,"")</f>
        <v>2.8718884521829191E-4</v>
      </c>
      <c r="L186" s="484"/>
      <c r="M186" s="484">
        <f t="shared" si="89"/>
        <v>1.413017537285187</v>
      </c>
      <c r="N186" s="563"/>
      <c r="O186" s="482"/>
      <c r="P186" s="482" cm="1">
        <f t="array" ref="P186">IFERROR(_xlfn.XLOOKUP(1,($B186=DistributionZone)*(P$5=Desc_FixedOrVar)*($G186=Description),valuesFY),0)</f>
        <v>0.12737410774067126</v>
      </c>
      <c r="Q186" s="482">
        <f t="shared" si="90"/>
        <v>1.2737410774067126</v>
      </c>
      <c r="R186" s="484">
        <f>IFERROR(Q186/Q191,"")</f>
        <v>7.9345239088251054E-4</v>
      </c>
      <c r="S186" s="484"/>
      <c r="T186" s="607"/>
      <c r="U186" s="484"/>
      <c r="V186" s="484"/>
      <c r="W186" s="484"/>
      <c r="X186" s="484"/>
      <c r="Y186" s="484"/>
      <c r="Z186" s="484"/>
      <c r="AA186" s="484"/>
      <c r="AB186" s="484"/>
      <c r="AC186" s="484"/>
      <c r="AD186" s="484"/>
      <c r="AE186" s="484"/>
      <c r="AF186" s="484"/>
      <c r="AG186" s="484"/>
      <c r="AH186" s="484"/>
      <c r="AI186" s="484"/>
      <c r="AJ186" s="484"/>
    </row>
    <row r="187" spans="2:36" x14ac:dyDescent="0.35">
      <c r="B187" s="30" t="str">
        <f t="shared" si="85"/>
        <v>Endeavour</v>
      </c>
      <c r="C187" s="30" t="str">
        <f t="shared" si="86"/>
        <v>Small business</v>
      </c>
      <c r="D187" s="30" t="str">
        <f t="shared" si="87"/>
        <v>flat rate</v>
      </c>
      <c r="E187" s="30" t="s">
        <v>19</v>
      </c>
      <c r="F187" s="258">
        <f t="shared" si="91"/>
        <v>10000</v>
      </c>
      <c r="G187" s="30" t="s">
        <v>173</v>
      </c>
      <c r="H187" s="482"/>
      <c r="I187" s="482" cm="1">
        <f t="array" ref="I187">IFERROR(_xlfn.XLOOKUP(1,($B187=DistributionZone)*(I$5=Desc_FixedOrVar)*($G187=Description),valuesPY),0)</f>
        <v>0.11507709849820914</v>
      </c>
      <c r="J187" s="482">
        <f t="shared" si="88"/>
        <v>1.1507709849820915</v>
      </c>
      <c r="K187" s="484">
        <f>IFERROR(J187/J192,"")</f>
        <v>6.2608859711155949E-3</v>
      </c>
      <c r="L187" s="484"/>
      <c r="M187" s="484">
        <f t="shared" si="89"/>
        <v>-1</v>
      </c>
      <c r="N187" s="563"/>
      <c r="O187" s="482"/>
      <c r="P187" s="482" cm="1">
        <f t="array" ref="P187">IFERROR(_xlfn.XLOOKUP(1,($B187=DistributionZone)*(P$5=Desc_FixedOrVar)*($G187=Description),valuesFY),0)</f>
        <v>0</v>
      </c>
      <c r="Q187" s="482">
        <f t="shared" si="90"/>
        <v>0</v>
      </c>
      <c r="R187" s="484">
        <f>IFERROR(Q187/Q191,"")</f>
        <v>0</v>
      </c>
      <c r="S187" s="484"/>
      <c r="T187" s="607"/>
      <c r="U187" s="484"/>
      <c r="V187" s="484"/>
      <c r="W187" s="484"/>
      <c r="X187" s="484"/>
      <c r="Y187" s="484"/>
      <c r="Z187" s="484"/>
      <c r="AA187" s="484"/>
      <c r="AB187" s="484"/>
      <c r="AC187" s="484"/>
      <c r="AD187" s="484"/>
      <c r="AE187" s="484"/>
      <c r="AF187" s="484"/>
      <c r="AG187" s="484"/>
      <c r="AH187" s="484"/>
      <c r="AI187" s="484"/>
      <c r="AJ187" s="484"/>
    </row>
    <row r="188" spans="2:36" x14ac:dyDescent="0.35">
      <c r="B188" s="30" t="str">
        <f t="shared" si="85"/>
        <v>Endeavour</v>
      </c>
      <c r="C188" s="30" t="str">
        <f t="shared" si="86"/>
        <v>Small business</v>
      </c>
      <c r="D188" s="30" t="str">
        <f t="shared" si="87"/>
        <v>flat rate</v>
      </c>
      <c r="E188" s="30" t="s">
        <v>19</v>
      </c>
      <c r="F188" s="258">
        <f t="shared" si="91"/>
        <v>10000</v>
      </c>
      <c r="G188" s="30" t="s">
        <v>130</v>
      </c>
      <c r="H188" s="482"/>
      <c r="I188" s="482" cm="1">
        <f t="array" ref="I188">IFERROR(_xlfn.XLOOKUP(1,($B188=DistributionZone)*(I$5=Desc_FixedOrVar)*($G188=Description),valuesPY),0)</f>
        <v>3.1348835402205433</v>
      </c>
      <c r="J188" s="482">
        <f t="shared" si="88"/>
        <v>31.348835402205435</v>
      </c>
      <c r="K188" s="484">
        <f>IFERROR(J188/J191,"")</f>
        <v>1.7055651067143855E-2</v>
      </c>
      <c r="L188" s="484"/>
      <c r="M188" s="484">
        <f t="shared" si="89"/>
        <v>-7.2394778388588654E-2</v>
      </c>
      <c r="N188" s="563"/>
      <c r="O188" s="482"/>
      <c r="P188" s="482" cm="1">
        <f t="array" ref="P188">IFERROR(_xlfn.XLOOKUP(1,($B188=DistributionZone)*(P$5=Desc_FixedOrVar)*($G188=Description),valuesFY),0)</f>
        <v>2.9079343410522429</v>
      </c>
      <c r="Q188" s="482">
        <f t="shared" si="90"/>
        <v>29.07934341052243</v>
      </c>
      <c r="R188" s="484">
        <f>IFERROR(Q188/Q191,"")</f>
        <v>1.8114415059415752E-2</v>
      </c>
      <c r="S188" s="484"/>
      <c r="T188" s="607"/>
      <c r="U188" s="484"/>
      <c r="V188" s="484"/>
      <c r="W188" s="484"/>
      <c r="X188" s="484"/>
      <c r="Y188" s="484"/>
      <c r="Z188" s="484"/>
      <c r="AA188" s="484"/>
      <c r="AB188" s="484"/>
      <c r="AC188" s="484"/>
      <c r="AD188" s="484"/>
      <c r="AE188" s="484"/>
      <c r="AF188" s="484"/>
      <c r="AG188" s="484"/>
      <c r="AH188" s="484"/>
      <c r="AI188" s="484"/>
      <c r="AJ188" s="484"/>
    </row>
    <row r="189" spans="2:36" x14ac:dyDescent="0.35">
      <c r="B189" s="30" t="str">
        <f t="shared" si="85"/>
        <v>Endeavour</v>
      </c>
      <c r="C189" s="30" t="str">
        <f t="shared" si="86"/>
        <v>Small business</v>
      </c>
      <c r="D189" s="30" t="str">
        <f t="shared" si="87"/>
        <v>flat rate</v>
      </c>
      <c r="E189" s="30" t="s">
        <v>19</v>
      </c>
      <c r="F189" s="258">
        <f t="shared" si="91"/>
        <v>10000</v>
      </c>
      <c r="G189" s="30" t="s">
        <v>302</v>
      </c>
      <c r="H189" s="482"/>
      <c r="I189" s="482" cm="1">
        <f t="array" ref="I189">IFERROR(_xlfn.XLOOKUP(1,($B189=DistributionZone)*(I$5=Desc_FixedOrVar)*($G189=Description),valuesPY),0)</f>
        <v>0</v>
      </c>
      <c r="J189" s="482">
        <f t="shared" ref="J189" si="92">H189+I189*F189/1000</f>
        <v>0</v>
      </c>
      <c r="K189" s="484">
        <f>IFERROR(J189/J192,"")</f>
        <v>0</v>
      </c>
      <c r="L189" s="484"/>
      <c r="M189" s="484" t="str">
        <f t="shared" ref="M189" si="93">IF(OR(J189=0,Q189=""),"",Q189/J189-1)</f>
        <v/>
      </c>
      <c r="N189" s="563"/>
      <c r="O189" s="482"/>
      <c r="P189" s="482" cm="1">
        <f t="array" ref="P189">IFERROR(_xlfn.XLOOKUP(1,($B189=DistributionZone)*(P$5=Desc_FixedOrVar)*($G189=Description)*($E189=tariffType),valuesFY),0)</f>
        <v>2.0909999999999997</v>
      </c>
      <c r="Q189" s="482">
        <f t="shared" ref="Q189" si="94">O189+P189*$F189/1000</f>
        <v>20.909999999999997</v>
      </c>
      <c r="R189" s="484">
        <f>IFERROR(Q189/Q191,"")</f>
        <v>1.3025480443114945E-2</v>
      </c>
      <c r="S189" s="484"/>
      <c r="T189" s="607"/>
      <c r="U189" s="484"/>
      <c r="V189" s="484"/>
      <c r="W189" s="484"/>
      <c r="X189" s="484"/>
      <c r="Y189" s="484"/>
      <c r="Z189" s="484"/>
      <c r="AA189" s="484"/>
      <c r="AB189" s="484"/>
      <c r="AC189" s="484"/>
      <c r="AD189" s="484"/>
      <c r="AE189" s="484"/>
      <c r="AF189" s="484"/>
      <c r="AG189" s="484"/>
      <c r="AH189" s="484"/>
      <c r="AI189" s="484"/>
      <c r="AJ189" s="484"/>
    </row>
    <row r="190" spans="2:36" x14ac:dyDescent="0.35">
      <c r="B190" s="30" t="str">
        <f>B188</f>
        <v>Endeavour</v>
      </c>
      <c r="C190" s="30" t="str">
        <f>C188</f>
        <v>Small business</v>
      </c>
      <c r="D190" s="30" t="str">
        <f>D188</f>
        <v>flat rate</v>
      </c>
      <c r="E190" s="30" t="s">
        <v>19</v>
      </c>
      <c r="F190" s="258">
        <f>F188</f>
        <v>10000</v>
      </c>
      <c r="G190" s="30" t="s">
        <v>72</v>
      </c>
      <c r="H190" s="482"/>
      <c r="I190" s="482" cm="1">
        <f t="array" ref="I190">IFERROR(_xlfn.XLOOKUP(1,($B190=DistributionZone)*($C190=CustomerType)*($E190=tariffType)*($G190=Description),valuesPY),0)*SUM(I183:I188)</f>
        <v>10.921228042887101</v>
      </c>
      <c r="J190" s="482">
        <f t="shared" si="88"/>
        <v>109.21228042887101</v>
      </c>
      <c r="K190" s="484">
        <f>IFERROR(J190/J191,"")</f>
        <v>5.9418046104221307E-2</v>
      </c>
      <c r="L190" s="484"/>
      <c r="M190" s="484">
        <f t="shared" si="89"/>
        <v>-0.18602141152235974</v>
      </c>
      <c r="N190" s="563"/>
      <c r="O190" s="482"/>
      <c r="P190" s="482" cm="1">
        <f t="array" ref="P190">IFERROR(_xlfn.XLOOKUP(1,($B190=DistributionZone)*($C190=CustomerType)*($E190=tariffType)*($G190=Description),valuesFY),0)*SUM(P183:P189)</f>
        <v>8.8896457867916645</v>
      </c>
      <c r="Q190" s="482">
        <f t="shared" si="90"/>
        <v>88.896457867916638</v>
      </c>
      <c r="R190" s="484">
        <f>IFERROR(Q190/Q191,"")</f>
        <v>5.537633062748637E-2</v>
      </c>
      <c r="S190" s="484"/>
      <c r="T190" s="607"/>
      <c r="U190" s="484"/>
      <c r="V190" s="484"/>
      <c r="W190" s="484"/>
      <c r="X190" s="484"/>
      <c r="Y190" s="484"/>
      <c r="Z190" s="484"/>
      <c r="AA190" s="484"/>
      <c r="AB190" s="484"/>
      <c r="AC190" s="484"/>
      <c r="AD190" s="484"/>
      <c r="AE190" s="484"/>
      <c r="AF190" s="484"/>
      <c r="AG190" s="484"/>
      <c r="AH190" s="484"/>
      <c r="AI190" s="484"/>
      <c r="AJ190" s="484"/>
    </row>
    <row r="191" spans="2:36" x14ac:dyDescent="0.35">
      <c r="B191" s="30" t="str">
        <f t="shared" si="85"/>
        <v>Endeavour</v>
      </c>
      <c r="C191" s="30" t="str">
        <f t="shared" si="86"/>
        <v>Small business</v>
      </c>
      <c r="D191" s="30" t="str">
        <f t="shared" si="87"/>
        <v>flat rate</v>
      </c>
      <c r="E191" s="30" t="s">
        <v>19</v>
      </c>
      <c r="F191" s="258">
        <f t="shared" si="91"/>
        <v>10000</v>
      </c>
      <c r="G191" s="64" t="s">
        <v>55</v>
      </c>
      <c r="H191" s="487">
        <f>SUM(H183:H190)</f>
        <v>13.835244134497829</v>
      </c>
      <c r="I191" s="487">
        <f>SUM(I183:I190)</f>
        <v>182.41969294127256</v>
      </c>
      <c r="J191" s="487">
        <f>SUM(J183:J190)</f>
        <v>1838.0321735472232</v>
      </c>
      <c r="K191" s="564"/>
      <c r="L191" s="565"/>
      <c r="M191" s="564">
        <f t="shared" si="89"/>
        <v>-0.1266120967212091</v>
      </c>
      <c r="N191" s="566"/>
      <c r="O191" s="487">
        <f>SUM(O185:O190)</f>
        <v>13.125399999999999</v>
      </c>
      <c r="P191" s="487">
        <f>SUM(P183:P190)</f>
        <v>159.21896662133685</v>
      </c>
      <c r="Q191" s="487">
        <f>SUM(Q183:Q190)</f>
        <v>1605.315066213368</v>
      </c>
      <c r="R191" s="484"/>
      <c r="S191" s="484"/>
      <c r="T191" s="607"/>
      <c r="U191" s="484"/>
      <c r="V191" s="484"/>
      <c r="W191" s="484"/>
      <c r="X191" s="484"/>
      <c r="Y191" s="484"/>
      <c r="Z191" s="484"/>
      <c r="AA191" s="484"/>
      <c r="AB191" s="484"/>
      <c r="AC191" s="484"/>
      <c r="AD191" s="484"/>
      <c r="AE191" s="484"/>
      <c r="AF191" s="484"/>
      <c r="AG191" s="484"/>
      <c r="AH191" s="484"/>
      <c r="AI191" s="484"/>
      <c r="AJ191" s="484"/>
    </row>
    <row r="192" spans="2:36" x14ac:dyDescent="0.35">
      <c r="B192" s="30" t="str">
        <f t="shared" si="85"/>
        <v>Endeavour</v>
      </c>
      <c r="C192" s="30" t="str">
        <f t="shared" si="86"/>
        <v>Small business</v>
      </c>
      <c r="D192" s="30" t="str">
        <f t="shared" si="87"/>
        <v>flat rate</v>
      </c>
      <c r="F192" s="258"/>
      <c r="G192" s="30" t="s">
        <v>38</v>
      </c>
      <c r="H192" s="482"/>
      <c r="I192" s="632"/>
      <c r="J192" s="482">
        <f>J191*GST</f>
        <v>183.80321735472234</v>
      </c>
      <c r="K192" s="484"/>
      <c r="L192" s="567"/>
      <c r="M192" s="484"/>
      <c r="N192" s="568"/>
      <c r="O192" s="482"/>
      <c r="P192" s="482"/>
      <c r="Q192" s="482">
        <f>Q191*GST</f>
        <v>160.5315066213368</v>
      </c>
      <c r="R192" s="564"/>
      <c r="S192" s="564"/>
      <c r="T192" s="611"/>
      <c r="U192" s="564"/>
      <c r="V192" s="564"/>
      <c r="W192" s="564"/>
      <c r="X192" s="564"/>
      <c r="Y192" s="564"/>
      <c r="Z192" s="564"/>
      <c r="AA192" s="564"/>
      <c r="AB192" s="564"/>
      <c r="AC192" s="564"/>
      <c r="AD192" s="564"/>
      <c r="AE192" s="564"/>
      <c r="AF192" s="564"/>
      <c r="AG192" s="564"/>
      <c r="AH192" s="564"/>
      <c r="AI192" s="564"/>
      <c r="AJ192" s="564"/>
    </row>
    <row r="193" spans="2:36" x14ac:dyDescent="0.35">
      <c r="B193" s="30" t="str">
        <f t="shared" si="85"/>
        <v>Endeavour</v>
      </c>
      <c r="C193" s="30" t="str">
        <f t="shared" si="86"/>
        <v>Small business</v>
      </c>
      <c r="D193" s="30" t="str">
        <f t="shared" si="87"/>
        <v>flat rate</v>
      </c>
      <c r="E193" s="30" t="s">
        <v>19</v>
      </c>
      <c r="F193" s="258"/>
      <c r="G193" s="64" t="s">
        <v>79</v>
      </c>
      <c r="H193" s="487"/>
      <c r="I193" s="487"/>
      <c r="J193" s="487">
        <f>SUM(J191:J192)</f>
        <v>2021.8353909019456</v>
      </c>
      <c r="K193" s="564"/>
      <c r="L193" s="565"/>
      <c r="M193" s="564">
        <f>IF(OR(J193=0,Q193=""),"",Q193/J193-1)</f>
        <v>-0.1266120967212091</v>
      </c>
      <c r="N193" s="566"/>
      <c r="O193" s="487"/>
      <c r="P193" s="487"/>
      <c r="Q193" s="487">
        <f>SUM(Q191:Q192)</f>
        <v>1765.8465728347048</v>
      </c>
      <c r="R193" s="564"/>
      <c r="S193" s="564"/>
      <c r="T193" s="611"/>
      <c r="U193" s="564"/>
      <c r="V193" s="564"/>
      <c r="W193" s="564"/>
      <c r="X193" s="564"/>
      <c r="Y193" s="564"/>
      <c r="Z193" s="564"/>
      <c r="AA193" s="564"/>
      <c r="AB193" s="564"/>
      <c r="AC193" s="564"/>
      <c r="AD193" s="564"/>
      <c r="AE193" s="564"/>
      <c r="AF193" s="564"/>
      <c r="AG193" s="564"/>
      <c r="AH193" s="564"/>
      <c r="AI193" s="564"/>
      <c r="AJ193" s="564"/>
    </row>
    <row r="194" spans="2:36" s="31" customFormat="1" x14ac:dyDescent="0.35">
      <c r="F194" s="588"/>
      <c r="H194" s="589"/>
      <c r="I194" s="589"/>
      <c r="J194" s="589"/>
      <c r="K194" s="590"/>
      <c r="L194" s="591"/>
      <c r="M194" s="590"/>
      <c r="N194" s="592"/>
      <c r="O194" s="589"/>
      <c r="P194" s="589"/>
      <c r="Q194" s="589"/>
      <c r="R194" s="590"/>
      <c r="S194" s="590"/>
      <c r="T194" s="633"/>
      <c r="U194" s="590"/>
      <c r="V194" s="590"/>
      <c r="W194" s="590"/>
      <c r="X194" s="590"/>
      <c r="Y194" s="590"/>
      <c r="Z194" s="590"/>
      <c r="AA194" s="590"/>
      <c r="AB194" s="590"/>
      <c r="AC194" s="590"/>
      <c r="AD194" s="590"/>
      <c r="AE194" s="590"/>
      <c r="AF194" s="590"/>
      <c r="AG194" s="590"/>
      <c r="AH194" s="590"/>
      <c r="AI194" s="590"/>
      <c r="AJ194" s="590"/>
    </row>
    <row r="195" spans="2:36" s="570" customFormat="1" x14ac:dyDescent="0.35">
      <c r="B195" s="571" t="s">
        <v>4</v>
      </c>
      <c r="C195" s="571" t="s">
        <v>13</v>
      </c>
      <c r="D195" s="571" t="s">
        <v>272</v>
      </c>
      <c r="F195" s="485"/>
      <c r="H195" s="574"/>
      <c r="I195" s="574"/>
      <c r="J195" s="574"/>
      <c r="K195" s="575"/>
      <c r="L195" s="581"/>
      <c r="M195" s="575"/>
      <c r="N195" s="582"/>
      <c r="O195" s="574"/>
      <c r="P195" s="574"/>
      <c r="Q195" s="574"/>
      <c r="R195" s="575"/>
      <c r="S195" s="575"/>
      <c r="T195" s="612"/>
      <c r="U195" s="575"/>
      <c r="V195" s="575"/>
      <c r="W195" s="575"/>
      <c r="X195" s="575"/>
      <c r="Y195" s="575"/>
      <c r="Z195" s="575"/>
      <c r="AA195" s="575"/>
      <c r="AB195" s="575"/>
      <c r="AC195" s="575"/>
      <c r="AD195" s="575"/>
      <c r="AE195" s="575"/>
      <c r="AF195" s="575"/>
      <c r="AG195" s="575"/>
      <c r="AH195" s="575"/>
      <c r="AI195" s="575"/>
      <c r="AJ195" s="575"/>
    </row>
    <row r="196" spans="2:36" s="570" customFormat="1" x14ac:dyDescent="0.35">
      <c r="B196" s="597" t="str">
        <f t="shared" ref="B196:B234" si="95">B195</f>
        <v>Endeavour</v>
      </c>
      <c r="C196" s="597" t="str">
        <f t="shared" ref="C196:C234" si="96">C195</f>
        <v>Small business</v>
      </c>
      <c r="D196" s="597" t="str">
        <f t="shared" ref="D196:D234" si="97">D195</f>
        <v>time of use</v>
      </c>
      <c r="E196" s="615" t="s">
        <v>279</v>
      </c>
      <c r="F196" s="485" cm="1">
        <f t="array" ref="F196">_xlfn.XLOOKUP(1,($B196=DistributionZone)*($C196=CustomerType)*($D196=tariffL2)*($F$5=Description),valuesPY)*_xlfn.XLOOKUP(1,($B196=DistributionZone)*($C196=CustomerType)*($D196=tariffL2)*($E196=tariffType)*("Usage proportion"=Description),valuesFY)</f>
        <v>6469.8407560338619</v>
      </c>
      <c r="G196" s="570" t="s">
        <v>69</v>
      </c>
      <c r="H196" s="574"/>
      <c r="I196" s="574" cm="1">
        <f t="array" ref="I196">IFERROR(_xlfn.XLOOKUP(1,($B196=DistributionZone)*($E196=tariffType)*("WEC scale"=Description),valuesFY),0)</f>
        <v>0</v>
      </c>
      <c r="J196" s="574">
        <f t="shared" ref="J196:J201" si="98">H196+I196*F196/1000</f>
        <v>0</v>
      </c>
      <c r="K196" s="575" t="str">
        <f>IFERROR(J196/J204,"")</f>
        <v/>
      </c>
      <c r="L196" s="575"/>
      <c r="M196" s="575" t="str">
        <f>IF(OR(J196=0,Q196=""),"",Q196/J196-1)</f>
        <v/>
      </c>
      <c r="N196" s="576"/>
      <c r="O196" s="574"/>
      <c r="P196" s="574" cm="1">
        <f t="array" ref="P196">IFERROR(_xlfn.XLOOKUP(1,($B196=DistributionZone)*($C196=CustomerType)*($E196=tariffType)*("WEC"=Description),valuesFY),0)</f>
        <v>169.68994323740978</v>
      </c>
      <c r="Q196" s="574">
        <f>O196+P196*F196/1000</f>
        <v>1097.8669106464663</v>
      </c>
      <c r="R196" s="575">
        <f>IFERROR(Q196/Q204,"")</f>
        <v>0.90326113189951329</v>
      </c>
      <c r="S196" s="575"/>
      <c r="T196" s="613"/>
      <c r="U196" s="634"/>
      <c r="V196" s="575"/>
      <c r="W196" s="575"/>
      <c r="X196" s="575"/>
      <c r="Y196" s="575"/>
      <c r="Z196" s="575"/>
      <c r="AA196" s="575"/>
      <c r="AB196" s="575"/>
      <c r="AC196" s="575"/>
      <c r="AD196" s="575"/>
      <c r="AE196" s="575"/>
      <c r="AF196" s="575"/>
      <c r="AG196" s="575"/>
      <c r="AH196" s="575"/>
      <c r="AI196" s="575"/>
      <c r="AJ196" s="575"/>
    </row>
    <row r="197" spans="2:36" s="570" customFormat="1" x14ac:dyDescent="0.35">
      <c r="B197" s="597" t="str">
        <f t="shared" si="95"/>
        <v>Endeavour</v>
      </c>
      <c r="C197" s="597" t="str">
        <f t="shared" si="96"/>
        <v>Small business</v>
      </c>
      <c r="D197" s="597" t="str">
        <f t="shared" si="97"/>
        <v>time of use</v>
      </c>
      <c r="E197" s="615" t="s">
        <v>279</v>
      </c>
      <c r="F197" s="485" cm="1">
        <f t="array" ref="F197">_xlfn.XLOOKUP(1,($B197=DistributionZone)*($C197=CustomerType)*($D197=tariffL2)*($F$5=Description),valuesPY)*_xlfn.XLOOKUP(1,($B197=DistributionZone)*($C197=CustomerType)*($D197=tariffL2)*($E197=tariffType)*("Usage proportion"=Description),valuesFY)</f>
        <v>6469.8407560338619</v>
      </c>
      <c r="G197" s="570" t="s">
        <v>70</v>
      </c>
      <c r="H197" s="574"/>
      <c r="I197" s="574" cm="1">
        <f t="array" ref="I197">IFERROR(_xlfn.XLOOKUP(1,($B197=DistributionZone)*($I$5=Desc_FixedOrVar)*($G197=Description),valuesPY),0)</f>
        <v>0.15378802592718904</v>
      </c>
      <c r="J197" s="574">
        <f t="shared" si="98"/>
        <v>0.99498403793371992</v>
      </c>
      <c r="K197" s="575" t="str">
        <f>IFERROR(J197/J204,"")</f>
        <v/>
      </c>
      <c r="L197" s="575"/>
      <c r="M197" s="575">
        <f t="shared" ref="M197:M203" si="99">IF(OR(J197=0,Q197=""),"",Q197/J197-1)</f>
        <v>-0.1962157976411667</v>
      </c>
      <c r="N197" s="576"/>
      <c r="O197" s="574"/>
      <c r="P197" s="574" cm="1">
        <f t="array" ref="P197">IFERROR(_xlfn.XLOOKUP(1,($B197=DistributionZone)*($I$5=Desc_FixedOrVar)*($G197=Description),valuesFY),0)</f>
        <v>0.12361238575222523</v>
      </c>
      <c r="Q197" s="574">
        <f t="shared" ref="Q197:Q203" si="100">IF(AND(O197="",P197=""),"",O197+P197*$F197/1000)</f>
        <v>0.79975245129032624</v>
      </c>
      <c r="R197" s="575">
        <f>IFERROR(Q197/Q204,"")</f>
        <v>6.5798986870507119E-4</v>
      </c>
      <c r="S197" s="575"/>
      <c r="T197" s="612"/>
      <c r="U197" s="575"/>
      <c r="V197" s="575"/>
      <c r="W197" s="575"/>
      <c r="X197" s="575"/>
      <c r="Y197" s="575"/>
      <c r="Z197" s="575"/>
      <c r="AA197" s="575"/>
      <c r="AB197" s="575"/>
      <c r="AC197" s="575"/>
      <c r="AD197" s="575"/>
      <c r="AE197" s="575"/>
      <c r="AF197" s="575"/>
      <c r="AG197" s="575"/>
      <c r="AH197" s="575"/>
      <c r="AI197" s="575"/>
      <c r="AJ197" s="575"/>
    </row>
    <row r="198" spans="2:36" s="570" customFormat="1" x14ac:dyDescent="0.35">
      <c r="B198" s="597" t="str">
        <f t="shared" si="95"/>
        <v>Endeavour</v>
      </c>
      <c r="C198" s="597" t="str">
        <f t="shared" si="96"/>
        <v>Small business</v>
      </c>
      <c r="D198" s="597" t="str">
        <f t="shared" si="97"/>
        <v>time of use</v>
      </c>
      <c r="E198" s="615" t="s">
        <v>279</v>
      </c>
      <c r="F198" s="485" cm="1">
        <f t="array" ref="F198">_xlfn.XLOOKUP(1,($B198=DistributionZone)*($C198=CustomerType)*($D198=tariffL2)*($F$5=Description),valuesPY)*_xlfn.XLOOKUP(1,($B198=DistributionZone)*($C198=CustomerType)*($D198=tariffL2)*($E198=tariffType)*("Usage proportion"=Description),valuesFY)</f>
        <v>6469.8407560338619</v>
      </c>
      <c r="G198" s="570" t="s">
        <v>77</v>
      </c>
      <c r="H198" s="574" cm="1">
        <f t="array" ref="H198">IFERROR(_xlfn.XLOOKUP(1,($B198=DistributionZone)*(H$5=Desc_FixedOrVar)*($G198=Description),valuesPY),0)*Days/7</f>
        <v>13.835244134497829</v>
      </c>
      <c r="I198" s="574" cm="1">
        <f t="array" ref="I198">IFERROR(_xlfn.XLOOKUP(1,($B198=DistributionZone)*($I$5=Desc_FixedOrVar)*($G198=Description),valuesPY),0)</f>
        <v>0.57443</v>
      </c>
      <c r="J198" s="574">
        <f t="shared" si="98"/>
        <v>17.551714759986361</v>
      </c>
      <c r="K198" s="575" t="str">
        <f>IFERROR(J198/J204,"")</f>
        <v/>
      </c>
      <c r="L198" s="575"/>
      <c r="M198" s="575">
        <f t="shared" si="99"/>
        <v>-6.0727939456509339E-2</v>
      </c>
      <c r="N198" s="576"/>
      <c r="O198" s="574" cm="1">
        <f t="array" ref="O198">IFERROR(_xlfn.XLOOKUP(1,($B198=DistributionZone)*(O$5=Desc_FixedOrVar)*($G198=Description),valuesFY),0)*Days/7</f>
        <v>13.125399999999999</v>
      </c>
      <c r="P198" s="574" cm="1">
        <f t="array" ref="P198">IFERROR(_xlfn.XLOOKUP(1,($B198=DistributionZone)*($I$5=Desc_FixedOrVar)*($G198=Description),valuesFY),0)</f>
        <v>0.51939999999999997</v>
      </c>
      <c r="Q198" s="574">
        <f t="shared" si="100"/>
        <v>16.485835288683987</v>
      </c>
      <c r="R198" s="575">
        <f>IFERROR(Q198/Q204,"")</f>
        <v>1.3563587807193529E-2</v>
      </c>
      <c r="S198" s="575"/>
      <c r="T198" s="612"/>
      <c r="U198" s="575"/>
      <c r="V198" s="575"/>
      <c r="W198" s="575"/>
      <c r="X198" s="575"/>
      <c r="Y198" s="575"/>
      <c r="Z198" s="575"/>
      <c r="AA198" s="575"/>
      <c r="AB198" s="575"/>
      <c r="AC198" s="575"/>
      <c r="AD198" s="575"/>
      <c r="AE198" s="575"/>
      <c r="AF198" s="575"/>
      <c r="AG198" s="575"/>
      <c r="AH198" s="575"/>
      <c r="AI198" s="575"/>
      <c r="AJ198" s="575"/>
    </row>
    <row r="199" spans="2:36" s="570" customFormat="1" x14ac:dyDescent="0.35">
      <c r="B199" s="597" t="str">
        <f t="shared" si="95"/>
        <v>Endeavour</v>
      </c>
      <c r="C199" s="597" t="str">
        <f t="shared" si="96"/>
        <v>Small business</v>
      </c>
      <c r="D199" s="597" t="str">
        <f t="shared" si="97"/>
        <v>time of use</v>
      </c>
      <c r="E199" s="615" t="s">
        <v>279</v>
      </c>
      <c r="F199" s="485" cm="1">
        <f t="array" ref="F199">_xlfn.XLOOKUP(1,($B199=DistributionZone)*($C199=CustomerType)*($D199=tariffL2)*($F$5=Description),valuesPY)*_xlfn.XLOOKUP(1,($B199=DistributionZone)*($C199=CustomerType)*($D199=tariffL2)*($E199=tariffType)*("Usage proportion"=Description),valuesFY)</f>
        <v>6469.8407560338619</v>
      </c>
      <c r="G199" s="570" t="s">
        <v>71</v>
      </c>
      <c r="H199" s="574"/>
      <c r="I199" s="574" cm="1">
        <f t="array" ref="I199">IFERROR(_xlfn.XLOOKUP(1,($B199=DistributionZone)*($I$5=Desc_FixedOrVar)*($G199=Description),valuesPY),0)</f>
        <v>5.2786233739509421E-2</v>
      </c>
      <c r="J199" s="574">
        <f t="shared" si="98"/>
        <v>0.34151852640540781</v>
      </c>
      <c r="K199" s="575" t="str">
        <f>IFERROR(J199/J204,"")</f>
        <v/>
      </c>
      <c r="L199" s="575"/>
      <c r="M199" s="575">
        <f t="shared" si="99"/>
        <v>1.4130175372851865</v>
      </c>
      <c r="N199" s="576"/>
      <c r="O199" s="574"/>
      <c r="P199" s="574" cm="1">
        <f t="array" ref="P199">IFERROR(_xlfn.XLOOKUP(1,($B199=DistributionZone)*($I$5=Desc_FixedOrVar)*($G199=Description),valuesFY),0)</f>
        <v>0.12737410774067126</v>
      </c>
      <c r="Q199" s="574">
        <f t="shared" si="100"/>
        <v>0.82409019352404311</v>
      </c>
      <c r="R199" s="575">
        <f>IFERROR(Q199/Q204,"")</f>
        <v>6.78013549521684E-4</v>
      </c>
      <c r="S199" s="575"/>
      <c r="T199" s="612"/>
      <c r="U199" s="575"/>
      <c r="V199" s="575"/>
      <c r="W199" s="575"/>
      <c r="X199" s="575"/>
      <c r="Y199" s="575"/>
      <c r="Z199" s="575"/>
      <c r="AA199" s="575"/>
      <c r="AB199" s="575"/>
      <c r="AC199" s="575"/>
      <c r="AD199" s="575"/>
      <c r="AE199" s="575"/>
      <c r="AF199" s="575"/>
      <c r="AG199" s="575"/>
      <c r="AH199" s="575"/>
      <c r="AI199" s="575"/>
      <c r="AJ199" s="575"/>
    </row>
    <row r="200" spans="2:36" s="570" customFormat="1" x14ac:dyDescent="0.35">
      <c r="B200" s="597" t="str">
        <f t="shared" si="95"/>
        <v>Endeavour</v>
      </c>
      <c r="C200" s="597" t="str">
        <f t="shared" si="96"/>
        <v>Small business</v>
      </c>
      <c r="D200" s="597" t="str">
        <f t="shared" si="97"/>
        <v>time of use</v>
      </c>
      <c r="E200" s="615" t="s">
        <v>279</v>
      </c>
      <c r="F200" s="485" cm="1">
        <f t="array" ref="F200">_xlfn.XLOOKUP(1,($B200=DistributionZone)*($C200=CustomerType)*($D200=tariffL2)*($F$5=Description),valuesPY)*_xlfn.XLOOKUP(1,($B200=DistributionZone)*($C200=CustomerType)*($D200=tariffL2)*($E200=tariffType)*("Usage proportion"=Description),valuesFY)</f>
        <v>6469.8407560338619</v>
      </c>
      <c r="G200" s="570" t="s">
        <v>173</v>
      </c>
      <c r="H200" s="574"/>
      <c r="I200" s="574" cm="1">
        <f t="array" ref="I200">IFERROR(_xlfn.XLOOKUP(1,($B200=DistributionZone)*($I$5=Desc_FixedOrVar)*($G200=Description),valuesPY),0)</f>
        <v>0.11507709849820914</v>
      </c>
      <c r="J200" s="574">
        <f t="shared" si="98"/>
        <v>0.74453050194983661</v>
      </c>
      <c r="K200" s="575" t="str">
        <f>IFERROR(J200/J204,"")</f>
        <v/>
      </c>
      <c r="L200" s="575"/>
      <c r="M200" s="575">
        <f t="shared" si="99"/>
        <v>-1</v>
      </c>
      <c r="N200" s="576"/>
      <c r="O200" s="574"/>
      <c r="P200" s="574" cm="1">
        <f t="array" ref="P200">IFERROR(_xlfn.XLOOKUP(1,($B200=DistributionZone)*($I$5=Desc_FixedOrVar)*($G200=Description),valuesFY),0)</f>
        <v>0</v>
      </c>
      <c r="Q200" s="574">
        <f t="shared" si="100"/>
        <v>0</v>
      </c>
      <c r="R200" s="575">
        <f>IFERROR(Q200/Q204,"")</f>
        <v>0</v>
      </c>
      <c r="S200" s="575"/>
      <c r="T200" s="612"/>
      <c r="U200" s="575"/>
      <c r="V200" s="575"/>
      <c r="W200" s="575"/>
      <c r="X200" s="575"/>
      <c r="Y200" s="575"/>
      <c r="Z200" s="575"/>
      <c r="AA200" s="575"/>
      <c r="AB200" s="575"/>
      <c r="AC200" s="575"/>
      <c r="AD200" s="575"/>
      <c r="AE200" s="575"/>
      <c r="AF200" s="575"/>
      <c r="AG200" s="575"/>
      <c r="AH200" s="575"/>
      <c r="AI200" s="575"/>
      <c r="AJ200" s="575"/>
    </row>
    <row r="201" spans="2:36" s="570" customFormat="1" x14ac:dyDescent="0.35">
      <c r="B201" s="597" t="str">
        <f t="shared" si="95"/>
        <v>Endeavour</v>
      </c>
      <c r="C201" s="597" t="str">
        <f t="shared" si="96"/>
        <v>Small business</v>
      </c>
      <c r="D201" s="597" t="str">
        <f t="shared" si="97"/>
        <v>time of use</v>
      </c>
      <c r="E201" s="615" t="s">
        <v>279</v>
      </c>
      <c r="F201" s="485" cm="1">
        <f t="array" ref="F201">_xlfn.XLOOKUP(1,($B201=DistributionZone)*($C201=CustomerType)*($D201=tariffL2)*($F$5=Description),valuesPY)*_xlfn.XLOOKUP(1,($B201=DistributionZone)*($C201=CustomerType)*($D201=tariffL2)*($E201=tariffType)*("Usage proportion"=Description),valuesFY)</f>
        <v>6469.8407560338619</v>
      </c>
      <c r="G201" s="570" t="s">
        <v>130</v>
      </c>
      <c r="H201" s="574"/>
      <c r="I201" s="574" cm="1">
        <f t="array" ref="I201">IFERROR(_xlfn.XLOOKUP(1,($B201=DistributionZone)*($I$5=Desc_FixedOrVar)*($G201=Description),valuesPY),0)</f>
        <v>3.1348835402205433</v>
      </c>
      <c r="J201" s="574">
        <f t="shared" si="98"/>
        <v>20.282197293938587</v>
      </c>
      <c r="K201" s="575" t="str">
        <f>IFERROR(J201/J204,"")</f>
        <v/>
      </c>
      <c r="L201" s="575"/>
      <c r="M201" s="575">
        <f t="shared" si="99"/>
        <v>-7.2394778388588543E-2</v>
      </c>
      <c r="N201" s="576"/>
      <c r="O201" s="574"/>
      <c r="P201" s="574" cm="1">
        <f t="array" ref="P201">IFERROR(_xlfn.XLOOKUP(1,($B201=DistributionZone)*($I$5=Desc_FixedOrVar)*($G201=Description),valuesFY),0)</f>
        <v>2.9079343410522429</v>
      </c>
      <c r="Q201" s="574">
        <f t="shared" si="100"/>
        <v>18.813872115610273</v>
      </c>
      <c r="R201" s="575">
        <f>IFERROR(Q201/Q204,"")</f>
        <v>1.5478961300101667E-2</v>
      </c>
      <c r="S201" s="575"/>
      <c r="T201" s="612"/>
      <c r="U201" s="575"/>
      <c r="V201" s="575"/>
      <c r="W201" s="575"/>
      <c r="X201" s="575"/>
      <c r="Y201" s="575"/>
      <c r="Z201" s="575"/>
      <c r="AA201" s="575"/>
      <c r="AB201" s="575"/>
      <c r="AC201" s="575"/>
      <c r="AD201" s="575"/>
      <c r="AE201" s="575"/>
      <c r="AF201" s="575"/>
      <c r="AG201" s="575"/>
      <c r="AH201" s="575"/>
      <c r="AI201" s="575"/>
      <c r="AJ201" s="575"/>
    </row>
    <row r="202" spans="2:36" s="570" customFormat="1" x14ac:dyDescent="0.35">
      <c r="B202" s="597" t="str">
        <f t="shared" si="95"/>
        <v>Endeavour</v>
      </c>
      <c r="C202" s="597" t="str">
        <f t="shared" si="96"/>
        <v>Small business</v>
      </c>
      <c r="D202" s="597" t="str">
        <f t="shared" si="97"/>
        <v>time of use</v>
      </c>
      <c r="E202" s="615" t="s">
        <v>279</v>
      </c>
      <c r="F202" s="485" cm="1">
        <f t="array" ref="F202">_xlfn.XLOOKUP(1,($B202=DistributionZone)*($C202=CustomerType)*($D202=tariffL2)*($F$5=Description),valuesPY)*_xlfn.XLOOKUP(1,($B202=DistributionZone)*($C202=CustomerType)*($D202=tariffL2)*($E202=tariffType)*("Usage proportion"=Description),valuesFY)</f>
        <v>6469.8407560338619</v>
      </c>
      <c r="G202" s="570" t="s">
        <v>302</v>
      </c>
      <c r="H202" s="574"/>
      <c r="I202" s="574"/>
      <c r="J202" s="574"/>
      <c r="K202" s="575"/>
      <c r="L202" s="575"/>
      <c r="M202" s="575"/>
      <c r="N202" s="576"/>
      <c r="O202" s="574"/>
      <c r="P202" s="574" cm="1">
        <f t="array" ref="P202">IFERROR(_xlfn.XLOOKUP(1,($B202=DistributionZone)*($D202=tariffL2)*($G202=Description),valuesFY),0)</f>
        <v>2.0909999999999997</v>
      </c>
      <c r="Q202" s="574">
        <f t="shared" ref="Q202" si="101">IF(AND(O202="",P202=""),"",O202+P202*$F202/1000)</f>
        <v>13.528437020866804</v>
      </c>
      <c r="R202" s="575">
        <f>IFERROR(Q202/Q204,"")</f>
        <v>1.113041227292659E-2</v>
      </c>
      <c r="S202" s="575"/>
      <c r="T202" s="612"/>
      <c r="U202" s="575"/>
      <c r="V202" s="575"/>
      <c r="W202" s="575"/>
      <c r="X202" s="575"/>
      <c r="Y202" s="575"/>
      <c r="Z202" s="575"/>
      <c r="AA202" s="575"/>
      <c r="AB202" s="575"/>
      <c r="AC202" s="575"/>
      <c r="AD202" s="575"/>
      <c r="AE202" s="575"/>
      <c r="AF202" s="575"/>
      <c r="AG202" s="575"/>
      <c r="AH202" s="575"/>
      <c r="AI202" s="575"/>
      <c r="AJ202" s="575"/>
    </row>
    <row r="203" spans="2:36" s="570" customFormat="1" x14ac:dyDescent="0.35">
      <c r="B203" s="597" t="str">
        <f>B201</f>
        <v>Endeavour</v>
      </c>
      <c r="C203" s="597" t="str">
        <f>C201</f>
        <v>Small business</v>
      </c>
      <c r="D203" s="597" t="str">
        <f>D201</f>
        <v>time of use</v>
      </c>
      <c r="E203" s="615" t="s">
        <v>279</v>
      </c>
      <c r="F203" s="485" cm="1">
        <f t="array" ref="F203">_xlfn.XLOOKUP(1,($B203=DistributionZone)*($C203=CustomerType)*($D203=tariffL2)*($F$5=Description),valuesPY)*_xlfn.XLOOKUP(1,($B203=DistributionZone)*($C203=CustomerType)*($D203=tariffL2)*($E203=tariffType)*("Usage proportion"=Description),valuesFY)</f>
        <v>6469.8407560338619</v>
      </c>
      <c r="G203" s="570" t="s">
        <v>72</v>
      </c>
      <c r="H203" s="574"/>
      <c r="I203" s="574" cm="1">
        <f t="array" ref="I203">IFERROR(_xlfn.XLOOKUP(1,($B203=DistributionZone)*($C203=CustomerType)*("Losses"=Description),valuesPY),0)*SUM(I196:I201)</f>
        <v>0.2566966818870644</v>
      </c>
      <c r="J203" s="574">
        <f>I203*F203/1000</f>
        <v>1.6607866544115883</v>
      </c>
      <c r="K203" s="575" t="str">
        <f>IFERROR(J203/J204,"")</f>
        <v/>
      </c>
      <c r="L203" s="575"/>
      <c r="M203" s="575">
        <f t="shared" si="99"/>
        <v>39.420046587631525</v>
      </c>
      <c r="N203" s="576"/>
      <c r="O203" s="574"/>
      <c r="P203" s="574" cm="1">
        <f t="array" ref="P203">IFERROR(_xlfn.XLOOKUP(1,($B203=DistributionZone)*($C203=CustomerType)*("Losses"=Description)*($D203=tariffType)*($P$5=Desc_FixedOrVar),valuesFY),0)*SUM(P196:P202)</f>
        <v>10.375691840765572</v>
      </c>
      <c r="Q203" s="574">
        <f t="shared" si="100"/>
        <v>67.129073943433099</v>
      </c>
      <c r="R203" s="575">
        <f>IFERROR(Q203/Q204,"")</f>
        <v>5.5229903302037982E-2</v>
      </c>
      <c r="S203" s="575"/>
      <c r="T203" s="612"/>
      <c r="U203" s="575"/>
      <c r="V203" s="575"/>
      <c r="W203" s="575"/>
      <c r="X203" s="575"/>
      <c r="Y203" s="575"/>
      <c r="Z203" s="575"/>
      <c r="AA203" s="575"/>
      <c r="AB203" s="575"/>
      <c r="AC203" s="575"/>
      <c r="AD203" s="575"/>
      <c r="AE203" s="575"/>
      <c r="AF203" s="575"/>
      <c r="AG203" s="575"/>
      <c r="AH203" s="575"/>
      <c r="AI203" s="575"/>
      <c r="AJ203" s="575"/>
    </row>
    <row r="204" spans="2:36" s="571" customFormat="1" x14ac:dyDescent="0.35">
      <c r="B204" s="597" t="str">
        <f t="shared" si="95"/>
        <v>Endeavour</v>
      </c>
      <c r="C204" s="597" t="str">
        <f t="shared" si="96"/>
        <v>Small business</v>
      </c>
      <c r="D204" s="597" t="str">
        <f t="shared" si="97"/>
        <v>time of use</v>
      </c>
      <c r="E204" s="615" t="s">
        <v>279</v>
      </c>
      <c r="F204" s="584"/>
      <c r="G204" s="571" t="s">
        <v>55</v>
      </c>
      <c r="H204" s="577"/>
      <c r="I204" s="577">
        <f>IF($H$3=PY,0,SUM(I196:I203))</f>
        <v>0</v>
      </c>
      <c r="J204" s="577">
        <f>IF($H$3=PY,0,I204*$F196/1000+H198)</f>
        <v>0</v>
      </c>
      <c r="K204" s="578"/>
      <c r="L204" s="579"/>
      <c r="M204" s="578"/>
      <c r="N204" s="580"/>
      <c r="O204" s="577"/>
      <c r="P204" s="577">
        <f>SUM(P196:P203)</f>
        <v>185.83495591272052</v>
      </c>
      <c r="Q204" s="577">
        <f>O198+P204*$F$196/1000</f>
        <v>1215.4479716598751</v>
      </c>
      <c r="R204" s="578"/>
      <c r="S204" s="578"/>
      <c r="T204" s="621"/>
      <c r="U204" s="578"/>
      <c r="V204" s="578"/>
      <c r="W204" s="578"/>
      <c r="X204" s="578"/>
      <c r="Y204" s="578"/>
      <c r="Z204" s="578"/>
      <c r="AA204" s="578"/>
      <c r="AB204" s="578"/>
      <c r="AC204" s="578"/>
      <c r="AD204" s="578"/>
      <c r="AE204" s="578"/>
      <c r="AF204" s="578"/>
      <c r="AG204" s="578"/>
      <c r="AH204" s="578"/>
      <c r="AI204" s="578"/>
      <c r="AJ204" s="578"/>
    </row>
    <row r="205" spans="2:36" s="570" customFormat="1" x14ac:dyDescent="0.35">
      <c r="B205" s="597" t="str">
        <f t="shared" si="95"/>
        <v>Endeavour</v>
      </c>
      <c r="C205" s="597" t="str">
        <f t="shared" si="96"/>
        <v>Small business</v>
      </c>
      <c r="D205" s="597" t="str">
        <f t="shared" si="97"/>
        <v>time of use</v>
      </c>
      <c r="E205" s="615" t="s">
        <v>280</v>
      </c>
      <c r="F205" s="485" cm="1">
        <f t="array" ref="F205">_xlfn.XLOOKUP(1,($B205=DistributionZone)*($C205=CustomerType)*($D205=tariffL2)*($F$5=Description),valuesPY)*_xlfn.XLOOKUP(1,($B205=DistributionZone)*($C205=CustomerType)*($D205=tariffL2)*($E205=tariffType)*("Usage proportion"=Description),valuesFY)</f>
        <v>479.35429346441191</v>
      </c>
      <c r="G205" s="570" t="s">
        <v>69</v>
      </c>
      <c r="H205" s="574"/>
      <c r="I205" s="574" cm="1">
        <f t="array" ref="I205">IFERROR(_xlfn.XLOOKUP(1,($B205=DistributionZone)*($E205=tariffType)*("WEC scale"=Description),valuesFY),0)</f>
        <v>0</v>
      </c>
      <c r="J205" s="574">
        <f t="shared" ref="J205:J210" si="102">H205+I205*F205/1000</f>
        <v>0</v>
      </c>
      <c r="K205" s="575" t="str">
        <f>IFERROR(J205/J213,"")</f>
        <v/>
      </c>
      <c r="L205" s="575"/>
      <c r="M205" s="575" t="str">
        <f>IF(OR(J205=0,Q205=""),"",Q205/J205-1)</f>
        <v/>
      </c>
      <c r="N205" s="576"/>
      <c r="O205" s="574"/>
      <c r="P205" s="574" cm="1">
        <f t="array" ref="P205">IFERROR(_xlfn.XLOOKUP(1,($B205=DistributionZone)*($C205=CustomerType)*($E205=tariffType)*("WEC"=Description),valuesFY),0)</f>
        <v>146.89215705208983</v>
      </c>
      <c r="Q205" s="574">
        <f>O205+P205*F205/1000</f>
        <v>70.413386159167942</v>
      </c>
      <c r="R205" s="575">
        <f>IFERROR(Q205/Q213,"")</f>
        <v>0.90848558438503257</v>
      </c>
      <c r="S205" s="575"/>
      <c r="T205" s="613"/>
      <c r="U205" s="575"/>
      <c r="V205" s="575"/>
      <c r="W205" s="575"/>
      <c r="X205" s="575"/>
      <c r="Y205" s="575"/>
      <c r="Z205" s="575"/>
      <c r="AA205" s="575"/>
      <c r="AB205" s="575"/>
      <c r="AC205" s="575"/>
      <c r="AD205" s="575"/>
      <c r="AE205" s="575"/>
      <c r="AF205" s="575"/>
      <c r="AG205" s="575"/>
      <c r="AH205" s="575"/>
      <c r="AI205" s="575"/>
      <c r="AJ205" s="575"/>
    </row>
    <row r="206" spans="2:36" s="570" customFormat="1" x14ac:dyDescent="0.35">
      <c r="B206" s="597" t="str">
        <f t="shared" si="95"/>
        <v>Endeavour</v>
      </c>
      <c r="C206" s="597" t="str">
        <f t="shared" si="96"/>
        <v>Small business</v>
      </c>
      <c r="D206" s="597" t="str">
        <f t="shared" si="97"/>
        <v>time of use</v>
      </c>
      <c r="E206" s="615" t="s">
        <v>280</v>
      </c>
      <c r="F206" s="485" cm="1">
        <f t="array" ref="F206">_xlfn.XLOOKUP(1,($B206=DistributionZone)*($C206=CustomerType)*($D206=tariffL2)*($F$5=Description),valuesPY)*_xlfn.XLOOKUP(1,($B206=DistributionZone)*($C206=CustomerType)*($D206=tariffL2)*($E206=tariffType)*("Usage proportion"=Description),valuesFY)</f>
        <v>479.35429346441191</v>
      </c>
      <c r="G206" s="570" t="s">
        <v>70</v>
      </c>
      <c r="H206" s="574"/>
      <c r="I206" s="574" cm="1">
        <f t="array" ref="I206">IFERROR(_xlfn.XLOOKUP(1,($B206=DistributionZone)*($I$5=Desc_FixedOrVar)*($G206=Description),valuesPY),0)</f>
        <v>0.15378802592718904</v>
      </c>
      <c r="J206" s="574">
        <f t="shared" si="102"/>
        <v>7.3718950511614367E-2</v>
      </c>
      <c r="K206" s="575" t="str">
        <f>IFERROR(J206/J213,"")</f>
        <v/>
      </c>
      <c r="L206" s="575"/>
      <c r="M206" s="575">
        <f t="shared" ref="M206:M212" si="103">IF(OR(J206=0,Q206=""),"",Q206/J206-1)</f>
        <v>-0.1962157976411667</v>
      </c>
      <c r="N206" s="576"/>
      <c r="O206" s="574"/>
      <c r="P206" s="574" cm="1">
        <f t="array" ref="P206">IFERROR(_xlfn.XLOOKUP(1,($B206=DistributionZone)*($I$5=Desc_FixedOrVar)*($G206=Description),valuesFY),0)</f>
        <v>0.12361238575222523</v>
      </c>
      <c r="Q206" s="574">
        <f t="shared" ref="Q206:Q212" si="104">IF(AND(O206="",P206=""),"",O206+P206*$F206/1000)</f>
        <v>5.9254127835708263E-2</v>
      </c>
      <c r="R206" s="575">
        <f>IFERROR(Q206/Q213,"")</f>
        <v>7.6450691964115823E-4</v>
      </c>
      <c r="S206" s="575"/>
      <c r="T206" s="612"/>
      <c r="U206" s="575"/>
      <c r="V206" s="575"/>
      <c r="W206" s="575"/>
      <c r="X206" s="575"/>
      <c r="Y206" s="575"/>
      <c r="Z206" s="575"/>
      <c r="AA206" s="575"/>
      <c r="AB206" s="575"/>
      <c r="AC206" s="575"/>
      <c r="AD206" s="575"/>
      <c r="AE206" s="575"/>
      <c r="AF206" s="575"/>
      <c r="AG206" s="575"/>
      <c r="AH206" s="575"/>
      <c r="AI206" s="575"/>
      <c r="AJ206" s="575"/>
    </row>
    <row r="207" spans="2:36" s="570" customFormat="1" x14ac:dyDescent="0.35">
      <c r="B207" s="597" t="str">
        <f t="shared" si="95"/>
        <v>Endeavour</v>
      </c>
      <c r="C207" s="597" t="str">
        <f t="shared" si="96"/>
        <v>Small business</v>
      </c>
      <c r="D207" s="597" t="str">
        <f t="shared" si="97"/>
        <v>time of use</v>
      </c>
      <c r="E207" s="615" t="s">
        <v>280</v>
      </c>
      <c r="F207" s="485" cm="1">
        <f t="array" ref="F207">_xlfn.XLOOKUP(1,($B207=DistributionZone)*($C207=CustomerType)*($D207=tariffL2)*($F$5=Description),valuesPY)*_xlfn.XLOOKUP(1,($B207=DistributionZone)*($C207=CustomerType)*($D207=tariffL2)*($E207=tariffType)*("Usage proportion"=Description),valuesFY)</f>
        <v>479.35429346441191</v>
      </c>
      <c r="G207" s="570" t="s">
        <v>77</v>
      </c>
      <c r="H207" s="574"/>
      <c r="I207" s="574" cm="1">
        <f t="array" ref="I207">IFERROR(_xlfn.XLOOKUP(1,($B207=DistributionZone)*($I$5=Desc_FixedOrVar)*($G207=Description),valuesPY),0)</f>
        <v>0.57443</v>
      </c>
      <c r="J207" s="574">
        <f t="shared" si="102"/>
        <v>0.27535548679476218</v>
      </c>
      <c r="K207" s="575" t="str">
        <f>IFERROR(J207/J213,"")</f>
        <v/>
      </c>
      <c r="L207" s="575"/>
      <c r="M207" s="575">
        <f t="shared" si="103"/>
        <v>-9.5799314102675837E-2</v>
      </c>
      <c r="N207" s="576"/>
      <c r="O207" s="574"/>
      <c r="P207" s="574" cm="1">
        <f t="array" ref="P207">IFERROR(_xlfn.XLOOKUP(1,($B207=DistributionZone)*($I$5=Desc_FixedOrVar)*($G207=Description),valuesFY),0)</f>
        <v>0.51939999999999997</v>
      </c>
      <c r="Q207" s="574">
        <f t="shared" si="104"/>
        <v>0.24897662002541554</v>
      </c>
      <c r="R207" s="575">
        <f>IFERROR(Q207/Q213,"")</f>
        <v>3.2123390519907457E-3</v>
      </c>
      <c r="S207" s="575"/>
      <c r="T207" s="612"/>
      <c r="U207" s="575"/>
      <c r="V207" s="575"/>
      <c r="W207" s="575"/>
      <c r="X207" s="575"/>
      <c r="Y207" s="575"/>
      <c r="Z207" s="575"/>
      <c r="AA207" s="575"/>
      <c r="AB207" s="575"/>
      <c r="AC207" s="575"/>
      <c r="AD207" s="575"/>
      <c r="AE207" s="575"/>
      <c r="AF207" s="575"/>
      <c r="AG207" s="575"/>
      <c r="AH207" s="575"/>
      <c r="AI207" s="575"/>
      <c r="AJ207" s="575"/>
    </row>
    <row r="208" spans="2:36" s="570" customFormat="1" x14ac:dyDescent="0.35">
      <c r="B208" s="597" t="str">
        <f t="shared" si="95"/>
        <v>Endeavour</v>
      </c>
      <c r="C208" s="597" t="str">
        <f t="shared" si="96"/>
        <v>Small business</v>
      </c>
      <c r="D208" s="597" t="str">
        <f t="shared" si="97"/>
        <v>time of use</v>
      </c>
      <c r="E208" s="615" t="s">
        <v>280</v>
      </c>
      <c r="F208" s="485" cm="1">
        <f t="array" ref="F208">_xlfn.XLOOKUP(1,($B208=DistributionZone)*($C208=CustomerType)*($D208=tariffL2)*($F$5=Description),valuesPY)*_xlfn.XLOOKUP(1,($B208=DistributionZone)*($C208=CustomerType)*($D208=tariffL2)*($E208=tariffType)*("Usage proportion"=Description),valuesFY)</f>
        <v>479.35429346441191</v>
      </c>
      <c r="G208" s="570" t="s">
        <v>71</v>
      </c>
      <c r="H208" s="574"/>
      <c r="I208" s="574" cm="1">
        <f t="array" ref="I208">IFERROR(_xlfn.XLOOKUP(1,($B208=DistributionZone)*($I$5=Desc_FixedOrVar)*($G208=Description),valuesPY),0)</f>
        <v>5.2786233739509421E-2</v>
      </c>
      <c r="J208" s="574">
        <f t="shared" si="102"/>
        <v>2.5303307778849843E-2</v>
      </c>
      <c r="K208" s="575" t="str">
        <f>IFERROR(J208/J213,"")</f>
        <v/>
      </c>
      <c r="L208" s="575"/>
      <c r="M208" s="575">
        <f t="shared" si="103"/>
        <v>1.4130175372851865</v>
      </c>
      <c r="N208" s="576"/>
      <c r="O208" s="574"/>
      <c r="P208" s="574" cm="1">
        <f t="array" ref="P208">IFERROR(_xlfn.XLOOKUP(1,($B208=DistributionZone)*($I$5=Desc_FixedOrVar)*($G208=Description),valuesFY),0)</f>
        <v>0.12737410774067126</v>
      </c>
      <c r="Q208" s="574">
        <f t="shared" si="104"/>
        <v>6.1057325421689346E-2</v>
      </c>
      <c r="R208" s="575">
        <f>IFERROR(Q208/Q213,"")</f>
        <v>7.8777208415062566E-4</v>
      </c>
      <c r="S208" s="575"/>
      <c r="T208" s="612"/>
      <c r="U208" s="575"/>
      <c r="V208" s="575"/>
      <c r="W208" s="575"/>
      <c r="X208" s="575"/>
      <c r="Y208" s="575"/>
      <c r="Z208" s="575"/>
      <c r="AA208" s="575"/>
      <c r="AB208" s="575"/>
      <c r="AC208" s="575"/>
      <c r="AD208" s="575"/>
      <c r="AE208" s="575"/>
      <c r="AF208" s="575"/>
      <c r="AG208" s="575"/>
      <c r="AH208" s="575"/>
      <c r="AI208" s="575"/>
      <c r="AJ208" s="575"/>
    </row>
    <row r="209" spans="2:36" s="570" customFormat="1" x14ac:dyDescent="0.35">
      <c r="B209" s="597" t="str">
        <f t="shared" si="95"/>
        <v>Endeavour</v>
      </c>
      <c r="C209" s="597" t="str">
        <f t="shared" si="96"/>
        <v>Small business</v>
      </c>
      <c r="D209" s="597" t="str">
        <f t="shared" si="97"/>
        <v>time of use</v>
      </c>
      <c r="E209" s="615" t="s">
        <v>280</v>
      </c>
      <c r="F209" s="485" cm="1">
        <f t="array" ref="F209">_xlfn.XLOOKUP(1,($B209=DistributionZone)*($C209=CustomerType)*($D209=tariffL2)*($F$5=Description),valuesPY)*_xlfn.XLOOKUP(1,($B209=DistributionZone)*($C209=CustomerType)*($D209=tariffL2)*($E209=tariffType)*("Usage proportion"=Description),valuesFY)</f>
        <v>479.35429346441191</v>
      </c>
      <c r="G209" s="570" t="s">
        <v>173</v>
      </c>
      <c r="H209" s="574"/>
      <c r="I209" s="574" cm="1">
        <f t="array" ref="I209">IFERROR(_xlfn.XLOOKUP(1,($B209=DistributionZone)*($I$5=Desc_FixedOrVar)*($G209=Description),valuesPY),0)</f>
        <v>0.11507709849820914</v>
      </c>
      <c r="J209" s="574">
        <f t="shared" si="102"/>
        <v>5.5162701244543581E-2</v>
      </c>
      <c r="K209" s="575" t="str">
        <f>IFERROR(J209/J213,"")</f>
        <v/>
      </c>
      <c r="L209" s="575"/>
      <c r="M209" s="575">
        <f t="shared" si="103"/>
        <v>-1</v>
      </c>
      <c r="N209" s="576"/>
      <c r="O209" s="574"/>
      <c r="P209" s="574" cm="1">
        <f t="array" ref="P209">IFERROR(_xlfn.XLOOKUP(1,($B209=DistributionZone)*($I$5=Desc_FixedOrVar)*($G209=Description),valuesFY),0)</f>
        <v>0</v>
      </c>
      <c r="Q209" s="574">
        <f t="shared" si="104"/>
        <v>0</v>
      </c>
      <c r="R209" s="575">
        <f>IFERROR(Q209/Q213,"")</f>
        <v>0</v>
      </c>
      <c r="S209" s="575"/>
      <c r="T209" s="612"/>
      <c r="U209" s="575"/>
      <c r="V209" s="575"/>
      <c r="W209" s="575"/>
      <c r="X209" s="575"/>
      <c r="Y209" s="575"/>
      <c r="Z209" s="575"/>
      <c r="AA209" s="575"/>
      <c r="AB209" s="575"/>
      <c r="AC209" s="575"/>
      <c r="AD209" s="575"/>
      <c r="AE209" s="575"/>
      <c r="AF209" s="575"/>
      <c r="AG209" s="575"/>
      <c r="AH209" s="575"/>
      <c r="AI209" s="575"/>
      <c r="AJ209" s="575"/>
    </row>
    <row r="210" spans="2:36" s="570" customFormat="1" x14ac:dyDescent="0.35">
      <c r="B210" s="597" t="str">
        <f t="shared" si="95"/>
        <v>Endeavour</v>
      </c>
      <c r="C210" s="597" t="str">
        <f t="shared" si="96"/>
        <v>Small business</v>
      </c>
      <c r="D210" s="597" t="str">
        <f t="shared" si="97"/>
        <v>time of use</v>
      </c>
      <c r="E210" s="615" t="s">
        <v>280</v>
      </c>
      <c r="F210" s="485" cm="1">
        <f t="array" ref="F210">_xlfn.XLOOKUP(1,($B210=DistributionZone)*($C210=CustomerType)*($D210=tariffL2)*($F$5=Description),valuesPY)*_xlfn.XLOOKUP(1,($B210=DistributionZone)*($C210=CustomerType)*($D210=tariffL2)*($E210=tariffType)*("Usage proportion"=Description),valuesFY)</f>
        <v>479.35429346441191</v>
      </c>
      <c r="G210" s="570" t="s">
        <v>130</v>
      </c>
      <c r="H210" s="574"/>
      <c r="I210" s="574" cm="1">
        <f t="array" ref="I210">IFERROR(_xlfn.XLOOKUP(1,($B210=DistributionZone)*($I$5=Desc_FixedOrVar)*($G210=Description),valuesPY),0)</f>
        <v>3.1348835402205433</v>
      </c>
      <c r="J210" s="574">
        <f t="shared" si="102"/>
        <v>1.5027198845156329</v>
      </c>
      <c r="K210" s="575" t="str">
        <f>IFERROR(J210/J213,"")</f>
        <v/>
      </c>
      <c r="L210" s="575"/>
      <c r="M210" s="575">
        <f t="shared" si="103"/>
        <v>-7.2394778388588654E-2</v>
      </c>
      <c r="N210" s="576"/>
      <c r="O210" s="574"/>
      <c r="P210" s="574" cm="1">
        <f t="array" ref="P210">IFERROR(_xlfn.XLOOKUP(1,($B210=DistributionZone)*($I$5=Desc_FixedOrVar)*($G210=Description),valuesFY),0)</f>
        <v>2.9079343410522429</v>
      </c>
      <c r="Q210" s="574">
        <f t="shared" si="104"/>
        <v>1.3939308114959981</v>
      </c>
      <c r="R210" s="575">
        <f>IFERROR(Q210/Q213,"")</f>
        <v>1.798473439427627E-2</v>
      </c>
      <c r="S210" s="575"/>
      <c r="T210" s="612"/>
      <c r="U210" s="575"/>
      <c r="V210" s="575"/>
      <c r="W210" s="575"/>
      <c r="X210" s="575"/>
      <c r="Y210" s="575"/>
      <c r="Z210" s="575"/>
      <c r="AA210" s="575"/>
      <c r="AB210" s="575"/>
      <c r="AC210" s="575"/>
      <c r="AD210" s="575"/>
      <c r="AE210" s="575"/>
      <c r="AF210" s="575"/>
      <c r="AG210" s="575"/>
      <c r="AH210" s="575"/>
      <c r="AI210" s="575"/>
      <c r="AJ210" s="575"/>
    </row>
    <row r="211" spans="2:36" s="570" customFormat="1" x14ac:dyDescent="0.35">
      <c r="B211" s="597" t="str">
        <f t="shared" si="95"/>
        <v>Endeavour</v>
      </c>
      <c r="C211" s="597" t="str">
        <f t="shared" si="96"/>
        <v>Small business</v>
      </c>
      <c r="D211" s="597" t="str">
        <f t="shared" si="97"/>
        <v>time of use</v>
      </c>
      <c r="E211" s="615" t="s">
        <v>280</v>
      </c>
      <c r="F211" s="485" cm="1">
        <f t="array" ref="F211">_xlfn.XLOOKUP(1,($B211=DistributionZone)*($C211=CustomerType)*($D211=tariffL2)*($F$5=Description),valuesPY)*_xlfn.XLOOKUP(1,($B211=DistributionZone)*($C211=CustomerType)*($D211=tariffL2)*($E211=tariffType)*("Usage proportion"=Description),valuesFY)</f>
        <v>479.35429346441191</v>
      </c>
      <c r="G211" s="570" t="s">
        <v>302</v>
      </c>
      <c r="H211" s="574"/>
      <c r="I211" s="574"/>
      <c r="J211" s="574"/>
      <c r="K211" s="575"/>
      <c r="L211" s="575"/>
      <c r="M211" s="575"/>
      <c r="N211" s="576"/>
      <c r="O211" s="574"/>
      <c r="P211" s="574" cm="1">
        <f t="array" ref="P211">IFERROR(_xlfn.XLOOKUP(1,($B211=DistributionZone)*($D211=tariffL2)*($G211=Description),valuesFY),0)</f>
        <v>2.0909999999999997</v>
      </c>
      <c r="Q211" s="574">
        <f t="shared" ref="Q211" si="105">IF(AND(O211="",P211=""),"",O211+P211*$F211/1000)</f>
        <v>1.0023298276340851</v>
      </c>
      <c r="R211" s="575">
        <f>IFERROR(Q211/Q213,"")</f>
        <v>1.2932231339454462E-2</v>
      </c>
      <c r="S211" s="575"/>
      <c r="T211" s="612"/>
      <c r="U211" s="575"/>
      <c r="V211" s="575"/>
      <c r="W211" s="575"/>
      <c r="X211" s="575"/>
      <c r="Y211" s="575"/>
      <c r="Z211" s="575"/>
      <c r="AA211" s="575"/>
      <c r="AB211" s="575"/>
      <c r="AC211" s="575"/>
      <c r="AD211" s="575"/>
      <c r="AE211" s="575"/>
      <c r="AF211" s="575"/>
      <c r="AG211" s="575"/>
      <c r="AH211" s="575"/>
      <c r="AI211" s="575"/>
      <c r="AJ211" s="575"/>
    </row>
    <row r="212" spans="2:36" s="570" customFormat="1" x14ac:dyDescent="0.35">
      <c r="B212" s="597" t="str">
        <f>B210</f>
        <v>Endeavour</v>
      </c>
      <c r="C212" s="597" t="str">
        <f>C210</f>
        <v>Small business</v>
      </c>
      <c r="D212" s="597" t="str">
        <f>D210</f>
        <v>time of use</v>
      </c>
      <c r="E212" s="615" t="s">
        <v>280</v>
      </c>
      <c r="F212" s="485" cm="1">
        <f t="array" ref="F212">_xlfn.XLOOKUP(1,($B212=DistributionZone)*($C212=CustomerType)*($D212=tariffL2)*($F$5=Description),valuesPY)*_xlfn.XLOOKUP(1,($B212=DistributionZone)*($C212=CustomerType)*($D212=tariffL2)*($E212=tariffType)*("Usage proportion"=Description),valuesFY)</f>
        <v>479.35429346441191</v>
      </c>
      <c r="G212" s="570" t="s">
        <v>72</v>
      </c>
      <c r="H212" s="574"/>
      <c r="I212" s="574" cm="1">
        <f t="array" ref="I212">IFERROR(_xlfn.XLOOKUP(1,($B212=DistributionZone)*($C212=CustomerType)*("Losses"=Description),valuesPY),0)*SUM(I205:I210)</f>
        <v>0.2566966818870644</v>
      </c>
      <c r="J212" s="574">
        <f>I212*F212/1000</f>
        <v>0.12304865658063267</v>
      </c>
      <c r="K212" s="575" t="str">
        <f>IFERROR(J212/J213,"")</f>
        <v/>
      </c>
      <c r="L212" s="575"/>
      <c r="M212" s="575">
        <f t="shared" si="103"/>
        <v>34.168186079840964</v>
      </c>
      <c r="N212" s="576"/>
      <c r="O212" s="574"/>
      <c r="P212" s="574" cm="1">
        <f t="array" ref="P212">IFERROR(_xlfn.XLOOKUP(1,($B212=DistributionZone)*($C212=CustomerType)*("Losses"=Description)*($D212=tariffType)*($P$5=Desc_FixedOrVar),valuesFY),0)*SUM(P205:P211)</f>
        <v>9.0275566746820246</v>
      </c>
      <c r="Q212" s="574">
        <f t="shared" si="104"/>
        <v>4.3273980515021373</v>
      </c>
      <c r="R212" s="575">
        <f>IFERROR(Q212/Q213,"")</f>
        <v>5.5832831825453948E-2</v>
      </c>
      <c r="S212" s="575"/>
      <c r="T212" s="612"/>
      <c r="U212" s="575"/>
      <c r="V212" s="575"/>
      <c r="W212" s="575"/>
      <c r="X212" s="575"/>
      <c r="Y212" s="575"/>
      <c r="Z212" s="575"/>
      <c r="AA212" s="575"/>
      <c r="AB212" s="575"/>
      <c r="AC212" s="575"/>
      <c r="AD212" s="575"/>
      <c r="AE212" s="575"/>
      <c r="AF212" s="575"/>
      <c r="AG212" s="575"/>
      <c r="AH212" s="575"/>
      <c r="AI212" s="575"/>
      <c r="AJ212" s="575"/>
    </row>
    <row r="213" spans="2:36" s="571" customFormat="1" x14ac:dyDescent="0.35">
      <c r="B213" s="597" t="str">
        <f t="shared" si="95"/>
        <v>Endeavour</v>
      </c>
      <c r="C213" s="597" t="str">
        <f t="shared" si="96"/>
        <v>Small business</v>
      </c>
      <c r="D213" s="597" t="str">
        <f t="shared" si="97"/>
        <v>time of use</v>
      </c>
      <c r="E213" s="615" t="s">
        <v>280</v>
      </c>
      <c r="F213" s="584"/>
      <c r="G213" s="571" t="s">
        <v>55</v>
      </c>
      <c r="H213" s="577"/>
      <c r="I213" s="577">
        <f>IF($H$3=PY,0,SUM(I205:I212))</f>
        <v>0</v>
      </c>
      <c r="J213" s="577">
        <f>IF($H$3=PY,0,I213*$F205/1000+H207)</f>
        <v>0</v>
      </c>
      <c r="K213" s="578"/>
      <c r="L213" s="579"/>
      <c r="M213" s="578"/>
      <c r="N213" s="580"/>
      <c r="O213" s="577"/>
      <c r="P213" s="577">
        <f>SUM(P205:P212)</f>
        <v>161.68903456131702</v>
      </c>
      <c r="Q213" s="577">
        <f>O213+P213*$F205/1000</f>
        <v>77.506332923082994</v>
      </c>
      <c r="R213" s="578"/>
      <c r="S213" s="578"/>
      <c r="T213" s="621"/>
      <c r="U213" s="578"/>
      <c r="V213" s="578"/>
      <c r="W213" s="578"/>
      <c r="X213" s="578"/>
      <c r="Y213" s="578"/>
      <c r="Z213" s="578"/>
      <c r="AA213" s="578"/>
      <c r="AB213" s="578"/>
      <c r="AC213" s="578"/>
      <c r="AD213" s="578"/>
      <c r="AE213" s="578"/>
      <c r="AF213" s="578"/>
      <c r="AG213" s="578"/>
      <c r="AH213" s="578"/>
      <c r="AI213" s="578"/>
      <c r="AJ213" s="578"/>
    </row>
    <row r="214" spans="2:36" s="570" customFormat="1" x14ac:dyDescent="0.35">
      <c r="B214" s="597" t="str">
        <f t="shared" si="95"/>
        <v>Endeavour</v>
      </c>
      <c r="C214" s="597" t="str">
        <f t="shared" si="96"/>
        <v>Small business</v>
      </c>
      <c r="D214" s="597" t="str">
        <f t="shared" si="97"/>
        <v>time of use</v>
      </c>
      <c r="E214" s="615" t="s">
        <v>281</v>
      </c>
      <c r="F214" s="485" cm="1">
        <f t="array" ref="F214">_xlfn.XLOOKUP(1,($B214=DistributionZone)*($C214=CustomerType)*($D214=tariffL2)*($F$5=Description),valuesPY)*_xlfn.XLOOKUP(1,($B214=DistributionZone)*($C214=CustomerType)*($D214=tariffL2)*($E214=tariffType)*("Usage proportion"=Description),valuesFY)</f>
        <v>704.93278450648802</v>
      </c>
      <c r="G214" s="570" t="s">
        <v>69</v>
      </c>
      <c r="H214" s="574"/>
      <c r="I214" s="574" cm="1">
        <f t="array" ref="I214">IFERROR(_xlfn.XLOOKUP(1,($B214=DistributionZone)*($E214=tariffType)*("WEC scale"=Description),valuesFY),0)</f>
        <v>0</v>
      </c>
      <c r="J214" s="574">
        <f t="shared" ref="J214:J219" si="106">H214+I214*F214/1000</f>
        <v>0</v>
      </c>
      <c r="K214" s="575" t="str">
        <f>IFERROR(J214/J222,"")</f>
        <v/>
      </c>
      <c r="L214" s="575"/>
      <c r="M214" s="575" t="str">
        <f>IF(OR(J214=0,Q214=""),"",Q214/J214-1)</f>
        <v/>
      </c>
      <c r="N214" s="576"/>
      <c r="O214" s="574"/>
      <c r="P214" s="574" cm="1">
        <f t="array" ref="P214">IFERROR(_xlfn.XLOOKUP(1,($B214=DistributionZone)*($C214=CustomerType)*($E214=tariffType)*("WEC"=Description),valuesFY),0)</f>
        <v>229.28587709553406</v>
      </c>
      <c r="Q214" s="574">
        <f>O214+P214*F214/1000</f>
        <v>161.6311317889672</v>
      </c>
      <c r="R214" s="575">
        <f>IFERROR(Q214/Q222,"")</f>
        <v>0.9209930228562907</v>
      </c>
      <c r="S214" s="575"/>
      <c r="T214" s="613"/>
      <c r="U214" s="575"/>
      <c r="V214" s="575"/>
      <c r="W214" s="575"/>
      <c r="X214" s="575"/>
      <c r="Y214" s="575"/>
      <c r="Z214" s="575"/>
      <c r="AA214" s="575"/>
      <c r="AB214" s="575"/>
      <c r="AC214" s="575"/>
      <c r="AD214" s="575"/>
      <c r="AE214" s="575"/>
      <c r="AF214" s="575"/>
      <c r="AG214" s="575"/>
      <c r="AH214" s="575"/>
      <c r="AI214" s="575"/>
      <c r="AJ214" s="575"/>
    </row>
    <row r="215" spans="2:36" s="570" customFormat="1" x14ac:dyDescent="0.35">
      <c r="B215" s="597" t="str">
        <f t="shared" si="95"/>
        <v>Endeavour</v>
      </c>
      <c r="C215" s="597" t="str">
        <f t="shared" si="96"/>
        <v>Small business</v>
      </c>
      <c r="D215" s="597" t="str">
        <f t="shared" si="97"/>
        <v>time of use</v>
      </c>
      <c r="E215" s="615" t="s">
        <v>281</v>
      </c>
      <c r="F215" s="485" cm="1">
        <f t="array" ref="F215">_xlfn.XLOOKUP(1,($B215=DistributionZone)*($C215=CustomerType)*($D215=tariffL2)*($F$5=Description),valuesPY)*_xlfn.XLOOKUP(1,($B215=DistributionZone)*($C215=CustomerType)*($D215=tariffL2)*($E215=tariffType)*("Usage proportion"=Description),valuesFY)</f>
        <v>704.93278450648802</v>
      </c>
      <c r="G215" s="570" t="s">
        <v>70</v>
      </c>
      <c r="H215" s="574"/>
      <c r="I215" s="574" cm="1">
        <f t="array" ref="I215">IFERROR(_xlfn.XLOOKUP(1,($B215=DistributionZone)*($I$5=Desc_FixedOrVar)*($G215=Description),valuesPY),0)</f>
        <v>0.15378802592718904</v>
      </c>
      <c r="J215" s="574">
        <f t="shared" si="106"/>
        <v>0.10841022134060933</v>
      </c>
      <c r="K215" s="575" t="str">
        <f>IFERROR(J215/J222,"")</f>
        <v/>
      </c>
      <c r="L215" s="575"/>
      <c r="M215" s="575">
        <f t="shared" ref="M215:M221" si="107">IF(OR(J215=0,Q215=""),"",Q215/J215-1)</f>
        <v>-0.19621579764116659</v>
      </c>
      <c r="N215" s="576"/>
      <c r="O215" s="574"/>
      <c r="P215" s="574" cm="1">
        <f t="array" ref="P215">IFERROR(_xlfn.XLOOKUP(1,($B215=DistributionZone)*($I$5=Desc_FixedOrVar)*($G215=Description),valuesFY),0)</f>
        <v>0.12361238575222523</v>
      </c>
      <c r="Q215" s="574">
        <f t="shared" ref="Q215:Q221" si="108">IF(AND(O215="",P215=""),"",O215+P215*$F215/1000)</f>
        <v>8.7138423287806258E-2</v>
      </c>
      <c r="R215" s="575">
        <f>IFERROR(Q215/Q222,"")</f>
        <v>4.9652488962058817E-4</v>
      </c>
      <c r="S215" s="575"/>
      <c r="T215" s="612"/>
      <c r="U215" s="575"/>
      <c r="V215" s="575"/>
      <c r="W215" s="575"/>
      <c r="X215" s="575"/>
      <c r="Y215" s="575"/>
      <c r="Z215" s="575"/>
      <c r="AA215" s="575"/>
      <c r="AB215" s="575"/>
      <c r="AC215" s="575"/>
      <c r="AD215" s="575"/>
      <c r="AE215" s="575"/>
      <c r="AF215" s="575"/>
      <c r="AG215" s="575"/>
      <c r="AH215" s="575"/>
      <c r="AI215" s="575"/>
      <c r="AJ215" s="575"/>
    </row>
    <row r="216" spans="2:36" s="570" customFormat="1" x14ac:dyDescent="0.35">
      <c r="B216" s="597" t="str">
        <f t="shared" si="95"/>
        <v>Endeavour</v>
      </c>
      <c r="C216" s="597" t="str">
        <f t="shared" si="96"/>
        <v>Small business</v>
      </c>
      <c r="D216" s="597" t="str">
        <f t="shared" si="97"/>
        <v>time of use</v>
      </c>
      <c r="E216" s="615" t="s">
        <v>281</v>
      </c>
      <c r="F216" s="485" cm="1">
        <f t="array" ref="F216">_xlfn.XLOOKUP(1,($B216=DistributionZone)*($C216=CustomerType)*($D216=tariffL2)*($F$5=Description),valuesPY)*_xlfn.XLOOKUP(1,($B216=DistributionZone)*($C216=CustomerType)*($D216=tariffL2)*($E216=tariffType)*("Usage proportion"=Description),valuesFY)</f>
        <v>704.93278450648802</v>
      </c>
      <c r="G216" s="570" t="s">
        <v>77</v>
      </c>
      <c r="H216" s="574"/>
      <c r="I216" s="574" cm="1">
        <f t="array" ref="I216">IFERROR(_xlfn.XLOOKUP(1,($B216=DistributionZone)*($I$5=Desc_FixedOrVar)*($G216=Description),valuesPY),0)</f>
        <v>0.57443</v>
      </c>
      <c r="J216" s="574">
        <f t="shared" si="106"/>
        <v>0.40493453940406193</v>
      </c>
      <c r="K216" s="575" t="str">
        <f>IFERROR(J216/J222,"")</f>
        <v/>
      </c>
      <c r="L216" s="575"/>
      <c r="M216" s="575">
        <f t="shared" si="107"/>
        <v>-9.5799314102675726E-2</v>
      </c>
      <c r="N216" s="576"/>
      <c r="O216" s="574"/>
      <c r="P216" s="574" cm="1">
        <f t="array" ref="P216">IFERROR(_xlfn.XLOOKUP(1,($B216=DistributionZone)*($I$5=Desc_FixedOrVar)*($G216=Description),valuesFY),0)</f>
        <v>0.51939999999999997</v>
      </c>
      <c r="Q216" s="574">
        <f t="shared" si="108"/>
        <v>0.36614208827266986</v>
      </c>
      <c r="R216" s="575">
        <f>IFERROR(Q216/Q222,"")</f>
        <v>2.0863202833563219E-3</v>
      </c>
      <c r="S216" s="575"/>
      <c r="T216" s="612"/>
      <c r="U216" s="575"/>
      <c r="V216" s="575"/>
      <c r="W216" s="575"/>
      <c r="X216" s="575"/>
      <c r="Y216" s="575"/>
      <c r="Z216" s="575"/>
      <c r="AA216" s="575"/>
      <c r="AB216" s="575"/>
      <c r="AC216" s="575"/>
      <c r="AD216" s="575"/>
      <c r="AE216" s="575"/>
      <c r="AF216" s="575"/>
      <c r="AG216" s="575"/>
      <c r="AH216" s="575"/>
      <c r="AI216" s="575"/>
      <c r="AJ216" s="575"/>
    </row>
    <row r="217" spans="2:36" s="570" customFormat="1" x14ac:dyDescent="0.35">
      <c r="B217" s="597" t="str">
        <f t="shared" si="95"/>
        <v>Endeavour</v>
      </c>
      <c r="C217" s="597" t="str">
        <f t="shared" si="96"/>
        <v>Small business</v>
      </c>
      <c r="D217" s="597" t="str">
        <f t="shared" si="97"/>
        <v>time of use</v>
      </c>
      <c r="E217" s="615" t="s">
        <v>281</v>
      </c>
      <c r="F217" s="485" cm="1">
        <f t="array" ref="F217">_xlfn.XLOOKUP(1,($B217=DistributionZone)*($C217=CustomerType)*($D217=tariffL2)*($F$5=Description),valuesPY)*_xlfn.XLOOKUP(1,($B217=DistributionZone)*($C217=CustomerType)*($D217=tariffL2)*($E217=tariffType)*("Usage proportion"=Description),valuesFY)</f>
        <v>704.93278450648802</v>
      </c>
      <c r="G217" s="570" t="s">
        <v>71</v>
      </c>
      <c r="H217" s="574"/>
      <c r="I217" s="574" cm="1">
        <f t="array" ref="I217">IFERROR(_xlfn.XLOOKUP(1,($B217=DistributionZone)*($I$5=Desc_FixedOrVar)*($G217=Description),valuesPY),0)</f>
        <v>5.2786233739509421E-2</v>
      </c>
      <c r="J217" s="574">
        <f t="shared" si="106"/>
        <v>3.7210746733602702E-2</v>
      </c>
      <c r="K217" s="575" t="str">
        <f>IFERROR(J217/J222,"")</f>
        <v/>
      </c>
      <c r="L217" s="575"/>
      <c r="M217" s="575">
        <f t="shared" si="107"/>
        <v>1.413017537285187</v>
      </c>
      <c r="N217" s="576"/>
      <c r="O217" s="574"/>
      <c r="P217" s="574" cm="1">
        <f t="array" ref="P217">IFERROR(_xlfn.XLOOKUP(1,($B217=DistributionZone)*($I$5=Desc_FixedOrVar)*($G217=Description),valuesFY),0)</f>
        <v>0.12737410774067126</v>
      </c>
      <c r="Q217" s="574">
        <f t="shared" si="108"/>
        <v>8.9790184443660812E-2</v>
      </c>
      <c r="R217" s="575">
        <f>IFERROR(Q217/Q222,"")</f>
        <v>5.1163493368073924E-4</v>
      </c>
      <c r="S217" s="575"/>
      <c r="T217" s="612"/>
      <c r="U217" s="575"/>
      <c r="V217" s="575"/>
      <c r="W217" s="575"/>
      <c r="X217" s="575"/>
      <c r="Y217" s="575"/>
      <c r="Z217" s="575"/>
      <c r="AA217" s="575"/>
      <c r="AB217" s="575"/>
      <c r="AC217" s="575"/>
      <c r="AD217" s="575"/>
      <c r="AE217" s="575"/>
      <c r="AF217" s="575"/>
      <c r="AG217" s="575"/>
      <c r="AH217" s="575"/>
      <c r="AI217" s="575"/>
      <c r="AJ217" s="575"/>
    </row>
    <row r="218" spans="2:36" s="570" customFormat="1" x14ac:dyDescent="0.35">
      <c r="B218" s="597" t="str">
        <f t="shared" si="95"/>
        <v>Endeavour</v>
      </c>
      <c r="C218" s="597" t="str">
        <f t="shared" si="96"/>
        <v>Small business</v>
      </c>
      <c r="D218" s="597" t="str">
        <f t="shared" si="97"/>
        <v>time of use</v>
      </c>
      <c r="E218" s="615" t="s">
        <v>281</v>
      </c>
      <c r="F218" s="485" cm="1">
        <f t="array" ref="F218">_xlfn.XLOOKUP(1,($B218=DistributionZone)*($C218=CustomerType)*($D218=tariffL2)*($F$5=Description),valuesPY)*_xlfn.XLOOKUP(1,($B218=DistributionZone)*($C218=CustomerType)*($D218=tariffL2)*($E218=tariffType)*("Usage proportion"=Description),valuesFY)</f>
        <v>704.93278450648802</v>
      </c>
      <c r="G218" s="570" t="s">
        <v>173</v>
      </c>
      <c r="H218" s="574"/>
      <c r="I218" s="574" cm="1">
        <f t="array" ref="I218">IFERROR(_xlfn.XLOOKUP(1,($B218=DistributionZone)*($I$5=Desc_FixedOrVar)*($G218=Description),valuesPY),0)</f>
        <v>0.11507709849820914</v>
      </c>
      <c r="J218" s="574">
        <f t="shared" si="106"/>
        <v>8.1121619477269966E-2</v>
      </c>
      <c r="K218" s="575" t="str">
        <f>IFERROR(J218/J222,"")</f>
        <v/>
      </c>
      <c r="L218" s="575"/>
      <c r="M218" s="575">
        <f t="shared" si="107"/>
        <v>-1</v>
      </c>
      <c r="N218" s="576"/>
      <c r="O218" s="574"/>
      <c r="P218" s="574" cm="1">
        <f t="array" ref="P218">IFERROR(_xlfn.XLOOKUP(1,($B218=DistributionZone)*($I$5=Desc_FixedOrVar)*($G218=Description),valuesFY),0)</f>
        <v>0</v>
      </c>
      <c r="Q218" s="574">
        <f t="shared" si="108"/>
        <v>0</v>
      </c>
      <c r="R218" s="575">
        <f>IFERROR(Q218/Q222,"")</f>
        <v>0</v>
      </c>
      <c r="S218" s="575"/>
      <c r="T218" s="612"/>
      <c r="U218" s="575"/>
      <c r="V218" s="575"/>
      <c r="W218" s="575"/>
      <c r="X218" s="575"/>
      <c r="Y218" s="575"/>
      <c r="Z218" s="575"/>
      <c r="AA218" s="575"/>
      <c r="AB218" s="575"/>
      <c r="AC218" s="575"/>
      <c r="AD218" s="575"/>
      <c r="AE218" s="575"/>
      <c r="AF218" s="575"/>
      <c r="AG218" s="575"/>
      <c r="AH218" s="575"/>
      <c r="AI218" s="575"/>
      <c r="AJ218" s="575"/>
    </row>
    <row r="219" spans="2:36" s="570" customFormat="1" x14ac:dyDescent="0.35">
      <c r="B219" s="597" t="str">
        <f t="shared" si="95"/>
        <v>Endeavour</v>
      </c>
      <c r="C219" s="597" t="str">
        <f t="shared" si="96"/>
        <v>Small business</v>
      </c>
      <c r="D219" s="597" t="str">
        <f t="shared" si="97"/>
        <v>time of use</v>
      </c>
      <c r="E219" s="615" t="s">
        <v>281</v>
      </c>
      <c r="F219" s="485" cm="1">
        <f t="array" ref="F219">_xlfn.XLOOKUP(1,($B219=DistributionZone)*($C219=CustomerType)*($D219=tariffL2)*($F$5=Description),valuesPY)*_xlfn.XLOOKUP(1,($B219=DistributionZone)*($C219=CustomerType)*($D219=tariffL2)*($E219=tariffType)*("Usage proportion"=Description),valuesFY)</f>
        <v>704.93278450648802</v>
      </c>
      <c r="G219" s="570" t="s">
        <v>130</v>
      </c>
      <c r="H219" s="574"/>
      <c r="I219" s="574" cm="1">
        <f t="array" ref="I219">IFERROR(_xlfn.XLOOKUP(1,($B219=DistributionZone)*($I$5=Desc_FixedOrVar)*($G219=Description),valuesPY),0)</f>
        <v>3.1348835402205433</v>
      </c>
      <c r="J219" s="574">
        <f t="shared" si="106"/>
        <v>2.2098821831112248</v>
      </c>
      <c r="K219" s="575" t="str">
        <f>IFERROR(J219/J222,"")</f>
        <v/>
      </c>
      <c r="L219" s="575"/>
      <c r="M219" s="575">
        <f t="shared" si="107"/>
        <v>-7.2394778388588654E-2</v>
      </c>
      <c r="N219" s="576"/>
      <c r="O219" s="574"/>
      <c r="P219" s="574" cm="1">
        <f t="array" ref="P219">IFERROR(_xlfn.XLOOKUP(1,($B219=DistributionZone)*($I$5=Desc_FixedOrVar)*($G219=Description),valuesFY),0)</f>
        <v>2.9079343410522429</v>
      </c>
      <c r="Q219" s="574">
        <f t="shared" si="108"/>
        <v>2.0498982521999971</v>
      </c>
      <c r="R219" s="575">
        <f>IFERROR(Q219/Q222,"")</f>
        <v>1.168055910359202E-2</v>
      </c>
      <c r="S219" s="575"/>
      <c r="T219" s="612"/>
      <c r="U219" s="575"/>
      <c r="V219" s="575"/>
      <c r="W219" s="575"/>
      <c r="X219" s="575"/>
      <c r="Y219" s="575"/>
      <c r="Z219" s="575"/>
      <c r="AA219" s="575"/>
      <c r="AB219" s="575"/>
      <c r="AC219" s="575"/>
      <c r="AD219" s="575"/>
      <c r="AE219" s="575"/>
      <c r="AF219" s="575"/>
      <c r="AG219" s="575"/>
      <c r="AH219" s="575"/>
      <c r="AI219" s="575"/>
      <c r="AJ219" s="575"/>
    </row>
    <row r="220" spans="2:36" s="570" customFormat="1" x14ac:dyDescent="0.35">
      <c r="B220" s="597" t="str">
        <f t="shared" si="95"/>
        <v>Endeavour</v>
      </c>
      <c r="C220" s="597" t="str">
        <f t="shared" si="96"/>
        <v>Small business</v>
      </c>
      <c r="D220" s="597" t="str">
        <f t="shared" si="97"/>
        <v>time of use</v>
      </c>
      <c r="E220" s="615" t="s">
        <v>281</v>
      </c>
      <c r="F220" s="485" cm="1">
        <f t="array" ref="F220">_xlfn.XLOOKUP(1,($B220=DistributionZone)*($C220=CustomerType)*($D220=tariffL2)*($F$5=Description),valuesPY)*_xlfn.XLOOKUP(1,($B220=DistributionZone)*($C220=CustomerType)*($D220=tariffL2)*($E220=tariffType)*("Usage proportion"=Description),valuesFY)</f>
        <v>704.93278450648802</v>
      </c>
      <c r="G220" s="570" t="s">
        <v>302</v>
      </c>
      <c r="H220" s="574"/>
      <c r="I220" s="574"/>
      <c r="J220" s="574"/>
      <c r="K220" s="575"/>
      <c r="L220" s="575"/>
      <c r="M220" s="575"/>
      <c r="N220" s="576"/>
      <c r="O220" s="574"/>
      <c r="P220" s="574" cm="1">
        <f t="array" ref="P220">IFERROR(_xlfn.XLOOKUP(1,($B220=DistributionZone)*($D220=tariffL2)*($G220=Description),valuesFY),0)</f>
        <v>2.0909999999999997</v>
      </c>
      <c r="Q220" s="574">
        <f t="shared" ref="Q220" si="109">IF(AND(O220="",P220=""),"",O220+P220*$F220/1000)</f>
        <v>1.4740144524030663</v>
      </c>
      <c r="R220" s="575">
        <f>IFERROR(Q220/Q222,"")</f>
        <v>8.3991061080055229E-3</v>
      </c>
      <c r="S220" s="575"/>
      <c r="T220" s="612"/>
      <c r="U220" s="575"/>
      <c r="V220" s="575"/>
      <c r="W220" s="575"/>
      <c r="X220" s="575"/>
      <c r="Y220" s="575"/>
      <c r="Z220" s="575"/>
      <c r="AA220" s="575"/>
      <c r="AB220" s="575"/>
      <c r="AC220" s="575"/>
      <c r="AD220" s="575"/>
      <c r="AE220" s="575"/>
      <c r="AF220" s="575"/>
      <c r="AG220" s="575"/>
      <c r="AH220" s="575"/>
      <c r="AI220" s="575"/>
      <c r="AJ220" s="575"/>
    </row>
    <row r="221" spans="2:36" s="570" customFormat="1" x14ac:dyDescent="0.35">
      <c r="B221" s="597" t="str">
        <f>B219</f>
        <v>Endeavour</v>
      </c>
      <c r="C221" s="597" t="str">
        <f>C219</f>
        <v>Small business</v>
      </c>
      <c r="D221" s="597" t="str">
        <f>D219</f>
        <v>time of use</v>
      </c>
      <c r="E221" s="615" t="s">
        <v>281</v>
      </c>
      <c r="F221" s="485" cm="1">
        <f t="array" ref="F221">_xlfn.XLOOKUP(1,($B221=DistributionZone)*($C221=CustomerType)*($D221=tariffL2)*($F$5=Description),valuesPY)*_xlfn.XLOOKUP(1,($B221=DistributionZone)*($C221=CustomerType)*($D221=tariffL2)*($E221=tariffType)*("Usage proportion"=Description),valuesFY)</f>
        <v>704.93278450648802</v>
      </c>
      <c r="G221" s="570" t="s">
        <v>72</v>
      </c>
      <c r="H221" s="574"/>
      <c r="I221" s="574" cm="1">
        <f t="array" ref="I221">IFERROR(_xlfn.XLOOKUP(1,($B221=DistributionZone)*($C221=CustomerType)*("Losses"=Description),valuesPY),0)*SUM(I214:I219)</f>
        <v>0.2566966818870644</v>
      </c>
      <c r="J221" s="574">
        <f>I221*F221/1000</f>
        <v>0.18095390673622447</v>
      </c>
      <c r="K221" s="575" t="str">
        <f>IFERROR(J221/J222,"")</f>
        <v/>
      </c>
      <c r="L221" s="575"/>
      <c r="M221" s="575">
        <f t="shared" si="107"/>
        <v>53.148990657469447</v>
      </c>
      <c r="N221" s="576"/>
      <c r="O221" s="574"/>
      <c r="P221" s="574" cm="1">
        <f t="array" ref="P221">IFERROR(_xlfn.XLOOKUP(1,($B221=DistributionZone)*($C221=CustomerType)*("Losses"=Description)*($D221=tariffType)*($P$5=Desc_FixedOrVar),valuesFY),0)*SUM(P214:P220)</f>
        <v>13.899866229306056</v>
      </c>
      <c r="Q221" s="574">
        <f t="shared" si="108"/>
        <v>9.7984714052924158</v>
      </c>
      <c r="R221" s="575">
        <f>IFERROR(Q221/Q222,"")</f>
        <v>5.5832831825453948E-2</v>
      </c>
      <c r="S221" s="575"/>
      <c r="T221" s="612"/>
      <c r="U221" s="575"/>
      <c r="V221" s="575"/>
      <c r="W221" s="575"/>
      <c r="X221" s="575"/>
      <c r="Y221" s="575"/>
      <c r="Z221" s="575"/>
      <c r="AA221" s="575"/>
      <c r="AB221" s="575"/>
      <c r="AC221" s="575"/>
      <c r="AD221" s="575"/>
      <c r="AE221" s="575"/>
      <c r="AF221" s="575"/>
      <c r="AG221" s="575"/>
      <c r="AH221" s="575"/>
      <c r="AI221" s="575"/>
      <c r="AJ221" s="575"/>
    </row>
    <row r="222" spans="2:36" s="571" customFormat="1" x14ac:dyDescent="0.35">
      <c r="B222" s="597" t="str">
        <f t="shared" si="95"/>
        <v>Endeavour</v>
      </c>
      <c r="C222" s="597" t="str">
        <f t="shared" si="96"/>
        <v>Small business</v>
      </c>
      <c r="D222" s="597" t="str">
        <f t="shared" si="97"/>
        <v>time of use</v>
      </c>
      <c r="E222" s="615" t="s">
        <v>281</v>
      </c>
      <c r="F222" s="584"/>
      <c r="G222" s="571" t="s">
        <v>55</v>
      </c>
      <c r="H222" s="577"/>
      <c r="I222" s="577">
        <f>IF($H$3=PY,0,SUM(I214:I221))</f>
        <v>0</v>
      </c>
      <c r="J222" s="577">
        <f>IF($H$3=PY,0,I222*$F214/1000+H216)</f>
        <v>0</v>
      </c>
      <c r="K222" s="578"/>
      <c r="L222" s="579"/>
      <c r="M222" s="578"/>
      <c r="N222" s="580"/>
      <c r="O222" s="577"/>
      <c r="P222" s="577">
        <f>SUM(P214:P221)</f>
        <v>248.9550641593853</v>
      </c>
      <c r="Q222" s="577">
        <f>O222+P222*$F214/1000</f>
        <v>175.49658659486684</v>
      </c>
      <c r="R222" s="578"/>
      <c r="S222" s="578"/>
      <c r="T222" s="621"/>
      <c r="U222" s="578"/>
      <c r="V222" s="578"/>
      <c r="W222" s="578"/>
      <c r="X222" s="578"/>
      <c r="Y222" s="578"/>
      <c r="Z222" s="578"/>
      <c r="AA222" s="578"/>
      <c r="AB222" s="578"/>
      <c r="AC222" s="578"/>
      <c r="AD222" s="578"/>
      <c r="AE222" s="578"/>
      <c r="AF222" s="578"/>
      <c r="AG222" s="578"/>
      <c r="AH222" s="578"/>
      <c r="AI222" s="578"/>
      <c r="AJ222" s="578"/>
    </row>
    <row r="223" spans="2:36" s="570" customFormat="1" x14ac:dyDescent="0.35">
      <c r="B223" s="597" t="str">
        <f t="shared" si="95"/>
        <v>Endeavour</v>
      </c>
      <c r="C223" s="597" t="str">
        <f t="shared" si="96"/>
        <v>Small business</v>
      </c>
      <c r="D223" s="597" t="str">
        <f t="shared" si="97"/>
        <v>time of use</v>
      </c>
      <c r="E223" s="615" t="s">
        <v>282</v>
      </c>
      <c r="F223" s="485" cm="1">
        <f t="array" ref="F223">_xlfn.XLOOKUP(1,($B223=DistributionZone)*($C223=CustomerType)*($D223=tariffL2)*($F$5=Description),valuesPY)*_xlfn.XLOOKUP(1,($B223=DistributionZone)*($C223=CustomerType)*($D223=tariffL2)*($E223=tariffType)*("Usage proportion"=Description),valuesFY)</f>
        <v>2345.8721659952375</v>
      </c>
      <c r="G223" s="570" t="s">
        <v>69</v>
      </c>
      <c r="H223" s="574"/>
      <c r="I223" s="574" cm="1">
        <f t="array" ref="I223">IFERROR(_xlfn.XLOOKUP(1,($B223=DistributionZone)*($E223=tariffType)*("WEC scale"=Description),valuesFY),0)</f>
        <v>0</v>
      </c>
      <c r="J223" s="574">
        <f t="shared" ref="J223:J228" si="110">H223+I223*F223/1000</f>
        <v>0</v>
      </c>
      <c r="K223" s="575" t="str">
        <f>IFERROR(J223/J231,"")</f>
        <v/>
      </c>
      <c r="L223" s="575"/>
      <c r="M223" s="575" t="str">
        <f>IF(OR(J223=0,Q223=""),"",Q223/J223-1)</f>
        <v/>
      </c>
      <c r="N223" s="576"/>
      <c r="O223" s="574"/>
      <c r="P223" s="574" cm="1">
        <f t="array" ref="P223">IFERROR(_xlfn.XLOOKUP(1,($B223=DistributionZone)*($C223=CustomerType)*($E223=tariffType)*("WEC"=Description),valuesFY),0)</f>
        <v>49.315803769007807</v>
      </c>
      <c r="Q223" s="574">
        <f>O223+P223*F223/1000</f>
        <v>115.68857140539843</v>
      </c>
      <c r="R223" s="575">
        <f>IFERROR(Q223/Q231,"")</f>
        <v>0.84528015731914075</v>
      </c>
      <c r="S223" s="575"/>
      <c r="T223" s="613"/>
      <c r="U223" s="575"/>
      <c r="V223" s="575"/>
      <c r="W223" s="575"/>
      <c r="X223" s="575"/>
      <c r="Y223" s="575"/>
      <c r="Z223" s="575"/>
      <c r="AA223" s="575"/>
      <c r="AB223" s="575"/>
      <c r="AC223" s="575"/>
      <c r="AD223" s="575"/>
      <c r="AE223" s="575"/>
      <c r="AF223" s="575"/>
      <c r="AG223" s="575"/>
      <c r="AH223" s="575"/>
      <c r="AI223" s="575"/>
      <c r="AJ223" s="575"/>
    </row>
    <row r="224" spans="2:36" s="570" customFormat="1" x14ac:dyDescent="0.35">
      <c r="B224" s="597" t="str">
        <f t="shared" si="95"/>
        <v>Endeavour</v>
      </c>
      <c r="C224" s="597" t="str">
        <f t="shared" si="96"/>
        <v>Small business</v>
      </c>
      <c r="D224" s="597" t="str">
        <f t="shared" si="97"/>
        <v>time of use</v>
      </c>
      <c r="E224" s="615" t="s">
        <v>282</v>
      </c>
      <c r="F224" s="485" cm="1">
        <f t="array" ref="F224">_xlfn.XLOOKUP(1,($B224=DistributionZone)*($C224=CustomerType)*($D224=tariffL2)*($F$5=Description),valuesPY)*_xlfn.XLOOKUP(1,($B224=DistributionZone)*($C224=CustomerType)*($D224=tariffL2)*($E224=tariffType)*("Usage proportion"=Description),valuesFY)</f>
        <v>2345.8721659952375</v>
      </c>
      <c r="G224" s="570" t="s">
        <v>70</v>
      </c>
      <c r="H224" s="574"/>
      <c r="I224" s="574" cm="1">
        <f t="array" ref="I224">IFERROR(_xlfn.XLOOKUP(1,($B224=DistributionZone)*($I$5=Desc_FixedOrVar)*($G224=Description),valuesPY),0)</f>
        <v>0.15378802592718904</v>
      </c>
      <c r="J224" s="574">
        <f t="shared" si="110"/>
        <v>0.36076704948594668</v>
      </c>
      <c r="K224" s="575" t="str">
        <f>IFERROR(J224/J231,"")</f>
        <v/>
      </c>
      <c r="L224" s="575"/>
      <c r="M224" s="575">
        <f t="shared" ref="M224:M230" si="111">IF(OR(J224=0,Q224=""),"",Q224/J224-1)</f>
        <v>-0.19621579764116659</v>
      </c>
      <c r="N224" s="576"/>
      <c r="O224" s="574"/>
      <c r="P224" s="574" cm="1">
        <f t="array" ref="P224">IFERROR(_xlfn.XLOOKUP(1,($B224=DistributionZone)*($I$5=Desc_FixedOrVar)*($G224=Description),valuesFY),0)</f>
        <v>0.12361238575222523</v>
      </c>
      <c r="Q224" s="574">
        <f t="shared" ref="Q224:Q230" si="112">IF(AND(O224="",P224=""),"",O224+P224*$F224/1000)</f>
        <v>0.28997885510841143</v>
      </c>
      <c r="R224" s="575">
        <f>IFERROR(Q224/Q231,"")</f>
        <v>2.1187345412567215E-3</v>
      </c>
      <c r="S224" s="575"/>
      <c r="T224" s="612"/>
      <c r="U224" s="575"/>
      <c r="V224" s="575"/>
      <c r="W224" s="575"/>
      <c r="X224" s="575"/>
      <c r="Y224" s="575"/>
      <c r="Z224" s="575"/>
      <c r="AA224" s="575"/>
      <c r="AB224" s="575"/>
      <c r="AC224" s="575"/>
      <c r="AD224" s="575"/>
      <c r="AE224" s="575"/>
      <c r="AF224" s="575"/>
      <c r="AG224" s="575"/>
      <c r="AH224" s="575"/>
      <c r="AI224" s="575"/>
      <c r="AJ224" s="575"/>
    </row>
    <row r="225" spans="2:36" s="570" customFormat="1" x14ac:dyDescent="0.35">
      <c r="B225" s="597" t="str">
        <f t="shared" si="95"/>
        <v>Endeavour</v>
      </c>
      <c r="C225" s="597" t="str">
        <f t="shared" si="96"/>
        <v>Small business</v>
      </c>
      <c r="D225" s="597" t="str">
        <f t="shared" si="97"/>
        <v>time of use</v>
      </c>
      <c r="E225" s="615" t="s">
        <v>282</v>
      </c>
      <c r="F225" s="485" cm="1">
        <f t="array" ref="F225">_xlfn.XLOOKUP(1,($B225=DistributionZone)*($C225=CustomerType)*($D225=tariffL2)*($F$5=Description),valuesPY)*_xlfn.XLOOKUP(1,($B225=DistributionZone)*($C225=CustomerType)*($D225=tariffL2)*($E225=tariffType)*("Usage proportion"=Description),valuesFY)</f>
        <v>2345.8721659952375</v>
      </c>
      <c r="G225" s="570" t="s">
        <v>77</v>
      </c>
      <c r="H225" s="574"/>
      <c r="I225" s="574" cm="1">
        <f t="array" ref="I225">IFERROR(_xlfn.XLOOKUP(1,($B225=DistributionZone)*($I$5=Desc_FixedOrVar)*($G225=Description),valuesPY),0)</f>
        <v>0.57443</v>
      </c>
      <c r="J225" s="574">
        <f t="shared" si="110"/>
        <v>1.3475393483126443</v>
      </c>
      <c r="K225" s="575" t="str">
        <f>IFERROR(J225/J231,"")</f>
        <v/>
      </c>
      <c r="L225" s="575"/>
      <c r="M225" s="575">
        <f t="shared" si="111"/>
        <v>-9.5799314102675615E-2</v>
      </c>
      <c r="N225" s="576"/>
      <c r="O225" s="574"/>
      <c r="P225" s="574" cm="1">
        <f t="array" ref="P225">IFERROR(_xlfn.XLOOKUP(1,($B225=DistributionZone)*($I$5=Desc_FixedOrVar)*($G225=Description),valuesFY),0)</f>
        <v>0.51939999999999997</v>
      </c>
      <c r="Q225" s="574">
        <f t="shared" si="112"/>
        <v>1.2184460030179265</v>
      </c>
      <c r="R225" s="575">
        <f>IFERROR(Q225/Q231,"")</f>
        <v>8.9025926814047529E-3</v>
      </c>
      <c r="S225" s="575"/>
      <c r="T225" s="612"/>
      <c r="U225" s="575"/>
      <c r="V225" s="575"/>
      <c r="W225" s="575"/>
      <c r="X225" s="575"/>
      <c r="Y225" s="575"/>
      <c r="Z225" s="575"/>
      <c r="AA225" s="575"/>
      <c r="AB225" s="575"/>
      <c r="AC225" s="575"/>
      <c r="AD225" s="575"/>
      <c r="AE225" s="575"/>
      <c r="AF225" s="575"/>
      <c r="AG225" s="575"/>
      <c r="AH225" s="575"/>
      <c r="AI225" s="575"/>
      <c r="AJ225" s="575"/>
    </row>
    <row r="226" spans="2:36" s="570" customFormat="1" x14ac:dyDescent="0.35">
      <c r="B226" s="597" t="str">
        <f t="shared" si="95"/>
        <v>Endeavour</v>
      </c>
      <c r="C226" s="597" t="str">
        <f t="shared" si="96"/>
        <v>Small business</v>
      </c>
      <c r="D226" s="597" t="str">
        <f t="shared" si="97"/>
        <v>time of use</v>
      </c>
      <c r="E226" s="615" t="s">
        <v>282</v>
      </c>
      <c r="F226" s="485" cm="1">
        <f t="array" ref="F226">_xlfn.XLOOKUP(1,($B226=DistributionZone)*($C226=CustomerType)*($D226=tariffL2)*($F$5=Description),valuesPY)*_xlfn.XLOOKUP(1,($B226=DistributionZone)*($C226=CustomerType)*($D226=tariffL2)*($E226=tariffType)*("Usage proportion"=Description),valuesFY)</f>
        <v>2345.8721659952375</v>
      </c>
      <c r="G226" s="570" t="s">
        <v>71</v>
      </c>
      <c r="H226" s="574"/>
      <c r="I226" s="574" cm="1">
        <f t="array" ref="I226">IFERROR(_xlfn.XLOOKUP(1,($B226=DistributionZone)*($I$5=Desc_FixedOrVar)*($G226=Description),valuesPY),0)</f>
        <v>5.2786233739509421E-2</v>
      </c>
      <c r="J226" s="574">
        <f t="shared" si="110"/>
        <v>0.12382975647723386</v>
      </c>
      <c r="K226" s="575" t="str">
        <f>IFERROR(J226/J231,"")</f>
        <v/>
      </c>
      <c r="L226" s="575"/>
      <c r="M226" s="575">
        <f t="shared" si="111"/>
        <v>1.413017537285187</v>
      </c>
      <c r="N226" s="576"/>
      <c r="O226" s="574"/>
      <c r="P226" s="574" cm="1">
        <f t="array" ref="P226">IFERROR(_xlfn.XLOOKUP(1,($B226=DistributionZone)*($I$5=Desc_FixedOrVar)*($G226=Description),valuesFY),0)</f>
        <v>0.12737410774067126</v>
      </c>
      <c r="Q226" s="574">
        <f t="shared" si="112"/>
        <v>0.29880337401731927</v>
      </c>
      <c r="R226" s="575">
        <f>IFERROR(Q226/Q231,"")</f>
        <v>2.1832110114989611E-3</v>
      </c>
      <c r="S226" s="575"/>
      <c r="T226" s="612"/>
      <c r="U226" s="575"/>
      <c r="V226" s="575"/>
      <c r="W226" s="575"/>
      <c r="X226" s="575"/>
      <c r="Y226" s="575"/>
      <c r="Z226" s="575"/>
      <c r="AA226" s="575"/>
      <c r="AB226" s="575"/>
      <c r="AC226" s="575"/>
      <c r="AD226" s="575"/>
      <c r="AE226" s="575"/>
      <c r="AF226" s="575"/>
      <c r="AG226" s="575"/>
      <c r="AH226" s="575"/>
      <c r="AI226" s="575"/>
      <c r="AJ226" s="575"/>
    </row>
    <row r="227" spans="2:36" s="570" customFormat="1" x14ac:dyDescent="0.35">
      <c r="B227" s="597" t="str">
        <f t="shared" si="95"/>
        <v>Endeavour</v>
      </c>
      <c r="C227" s="597" t="str">
        <f t="shared" si="96"/>
        <v>Small business</v>
      </c>
      <c r="D227" s="597" t="str">
        <f t="shared" si="97"/>
        <v>time of use</v>
      </c>
      <c r="E227" s="615" t="s">
        <v>282</v>
      </c>
      <c r="F227" s="485" cm="1">
        <f t="array" ref="F227">_xlfn.XLOOKUP(1,($B227=DistributionZone)*($C227=CustomerType)*($D227=tariffL2)*($F$5=Description),valuesPY)*_xlfn.XLOOKUP(1,($B227=DistributionZone)*($C227=CustomerType)*($D227=tariffL2)*($E227=tariffType)*("Usage proportion"=Description),valuesFY)</f>
        <v>2345.8721659952375</v>
      </c>
      <c r="G227" s="570" t="s">
        <v>173</v>
      </c>
      <c r="H227" s="574"/>
      <c r="I227" s="574" cm="1">
        <f t="array" ref="I227">IFERROR(_xlfn.XLOOKUP(1,($B227=DistributionZone)*($I$5=Desc_FixedOrVar)*($G227=Description),valuesPY),0)</f>
        <v>0.11507709849820914</v>
      </c>
      <c r="J227" s="574">
        <f t="shared" si="110"/>
        <v>0.26995616231044117</v>
      </c>
      <c r="K227" s="575" t="str">
        <f>IFERROR(J227/J231,"")</f>
        <v/>
      </c>
      <c r="L227" s="575"/>
      <c r="M227" s="575">
        <f t="shared" si="111"/>
        <v>-1</v>
      </c>
      <c r="N227" s="576"/>
      <c r="O227" s="574"/>
      <c r="P227" s="574" cm="1">
        <f t="array" ref="P227">IFERROR(_xlfn.XLOOKUP(1,($B227=DistributionZone)*($I$5=Desc_FixedOrVar)*($G227=Description),valuesFY),0)</f>
        <v>0</v>
      </c>
      <c r="Q227" s="574">
        <f t="shared" si="112"/>
        <v>0</v>
      </c>
      <c r="R227" s="575">
        <f>IFERROR(Q227/Q231,"")</f>
        <v>0</v>
      </c>
      <c r="S227" s="575"/>
      <c r="T227" s="612"/>
      <c r="U227" s="575"/>
      <c r="V227" s="575"/>
      <c r="W227" s="575"/>
      <c r="X227" s="575"/>
      <c r="Y227" s="575"/>
      <c r="Z227" s="575"/>
      <c r="AA227" s="575"/>
      <c r="AB227" s="575"/>
      <c r="AC227" s="575"/>
      <c r="AD227" s="575"/>
      <c r="AE227" s="575"/>
      <c r="AF227" s="575"/>
      <c r="AG227" s="575"/>
      <c r="AH227" s="575"/>
      <c r="AI227" s="575"/>
      <c r="AJ227" s="575"/>
    </row>
    <row r="228" spans="2:36" s="570" customFormat="1" x14ac:dyDescent="0.35">
      <c r="B228" s="597" t="str">
        <f t="shared" si="95"/>
        <v>Endeavour</v>
      </c>
      <c r="C228" s="597" t="str">
        <f t="shared" si="96"/>
        <v>Small business</v>
      </c>
      <c r="D228" s="597" t="str">
        <f t="shared" si="97"/>
        <v>time of use</v>
      </c>
      <c r="E228" s="615" t="s">
        <v>282</v>
      </c>
      <c r="F228" s="485" cm="1">
        <f t="array" ref="F228">_xlfn.XLOOKUP(1,($B228=DistributionZone)*($C228=CustomerType)*($D228=tariffL2)*($F$5=Description),valuesPY)*_xlfn.XLOOKUP(1,($B228=DistributionZone)*($C228=CustomerType)*($D228=tariffL2)*($E228=tariffType)*("Usage proportion"=Description),valuesFY)</f>
        <v>2345.8721659952375</v>
      </c>
      <c r="G228" s="570" t="s">
        <v>130</v>
      </c>
      <c r="H228" s="574"/>
      <c r="I228" s="574" cm="1">
        <f t="array" ref="I228">IFERROR(_xlfn.XLOOKUP(1,($B228=DistributionZone)*($I$5=Desc_FixedOrVar)*($G228=Description),valuesPY),0)</f>
        <v>3.1348835402205433</v>
      </c>
      <c r="J228" s="574">
        <f t="shared" si="110"/>
        <v>7.3540360406399845</v>
      </c>
      <c r="K228" s="575" t="str">
        <f>IFERROR(J228/J231,"")</f>
        <v/>
      </c>
      <c r="L228" s="575"/>
      <c r="M228" s="575">
        <f t="shared" si="111"/>
        <v>-7.2394778388588654E-2</v>
      </c>
      <c r="N228" s="576"/>
      <c r="O228" s="574"/>
      <c r="P228" s="574" cm="1">
        <f t="array" ref="P228">IFERROR(_xlfn.XLOOKUP(1,($B228=DistributionZone)*($I$5=Desc_FixedOrVar)*($G228=Description),valuesFY),0)</f>
        <v>2.9079343410522429</v>
      </c>
      <c r="Q228" s="574">
        <f t="shared" si="112"/>
        <v>6.8216422312161589</v>
      </c>
      <c r="R228" s="575">
        <f>IFERROR(Q228/Q231,"")</f>
        <v>4.9842423917322382E-2</v>
      </c>
      <c r="S228" s="575"/>
      <c r="T228" s="612"/>
      <c r="U228" s="575"/>
      <c r="V228" s="575"/>
      <c r="W228" s="575"/>
      <c r="X228" s="575"/>
      <c r="Y228" s="575"/>
      <c r="Z228" s="575"/>
      <c r="AA228" s="575"/>
      <c r="AB228" s="575"/>
      <c r="AC228" s="575"/>
      <c r="AD228" s="575"/>
      <c r="AE228" s="575"/>
      <c r="AF228" s="575"/>
      <c r="AG228" s="575"/>
      <c r="AH228" s="575"/>
      <c r="AI228" s="575"/>
      <c r="AJ228" s="575"/>
    </row>
    <row r="229" spans="2:36" s="570" customFormat="1" x14ac:dyDescent="0.35">
      <c r="B229" s="597" t="str">
        <f t="shared" si="95"/>
        <v>Endeavour</v>
      </c>
      <c r="C229" s="597" t="str">
        <f t="shared" si="96"/>
        <v>Small business</v>
      </c>
      <c r="D229" s="597" t="str">
        <f t="shared" si="97"/>
        <v>time of use</v>
      </c>
      <c r="E229" s="615" t="s">
        <v>282</v>
      </c>
      <c r="F229" s="485" cm="1">
        <f t="array" ref="F229">_xlfn.XLOOKUP(1,($B229=DistributionZone)*($C229=CustomerType)*($D229=tariffL2)*($F$5=Description),valuesPY)*_xlfn.XLOOKUP(1,($B229=DistributionZone)*($C229=CustomerType)*($D229=tariffL2)*($E229=tariffType)*("Usage proportion"=Description),valuesFY)</f>
        <v>2345.8721659952375</v>
      </c>
      <c r="G229" s="570" t="s">
        <v>302</v>
      </c>
      <c r="H229" s="574"/>
      <c r="I229" s="574"/>
      <c r="J229" s="574"/>
      <c r="K229" s="575"/>
      <c r="L229" s="575"/>
      <c r="M229" s="575"/>
      <c r="N229" s="576"/>
      <c r="O229" s="574"/>
      <c r="P229" s="574" cm="1">
        <f t="array" ref="P229">IFERROR(_xlfn.XLOOKUP(1,($B229=DistributionZone)*($D229=tariffL2)*($G229=Description),valuesFY),0)</f>
        <v>2.0909999999999997</v>
      </c>
      <c r="Q229" s="574">
        <f t="shared" ref="Q229" si="113">IF(AND(O229="",P229=""),"",O229+P229*$F229/1000)</f>
        <v>4.9052186990960411</v>
      </c>
      <c r="R229" s="575">
        <f>IFERROR(Q229/Q231,"")</f>
        <v>3.5840048703922475E-2</v>
      </c>
      <c r="S229" s="575"/>
      <c r="T229" s="612"/>
      <c r="U229" s="575"/>
      <c r="V229" s="575"/>
      <c r="W229" s="575"/>
      <c r="X229" s="575"/>
      <c r="Y229" s="575"/>
      <c r="Z229" s="575"/>
      <c r="AA229" s="575"/>
      <c r="AB229" s="575"/>
      <c r="AC229" s="575"/>
      <c r="AD229" s="575"/>
      <c r="AE229" s="575"/>
      <c r="AF229" s="575"/>
      <c r="AG229" s="575"/>
      <c r="AH229" s="575"/>
      <c r="AI229" s="575"/>
      <c r="AJ229" s="575"/>
    </row>
    <row r="230" spans="2:36" s="570" customFormat="1" x14ac:dyDescent="0.35">
      <c r="B230" s="597" t="str">
        <f>B228</f>
        <v>Endeavour</v>
      </c>
      <c r="C230" s="597" t="str">
        <f>C228</f>
        <v>Small business</v>
      </c>
      <c r="D230" s="597" t="str">
        <f>D228</f>
        <v>time of use</v>
      </c>
      <c r="E230" s="615" t="s">
        <v>282</v>
      </c>
      <c r="F230" s="485" cm="1">
        <f t="array" ref="F230">_xlfn.XLOOKUP(1,($B230=DistributionZone)*($C230=CustomerType)*($D230=tariffL2)*($F$5=Description),valuesPY)*_xlfn.XLOOKUP(1,($B230=DistributionZone)*($C230=CustomerType)*($D230=tariffL2)*($E230=tariffType)*("Usage proportion"=Description),valuesFY)</f>
        <v>2345.8721659952375</v>
      </c>
      <c r="G230" s="570" t="s">
        <v>72</v>
      </c>
      <c r="H230" s="574"/>
      <c r="I230" s="574" cm="1">
        <f t="array" ref="I230">IFERROR(_xlfn.XLOOKUP(1,($B230=DistributionZone)*($C230=CustomerType)*("Losses"=Description),valuesPY),0)*SUM(I223:I228)</f>
        <v>0.2566966818870644</v>
      </c>
      <c r="J230" s="574">
        <f>I230*F230/1000</f>
        <v>0.6021776011421982</v>
      </c>
      <c r="K230" s="575" t="str">
        <f>IFERROR(J230/J231,"")</f>
        <v/>
      </c>
      <c r="L230" s="575"/>
      <c r="M230" s="575">
        <f t="shared" si="111"/>
        <v>11.68980190095864</v>
      </c>
      <c r="N230" s="576"/>
      <c r="O230" s="574"/>
      <c r="P230" s="574" cm="1">
        <f t="array" ref="P230">IFERROR(_xlfn.XLOOKUP(1,($B230=DistributionZone)*($C230=CustomerType)*("Losses"=Description)*($D230=tariffType)*($P$5=Desc_FixedOrVar),valuesFY),0)*SUM(P223:P229)</f>
        <v>3.2574300417802449</v>
      </c>
      <c r="Q230" s="574">
        <f t="shared" si="112"/>
        <v>7.6415144676889808</v>
      </c>
      <c r="R230" s="575">
        <f>IFERROR(Q230/Q231,"")</f>
        <v>5.5832831825453955E-2</v>
      </c>
      <c r="S230" s="575"/>
      <c r="T230" s="612"/>
      <c r="U230" s="575"/>
      <c r="V230" s="575"/>
      <c r="W230" s="575"/>
      <c r="X230" s="575"/>
      <c r="Y230" s="575"/>
      <c r="Z230" s="575"/>
      <c r="AA230" s="575"/>
      <c r="AB230" s="575"/>
      <c r="AC230" s="575"/>
      <c r="AD230" s="575"/>
      <c r="AE230" s="575"/>
      <c r="AF230" s="575"/>
      <c r="AG230" s="575"/>
      <c r="AH230" s="575"/>
      <c r="AI230" s="575"/>
      <c r="AJ230" s="575"/>
    </row>
    <row r="231" spans="2:36" s="571" customFormat="1" x14ac:dyDescent="0.35">
      <c r="B231" s="597" t="str">
        <f t="shared" si="95"/>
        <v>Endeavour</v>
      </c>
      <c r="C231" s="597" t="str">
        <f t="shared" si="96"/>
        <v>Small business</v>
      </c>
      <c r="D231" s="597" t="str">
        <f t="shared" si="97"/>
        <v>time of use</v>
      </c>
      <c r="E231" s="615" t="s">
        <v>282</v>
      </c>
      <c r="F231" s="584"/>
      <c r="G231" s="571" t="s">
        <v>55</v>
      </c>
      <c r="H231" s="577"/>
      <c r="I231" s="577">
        <f>IF($H$3=PY,0,SUM(I223:I230))</f>
        <v>0</v>
      </c>
      <c r="J231" s="577">
        <f>IF($H$3=PY,0,I231*$F223/1000+H225)</f>
        <v>0</v>
      </c>
      <c r="K231" s="578"/>
      <c r="L231" s="579"/>
      <c r="M231" s="578"/>
      <c r="N231" s="580"/>
      <c r="O231" s="577"/>
      <c r="P231" s="577">
        <f>SUM(P223:P230)</f>
        <v>58.342554645333188</v>
      </c>
      <c r="Q231" s="577">
        <f>O231+P231*$F223/1000</f>
        <v>136.86417503554327</v>
      </c>
      <c r="R231" s="578"/>
      <c r="S231" s="578"/>
      <c r="T231" s="621"/>
      <c r="U231" s="578"/>
      <c r="V231" s="578"/>
      <c r="W231" s="578"/>
      <c r="X231" s="578"/>
      <c r="Y231" s="578"/>
      <c r="Z231" s="578"/>
      <c r="AA231" s="578"/>
      <c r="AB231" s="578"/>
      <c r="AC231" s="578"/>
      <c r="AD231" s="578"/>
      <c r="AE231" s="578"/>
      <c r="AF231" s="578"/>
      <c r="AG231" s="578"/>
      <c r="AH231" s="578"/>
      <c r="AI231" s="578"/>
      <c r="AJ231" s="578"/>
    </row>
    <row r="232" spans="2:36" s="570" customFormat="1" x14ac:dyDescent="0.35">
      <c r="B232" s="597" t="str">
        <f t="shared" si="95"/>
        <v>Endeavour</v>
      </c>
      <c r="C232" s="597" t="str">
        <f t="shared" si="96"/>
        <v>Small business</v>
      </c>
      <c r="D232" s="597" t="str">
        <f t="shared" si="97"/>
        <v>time of use</v>
      </c>
      <c r="E232" s="570" t="s">
        <v>272</v>
      </c>
      <c r="F232" s="485" cm="1">
        <f t="array" ref="F232">_xlfn.XLOOKUP(1,($B232=DistributionZone)*($C232=CustomerType)*($D232=tariffL2)*($F$5=Description)*($E232=tariffType),valuesPY)</f>
        <v>10000</v>
      </c>
      <c r="G232" s="571" t="s">
        <v>55</v>
      </c>
      <c r="H232" s="577">
        <f>IF($H$3=PY,0,SUM(H223:H230,H214:H221,H205:H212,H196:H203))</f>
        <v>0</v>
      </c>
      <c r="I232" s="577"/>
      <c r="J232" s="577">
        <f>IF($H$3=PY,0,SUM(J231,J222,J213,J204))</f>
        <v>0</v>
      </c>
      <c r="K232" s="578"/>
      <c r="L232" s="579"/>
      <c r="M232" s="578" t="str">
        <f>IF(OR(J232=0,Q232=""),"",Q232/J232-1)</f>
        <v/>
      </c>
      <c r="N232" s="580"/>
      <c r="O232" s="577">
        <f>SUM(O196:O231)</f>
        <v>13.125399999999999</v>
      </c>
      <c r="P232" s="577"/>
      <c r="Q232" s="577">
        <f>SUM(Q231,Q222,Q213,Q204)</f>
        <v>1605.3150662133683</v>
      </c>
      <c r="R232" s="578"/>
      <c r="S232" s="578"/>
      <c r="T232" s="621"/>
      <c r="U232" s="578"/>
      <c r="V232" s="578"/>
      <c r="W232" s="578"/>
      <c r="X232" s="578"/>
      <c r="Y232" s="578"/>
      <c r="Z232" s="578"/>
      <c r="AA232" s="578"/>
      <c r="AB232" s="578"/>
      <c r="AC232" s="578"/>
      <c r="AD232" s="578"/>
      <c r="AE232" s="578"/>
      <c r="AF232" s="578"/>
      <c r="AG232" s="578"/>
      <c r="AH232" s="578"/>
      <c r="AI232" s="578"/>
      <c r="AJ232" s="578"/>
    </row>
    <row r="233" spans="2:36" s="570" customFormat="1" x14ac:dyDescent="0.35">
      <c r="B233" s="597" t="str">
        <f t="shared" si="95"/>
        <v>Endeavour</v>
      </c>
      <c r="C233" s="597" t="str">
        <f t="shared" si="96"/>
        <v>Small business</v>
      </c>
      <c r="D233" s="597" t="str">
        <f t="shared" si="97"/>
        <v>time of use</v>
      </c>
      <c r="F233" s="485"/>
      <c r="G233" s="570" t="s">
        <v>38</v>
      </c>
      <c r="H233" s="574"/>
      <c r="I233" s="574"/>
      <c r="J233" s="574">
        <f>J232*GST</f>
        <v>0</v>
      </c>
      <c r="K233" s="575"/>
      <c r="L233" s="581"/>
      <c r="M233" s="575"/>
      <c r="N233" s="582"/>
      <c r="O233" s="574"/>
      <c r="P233" s="574"/>
      <c r="Q233" s="574">
        <f>Q232*GST</f>
        <v>160.53150662133683</v>
      </c>
      <c r="R233" s="578"/>
      <c r="S233" s="578"/>
      <c r="T233" s="621"/>
      <c r="U233" s="578"/>
      <c r="V233" s="578"/>
      <c r="W233" s="578"/>
      <c r="X233" s="578"/>
      <c r="Y233" s="578"/>
      <c r="Z233" s="578"/>
      <c r="AA233" s="578"/>
      <c r="AB233" s="578"/>
      <c r="AC233" s="578"/>
      <c r="AD233" s="578"/>
      <c r="AE233" s="578"/>
      <c r="AF233" s="578"/>
      <c r="AG233" s="578"/>
      <c r="AH233" s="578"/>
      <c r="AI233" s="578"/>
      <c r="AJ233" s="578"/>
    </row>
    <row r="234" spans="2:36" s="570" customFormat="1" x14ac:dyDescent="0.35">
      <c r="B234" s="597" t="str">
        <f t="shared" si="95"/>
        <v>Endeavour</v>
      </c>
      <c r="C234" s="597" t="str">
        <f t="shared" si="96"/>
        <v>Small business</v>
      </c>
      <c r="D234" s="597" t="str">
        <f t="shared" si="97"/>
        <v>time of use</v>
      </c>
      <c r="E234" s="570" t="s">
        <v>272</v>
      </c>
      <c r="F234" s="485"/>
      <c r="G234" s="571" t="s">
        <v>79</v>
      </c>
      <c r="H234" s="577"/>
      <c r="I234" s="577"/>
      <c r="J234" s="577">
        <f>SUM(J232:J233)</f>
        <v>0</v>
      </c>
      <c r="K234" s="578"/>
      <c r="L234" s="579"/>
      <c r="M234" s="578" t="str">
        <f>IF(OR(J234=0,Q234=""),"",Q234/J234-1)</f>
        <v/>
      </c>
      <c r="N234" s="580"/>
      <c r="O234" s="577"/>
      <c r="P234" s="577"/>
      <c r="Q234" s="577">
        <f>SUM(Q232:Q233)</f>
        <v>1765.8465728347051</v>
      </c>
      <c r="R234" s="578"/>
      <c r="S234" s="578"/>
      <c r="T234" s="621"/>
      <c r="U234" s="578"/>
      <c r="V234" s="578"/>
      <c r="W234" s="578"/>
      <c r="X234" s="578"/>
      <c r="Y234" s="578"/>
      <c r="Z234" s="578"/>
      <c r="AA234" s="578"/>
      <c r="AB234" s="578"/>
      <c r="AC234" s="578"/>
      <c r="AD234" s="578"/>
      <c r="AE234" s="578"/>
      <c r="AF234" s="578"/>
      <c r="AG234" s="578"/>
      <c r="AH234" s="578"/>
      <c r="AI234" s="578"/>
      <c r="AJ234" s="578"/>
    </row>
    <row r="235" spans="2:36" x14ac:dyDescent="0.35">
      <c r="F235" s="258"/>
      <c r="H235" s="482"/>
      <c r="I235" s="482"/>
      <c r="J235" s="482"/>
      <c r="K235" s="484"/>
      <c r="L235" s="567"/>
      <c r="M235" s="484"/>
      <c r="N235" s="568"/>
      <c r="O235" s="482"/>
      <c r="P235" s="482"/>
      <c r="Q235" s="482"/>
      <c r="R235" s="484"/>
      <c r="S235" s="484"/>
      <c r="T235" s="607"/>
      <c r="U235" s="484"/>
      <c r="V235" s="484"/>
      <c r="W235" s="484"/>
      <c r="X235" s="484"/>
      <c r="Y235" s="484"/>
      <c r="Z235" s="484"/>
      <c r="AA235" s="484"/>
      <c r="AB235" s="484"/>
      <c r="AC235" s="484"/>
      <c r="AD235" s="484"/>
      <c r="AE235" s="484"/>
      <c r="AF235" s="484"/>
      <c r="AG235" s="484"/>
      <c r="AH235" s="484"/>
      <c r="AI235" s="484"/>
      <c r="AJ235" s="484"/>
    </row>
    <row r="236" spans="2:36" x14ac:dyDescent="0.35">
      <c r="B236" s="64" t="s">
        <v>3</v>
      </c>
      <c r="C236" s="64" t="s">
        <v>6</v>
      </c>
      <c r="D236" s="64" t="s">
        <v>276</v>
      </c>
      <c r="F236" s="258"/>
      <c r="H236" s="482"/>
      <c r="I236" s="482"/>
      <c r="J236" s="482"/>
      <c r="K236" s="484"/>
      <c r="L236" s="567"/>
      <c r="M236" s="484"/>
      <c r="N236" s="568"/>
      <c r="O236" s="482"/>
      <c r="P236" s="482"/>
      <c r="Q236" s="482"/>
      <c r="R236" s="484"/>
      <c r="S236" s="484"/>
      <c r="T236" s="607"/>
      <c r="U236" s="484"/>
      <c r="V236" s="484"/>
      <c r="W236" s="484"/>
      <c r="X236" s="484"/>
      <c r="Y236" s="484"/>
      <c r="Z236" s="484"/>
      <c r="AA236" s="484"/>
      <c r="AB236" s="484"/>
      <c r="AC236" s="484"/>
      <c r="AD236" s="484"/>
      <c r="AE236" s="484"/>
      <c r="AF236" s="484"/>
      <c r="AG236" s="484"/>
      <c r="AH236" s="484"/>
      <c r="AI236" s="484"/>
      <c r="AJ236" s="484"/>
    </row>
    <row r="237" spans="2:36" x14ac:dyDescent="0.35">
      <c r="B237" s="30" t="str">
        <f t="shared" ref="B237:B247" si="114">B236</f>
        <v>Essential</v>
      </c>
      <c r="C237" s="30" t="str">
        <f t="shared" ref="C237:C247" si="115">C236</f>
        <v>Residential</v>
      </c>
      <c r="D237" s="30" t="str">
        <f t="shared" ref="D237:D247" si="116">D236</f>
        <v>flat rate</v>
      </c>
      <c r="E237" s="30" t="s">
        <v>19</v>
      </c>
      <c r="F237" s="485" cm="1">
        <f t="array" ref="F237">_xlfn.XLOOKUP(1,($B237=DistributionZone)*($C237=CustomerType)*($D237=tariffL2)*($F$5=Description)*(E237=tariffType),valuesFY)</f>
        <v>4600</v>
      </c>
      <c r="G237" s="30" t="s">
        <v>69</v>
      </c>
      <c r="H237" s="482"/>
      <c r="I237" s="482" cm="1">
        <f t="array" ref="I237">IFERROR(_xlfn.XLOOKUP(1,($B237=DistributionZone)*($C237=CustomerType)*($E237=tariffType)*($G237=Description),valuesPY),0)</f>
        <v>165.17</v>
      </c>
      <c r="J237" s="482">
        <f t="shared" ref="J237:J245" si="117">IF(AND(H237="",I237=""),"",H237+I237*F237/1000)</f>
        <v>759.78200000000004</v>
      </c>
      <c r="K237" s="484">
        <f>IFERROR(J237/J245,"")</f>
        <v>0.92507398407729402</v>
      </c>
      <c r="L237" s="484"/>
      <c r="M237" s="484">
        <f t="shared" ref="M237:M245" si="118">IF(OR(J237=0,Q237=""),"",Q237/J237-1)</f>
        <v>-0.15456802082702681</v>
      </c>
      <c r="N237" s="563"/>
      <c r="O237" s="482"/>
      <c r="P237" s="482" cm="1">
        <f t="array" ref="P237">IFERROR(_xlfn.XLOOKUP(1,($B237=DistributionZone)*($C237=CustomerType)*($E237=tariffType)*($G237=Description),valuesFY),0)</f>
        <v>139.63999999999999</v>
      </c>
      <c r="Q237" s="482">
        <f t="shared" ref="Q237:Q245" si="119">IF(AND(O237="",P237=""),"",O237+P237*$F237/1000)</f>
        <v>642.34399999999994</v>
      </c>
      <c r="R237" s="484">
        <f t="shared" ref="R237:R242" si="120">IFERROR(Q237/$Q$245,"")</f>
        <v>0.9066559942021053</v>
      </c>
      <c r="S237" s="603"/>
      <c r="T237" s="608"/>
      <c r="U237" s="484"/>
      <c r="V237" s="484"/>
      <c r="W237" s="484"/>
      <c r="X237" s="484"/>
      <c r="Y237" s="484"/>
      <c r="Z237" s="484"/>
      <c r="AA237" s="484"/>
      <c r="AB237" s="484"/>
      <c r="AC237" s="484"/>
      <c r="AD237" s="484"/>
      <c r="AE237" s="484"/>
      <c r="AF237" s="484"/>
      <c r="AG237" s="484"/>
      <c r="AH237" s="484"/>
      <c r="AI237" s="484"/>
      <c r="AJ237" s="484"/>
    </row>
    <row r="238" spans="2:36" x14ac:dyDescent="0.35">
      <c r="B238" s="30" t="str">
        <f t="shared" si="114"/>
        <v>Essential</v>
      </c>
      <c r="C238" s="30" t="str">
        <f t="shared" si="115"/>
        <v>Residential</v>
      </c>
      <c r="D238" s="30" t="str">
        <f t="shared" si="116"/>
        <v>flat rate</v>
      </c>
      <c r="E238" s="30" t="s">
        <v>19</v>
      </c>
      <c r="F238" s="258">
        <f>F237</f>
        <v>4600</v>
      </c>
      <c r="G238" s="30" t="s">
        <v>70</v>
      </c>
      <c r="H238" s="482"/>
      <c r="I238" s="482" cm="1">
        <f t="array" ref="I238">IFERROR(_xlfn.XLOOKUP(1,($B238=DistributionZone)*(I$5=Desc_FixedOrVar)*($G238=Description),valuesPY),0)</f>
        <v>0.15378802592718904</v>
      </c>
      <c r="J238" s="482">
        <f t="shared" si="117"/>
        <v>0.70742491926506956</v>
      </c>
      <c r="K238" s="484">
        <f>IFERROR(J238/J245,"")</f>
        <v>8.6132652326601042E-4</v>
      </c>
      <c r="L238" s="484"/>
      <c r="M238" s="484">
        <f t="shared" si="118"/>
        <v>-0.19621579764116659</v>
      </c>
      <c r="N238" s="563"/>
      <c r="O238" s="482"/>
      <c r="P238" s="482" cm="1">
        <f t="array" ref="P238">IFERROR(_xlfn.XLOOKUP(1,($B238=DistributionZone)*($G238=Description)*($I$5=Desc_FixedOrVar),valuesFY),0)</f>
        <v>0.12361238575222523</v>
      </c>
      <c r="Q238" s="482">
        <f t="shared" si="119"/>
        <v>0.56861697446023607</v>
      </c>
      <c r="R238" s="484">
        <f t="shared" si="120"/>
        <v>8.0259173947205625E-4</v>
      </c>
      <c r="S238" s="484"/>
      <c r="T238" s="607"/>
      <c r="U238" s="484"/>
      <c r="V238" s="484"/>
      <c r="W238" s="484"/>
      <c r="X238" s="484"/>
      <c r="Y238" s="484"/>
      <c r="Z238" s="484"/>
      <c r="AA238" s="484"/>
      <c r="AB238" s="484"/>
      <c r="AC238" s="484"/>
      <c r="AD238" s="484"/>
      <c r="AE238" s="484"/>
      <c r="AF238" s="484"/>
      <c r="AG238" s="484"/>
      <c r="AH238" s="484"/>
      <c r="AI238" s="484"/>
      <c r="AJ238" s="484"/>
    </row>
    <row r="239" spans="2:36" x14ac:dyDescent="0.35">
      <c r="B239" s="30" t="str">
        <f t="shared" si="114"/>
        <v>Essential</v>
      </c>
      <c r="C239" s="30" t="str">
        <f t="shared" si="115"/>
        <v>Residential</v>
      </c>
      <c r="D239" s="30" t="str">
        <f t="shared" si="116"/>
        <v>flat rate</v>
      </c>
      <c r="E239" s="30" t="s">
        <v>19</v>
      </c>
      <c r="F239" s="258">
        <f t="shared" ref="F239:F245" si="121">F238</f>
        <v>4600</v>
      </c>
      <c r="G239" s="30" t="s">
        <v>77</v>
      </c>
      <c r="H239" s="482" cm="1">
        <f t="array" ref="H239">IFERROR(_xlfn.XLOOKUP(1,($B239=DistributionZone)*(H$5=Desc_FixedOrVar)*($G239=Description),valuesPY),0)*Days/7</f>
        <v>13.835244134497829</v>
      </c>
      <c r="I239" s="482" cm="1">
        <f t="array" ref="I239">IFERROR(_xlfn.XLOOKUP(1,($B239=DistributionZone)*(I$5=Desc_FixedOrVar)*($G239=Description),valuesPY),0)</f>
        <v>0.57443</v>
      </c>
      <c r="J239" s="482">
        <f t="shared" si="117"/>
        <v>16.477622134497828</v>
      </c>
      <c r="K239" s="484">
        <f>IFERROR(J239/J245,"")</f>
        <v>2.0062359408462047E-2</v>
      </c>
      <c r="L239" s="484"/>
      <c r="M239" s="484">
        <f t="shared" si="118"/>
        <v>-5.8441814397583114E-2</v>
      </c>
      <c r="N239" s="563"/>
      <c r="O239" s="482" cm="1">
        <f t="array" ref="O239">IFERROR(_xlfn.XLOOKUP(1,($B239=DistributionZone)*(O$5=Desc_FixedOrVar)*($G239=Description),valuesFY),0)*Days/7</f>
        <v>13.125399999999999</v>
      </c>
      <c r="P239" s="482" cm="1">
        <f t="array" ref="P239">IFERROR(_xlfn.XLOOKUP(1,($B239=DistributionZone)*($G239=Description)*($I$5=Desc_FixedOrVar),valuesFY),0)</f>
        <v>0.51939999999999997</v>
      </c>
      <c r="Q239" s="482">
        <f t="shared" si="119"/>
        <v>15.514639999999998</v>
      </c>
      <c r="R239" s="484">
        <f t="shared" si="120"/>
        <v>2.1898610952834855E-2</v>
      </c>
      <c r="S239" s="484"/>
      <c r="T239" s="607"/>
      <c r="U239" s="484"/>
      <c r="V239" s="484"/>
      <c r="W239" s="484"/>
      <c r="X239" s="484"/>
      <c r="Y239" s="484"/>
      <c r="Z239" s="484"/>
      <c r="AA239" s="484"/>
      <c r="AB239" s="484"/>
      <c r="AC239" s="484"/>
      <c r="AD239" s="484"/>
      <c r="AE239" s="484"/>
      <c r="AF239" s="484"/>
      <c r="AG239" s="484"/>
      <c r="AH239" s="484"/>
      <c r="AI239" s="484"/>
      <c r="AJ239" s="484"/>
    </row>
    <row r="240" spans="2:36" x14ac:dyDescent="0.35">
      <c r="B240" s="30" t="str">
        <f t="shared" si="114"/>
        <v>Essential</v>
      </c>
      <c r="C240" s="30" t="str">
        <f t="shared" si="115"/>
        <v>Residential</v>
      </c>
      <c r="D240" s="30" t="str">
        <f t="shared" si="116"/>
        <v>flat rate</v>
      </c>
      <c r="E240" s="30" t="s">
        <v>19</v>
      </c>
      <c r="F240" s="258">
        <f t="shared" si="121"/>
        <v>4600</v>
      </c>
      <c r="G240" s="30" t="s">
        <v>71</v>
      </c>
      <c r="H240" s="482"/>
      <c r="I240" s="482" cm="1">
        <f t="array" ref="I240">IFERROR(_xlfn.XLOOKUP(1,($B240=DistributionZone)*(I$5=Desc_FixedOrVar)*($G240=Description),valuesPY),0)</f>
        <v>5.2786233739509421E-2</v>
      </c>
      <c r="J240" s="482">
        <f t="shared" si="117"/>
        <v>0.24281667520174333</v>
      </c>
      <c r="K240" s="484">
        <f>IFERROR(J240/J245,"")</f>
        <v>2.956418935027139E-4</v>
      </c>
      <c r="L240" s="484"/>
      <c r="M240" s="484">
        <f t="shared" si="118"/>
        <v>1.413017537285187</v>
      </c>
      <c r="N240" s="563"/>
      <c r="O240" s="482"/>
      <c r="P240" s="482" cm="1">
        <f t="array" ref="P240">IFERROR(_xlfn.XLOOKUP(1,($B240=DistributionZone)*($G240=Description)*($I$5=Desc_FixedOrVar),valuesFY),0)</f>
        <v>0.12737410774067126</v>
      </c>
      <c r="Q240" s="482">
        <f t="shared" si="119"/>
        <v>0.58592089560708782</v>
      </c>
      <c r="R240" s="484">
        <f t="shared" si="120"/>
        <v>8.2701588577215978E-4</v>
      </c>
      <c r="S240" s="484"/>
      <c r="T240" s="607"/>
      <c r="U240" s="484"/>
      <c r="V240" s="484"/>
      <c r="W240" s="484"/>
      <c r="X240" s="484"/>
      <c r="Y240" s="484"/>
      <c r="Z240" s="484"/>
      <c r="AA240" s="484"/>
      <c r="AB240" s="484"/>
      <c r="AC240" s="484"/>
      <c r="AD240" s="484"/>
      <c r="AE240" s="484"/>
      <c r="AF240" s="484"/>
      <c r="AG240" s="484"/>
      <c r="AH240" s="484"/>
      <c r="AI240" s="484"/>
      <c r="AJ240" s="484"/>
    </row>
    <row r="241" spans="2:36" x14ac:dyDescent="0.35">
      <c r="B241" s="30" t="str">
        <f t="shared" si="114"/>
        <v>Essential</v>
      </c>
      <c r="C241" s="30" t="str">
        <f t="shared" si="115"/>
        <v>Residential</v>
      </c>
      <c r="D241" s="30" t="str">
        <f t="shared" si="116"/>
        <v>flat rate</v>
      </c>
      <c r="E241" s="30" t="s">
        <v>19</v>
      </c>
      <c r="F241" s="258">
        <f t="shared" si="121"/>
        <v>4600</v>
      </c>
      <c r="G241" s="30" t="s">
        <v>173</v>
      </c>
      <c r="H241" s="482"/>
      <c r="I241" s="482" cm="1">
        <f t="array" ref="I241">IFERROR(_xlfn.XLOOKUP(1,($B241=DistributionZone)*(I$5=Desc_FixedOrVar)*($G241=Description),valuesPY),0)</f>
        <v>0.11507709849820914</v>
      </c>
      <c r="J241" s="482">
        <f t="shared" si="117"/>
        <v>0.52935465309176211</v>
      </c>
      <c r="K241" s="484">
        <f>IFERROR(J241/J246,"")</f>
        <v>6.4451674023002677E-3</v>
      </c>
      <c r="L241" s="484"/>
      <c r="M241" s="484">
        <f t="shared" si="118"/>
        <v>-1</v>
      </c>
      <c r="N241" s="563"/>
      <c r="O241" s="482"/>
      <c r="P241" s="482" cm="1">
        <f t="array" ref="P241">IFERROR(_xlfn.XLOOKUP(1,($B241=DistributionZone)*($G241=Description)*($I$5=Desc_FixedOrVar),valuesFY),0)</f>
        <v>0</v>
      </c>
      <c r="Q241" s="482">
        <f t="shared" si="119"/>
        <v>0</v>
      </c>
      <c r="R241" s="484">
        <f t="shared" si="120"/>
        <v>0</v>
      </c>
      <c r="S241" s="484"/>
      <c r="T241" s="607"/>
      <c r="U241" s="484"/>
      <c r="V241" s="484"/>
      <c r="W241" s="484"/>
      <c r="X241" s="484"/>
      <c r="Y241" s="484"/>
      <c r="Z241" s="484"/>
      <c r="AA241" s="484"/>
      <c r="AB241" s="484"/>
      <c r="AC241" s="484"/>
      <c r="AD241" s="484"/>
      <c r="AE241" s="484"/>
      <c r="AF241" s="484"/>
      <c r="AG241" s="484"/>
      <c r="AH241" s="484"/>
      <c r="AI241" s="484"/>
      <c r="AJ241" s="484"/>
    </row>
    <row r="242" spans="2:36" x14ac:dyDescent="0.35">
      <c r="B242" s="30" t="str">
        <f t="shared" si="114"/>
        <v>Essential</v>
      </c>
      <c r="C242" s="30" t="str">
        <f t="shared" si="115"/>
        <v>Residential</v>
      </c>
      <c r="D242" s="30" t="str">
        <f t="shared" si="116"/>
        <v>flat rate</v>
      </c>
      <c r="E242" s="30" t="s">
        <v>19</v>
      </c>
      <c r="F242" s="258">
        <f t="shared" si="121"/>
        <v>4600</v>
      </c>
      <c r="G242" s="30" t="s">
        <v>130</v>
      </c>
      <c r="H242" s="482"/>
      <c r="I242" s="482" cm="1">
        <f t="array" ref="I242">IFERROR(_xlfn.XLOOKUP(1,($B242=DistributionZone)*(I$5=Desc_FixedOrVar)*($G242=Description),valuesPY),0)</f>
        <v>2.8459749804305119</v>
      </c>
      <c r="J242" s="482">
        <f t="shared" si="117"/>
        <v>13.091484909980354</v>
      </c>
      <c r="K242" s="484">
        <f>IFERROR(J242/J245,"")</f>
        <v>1.5939561746873838E-2</v>
      </c>
      <c r="L242" s="484"/>
      <c r="M242" s="484">
        <f t="shared" si="118"/>
        <v>-7.9260751472302382E-2</v>
      </c>
      <c r="N242" s="563"/>
      <c r="O242" s="482"/>
      <c r="P242" s="482" cm="1">
        <f t="array" ref="P242">IFERROR(_xlfn.XLOOKUP(1,($B242=DistributionZone)*($G242=Description)*($I$5=Desc_FixedOrVar),valuesFY),0)</f>
        <v>2.6204008648102182</v>
      </c>
      <c r="Q242" s="482">
        <f t="shared" si="119"/>
        <v>12.053843978127004</v>
      </c>
      <c r="R242" s="484">
        <f t="shared" si="120"/>
        <v>1.701376504792728E-2</v>
      </c>
      <c r="S242" s="484"/>
      <c r="T242" s="607"/>
      <c r="U242" s="484"/>
      <c r="V242" s="484"/>
      <c r="W242" s="484"/>
      <c r="X242" s="484"/>
      <c r="Y242" s="484"/>
      <c r="Z242" s="484"/>
      <c r="AA242" s="484"/>
      <c r="AB242" s="484"/>
      <c r="AC242" s="484"/>
      <c r="AD242" s="484"/>
      <c r="AE242" s="484"/>
      <c r="AF242" s="484"/>
      <c r="AG242" s="484"/>
      <c r="AH242" s="484"/>
      <c r="AI242" s="484"/>
      <c r="AJ242" s="484"/>
    </row>
    <row r="243" spans="2:36" x14ac:dyDescent="0.35">
      <c r="B243" s="30" t="str">
        <f t="shared" si="114"/>
        <v>Essential</v>
      </c>
      <c r="C243" s="30" t="str">
        <f t="shared" si="115"/>
        <v>Residential</v>
      </c>
      <c r="D243" s="30" t="str">
        <f t="shared" si="116"/>
        <v>flat rate</v>
      </c>
      <c r="E243" s="30" t="s">
        <v>19</v>
      </c>
      <c r="F243" s="258">
        <f t="shared" si="121"/>
        <v>4600</v>
      </c>
      <c r="G243" s="30" t="s">
        <v>302</v>
      </c>
      <c r="H243" s="482"/>
      <c r="I243" s="482"/>
      <c r="J243" s="482"/>
      <c r="K243" s="484"/>
      <c r="L243" s="484"/>
      <c r="M243" s="484"/>
      <c r="N243" s="563"/>
      <c r="O243" s="482"/>
      <c r="P243" s="482" cm="1">
        <f t="array" ref="P243">IFERROR(_xlfn.XLOOKUP(1,($B243=DistributionZone)*(P$5=Desc_FixedOrVar)*($G243=Description)*($E243=tariffType),valuesFY),0)</f>
        <v>1.5680000000000007</v>
      </c>
      <c r="Q243" s="482">
        <f t="shared" ref="Q243" si="122">IF(AND(O243="",P243=""),"",O243+P243*$F243/1000)</f>
        <v>7.2128000000000032</v>
      </c>
      <c r="R243" s="484">
        <f>IFERROR(Q243/$Q$245,"")</f>
        <v>1.0180726145151116E-2</v>
      </c>
      <c r="S243" s="484"/>
      <c r="T243" s="607"/>
      <c r="U243" s="484"/>
      <c r="V243" s="484"/>
      <c r="W243" s="484"/>
      <c r="X243" s="484"/>
      <c r="Y243" s="484"/>
      <c r="Z243" s="484"/>
      <c r="AA243" s="484"/>
      <c r="AB243" s="484"/>
      <c r="AC243" s="484"/>
      <c r="AD243" s="484"/>
      <c r="AE243" s="484"/>
      <c r="AF243" s="484"/>
      <c r="AG243" s="484"/>
      <c r="AH243" s="484"/>
      <c r="AI243" s="484"/>
      <c r="AJ243" s="484"/>
    </row>
    <row r="244" spans="2:36" x14ac:dyDescent="0.35">
      <c r="B244" s="30" t="str">
        <f>B242</f>
        <v>Essential</v>
      </c>
      <c r="C244" s="30" t="str">
        <f>C242</f>
        <v>Residential</v>
      </c>
      <c r="D244" s="30" t="str">
        <f>D242</f>
        <v>flat rate</v>
      </c>
      <c r="E244" s="30" t="s">
        <v>19</v>
      </c>
      <c r="F244" s="258">
        <f>F242</f>
        <v>4600</v>
      </c>
      <c r="G244" s="30" t="s">
        <v>72</v>
      </c>
      <c r="H244" s="482"/>
      <c r="I244" s="482" cm="1">
        <f t="array" ref="I244">IFERROR(_xlfn.XLOOKUP(1,($B244=DistributionZone)*($C244=CustomerType)*($E244=tariffType)*($G244=Description),valuesPY),0)*SUM(I237:I242)</f>
        <v>6.628163298161394</v>
      </c>
      <c r="J244" s="482">
        <f t="shared" si="117"/>
        <v>30.489551171542409</v>
      </c>
      <c r="K244" s="484">
        <f>IFERROR(J244/J245,"")</f>
        <v>3.7122609610371476E-2</v>
      </c>
      <c r="L244" s="484"/>
      <c r="M244" s="484">
        <f t="shared" si="118"/>
        <v>-9.6225233732716298E-3</v>
      </c>
      <c r="N244" s="563"/>
      <c r="O244" s="482"/>
      <c r="P244" s="482" cm="1">
        <f t="array" ref="P244">IFERROR(_xlfn.XLOOKUP(1,($B244=DistributionZone)*($C244=CustomerType)*($E244=tariffType)*($G244=Description),valuesFY),0)*SUM(P237:P243)</f>
        <v>6.5643836419029737</v>
      </c>
      <c r="Q244" s="482">
        <f t="shared" si="119"/>
        <v>30.196164752753681</v>
      </c>
      <c r="R244" s="484">
        <f>IFERROR(Q244/$Q$245,"")</f>
        <v>4.2621296026737171E-2</v>
      </c>
      <c r="S244" s="484"/>
      <c r="T244" s="607"/>
      <c r="U244" s="484"/>
      <c r="V244" s="484"/>
      <c r="W244" s="484"/>
      <c r="X244" s="484"/>
      <c r="Y244" s="484"/>
      <c r="Z244" s="484"/>
      <c r="AA244" s="484"/>
      <c r="AB244" s="484"/>
      <c r="AC244" s="484"/>
      <c r="AD244" s="484"/>
      <c r="AE244" s="484"/>
      <c r="AF244" s="484"/>
      <c r="AG244" s="484"/>
      <c r="AH244" s="484"/>
      <c r="AI244" s="484"/>
      <c r="AJ244" s="484"/>
    </row>
    <row r="245" spans="2:36" x14ac:dyDescent="0.35">
      <c r="B245" s="30" t="str">
        <f t="shared" si="114"/>
        <v>Essential</v>
      </c>
      <c r="C245" s="30" t="str">
        <f t="shared" si="115"/>
        <v>Residential</v>
      </c>
      <c r="D245" s="30" t="str">
        <f t="shared" si="116"/>
        <v>flat rate</v>
      </c>
      <c r="E245" s="30" t="s">
        <v>19</v>
      </c>
      <c r="F245" s="258">
        <f t="shared" si="121"/>
        <v>4600</v>
      </c>
      <c r="G245" s="64" t="s">
        <v>55</v>
      </c>
      <c r="H245" s="487">
        <f>SUM(H237:H244)</f>
        <v>13.835244134497829</v>
      </c>
      <c r="I245" s="487">
        <f>SUM(I237:I244)</f>
        <v>175.54021963675677</v>
      </c>
      <c r="J245" s="487">
        <f t="shared" si="117"/>
        <v>821.32025446357909</v>
      </c>
      <c r="K245" s="564"/>
      <c r="L245" s="565"/>
      <c r="M245" s="564">
        <f t="shared" si="118"/>
        <v>-0.1373937477486562</v>
      </c>
      <c r="N245" s="566"/>
      <c r="O245" s="487">
        <f>SUM(O239:O244)</f>
        <v>13.125399999999999</v>
      </c>
      <c r="P245" s="487">
        <f>SUM(P237:P244)</f>
        <v>151.16317100020609</v>
      </c>
      <c r="Q245" s="487">
        <f t="shared" si="119"/>
        <v>708.47598660094798</v>
      </c>
      <c r="R245" s="484"/>
      <c r="S245" s="484"/>
      <c r="T245" s="607"/>
      <c r="U245" s="484"/>
      <c r="V245" s="484"/>
      <c r="W245" s="484"/>
      <c r="X245" s="484"/>
      <c r="Y245" s="484"/>
      <c r="Z245" s="484"/>
      <c r="AA245" s="484"/>
      <c r="AB245" s="484"/>
      <c r="AC245" s="484"/>
      <c r="AD245" s="484"/>
      <c r="AE245" s="484"/>
      <c r="AF245" s="484"/>
      <c r="AG245" s="484"/>
      <c r="AH245" s="484"/>
      <c r="AI245" s="484"/>
      <c r="AJ245" s="484"/>
    </row>
    <row r="246" spans="2:36" x14ac:dyDescent="0.35">
      <c r="B246" s="30" t="str">
        <f t="shared" si="114"/>
        <v>Essential</v>
      </c>
      <c r="C246" s="30" t="str">
        <f t="shared" si="115"/>
        <v>Residential</v>
      </c>
      <c r="D246" s="30" t="str">
        <f t="shared" si="116"/>
        <v>flat rate</v>
      </c>
      <c r="F246" s="258"/>
      <c r="G246" s="30" t="s">
        <v>38</v>
      </c>
      <c r="H246" s="482"/>
      <c r="I246" s="632"/>
      <c r="J246" s="482">
        <f>J245*GST</f>
        <v>82.132025446357915</v>
      </c>
      <c r="K246" s="484"/>
      <c r="L246" s="567"/>
      <c r="M246" s="484"/>
      <c r="N246" s="568"/>
      <c r="O246" s="482"/>
      <c r="P246" s="482"/>
      <c r="Q246" s="482">
        <f>Q245*GST</f>
        <v>70.847598660094803</v>
      </c>
      <c r="R246" s="564"/>
      <c r="S246" s="564"/>
      <c r="T246" s="611"/>
      <c r="U246" s="564"/>
      <c r="V246" s="564"/>
      <c r="W246" s="564"/>
      <c r="X246" s="564"/>
      <c r="Y246" s="564"/>
      <c r="Z246" s="564"/>
      <c r="AA246" s="564"/>
      <c r="AB246" s="564"/>
      <c r="AC246" s="564"/>
      <c r="AD246" s="564"/>
      <c r="AE246" s="564"/>
      <c r="AF246" s="564"/>
      <c r="AG246" s="564"/>
      <c r="AH246" s="564"/>
      <c r="AI246" s="564"/>
      <c r="AJ246" s="564"/>
    </row>
    <row r="247" spans="2:36" x14ac:dyDescent="0.35">
      <c r="B247" s="30" t="str">
        <f t="shared" si="114"/>
        <v>Essential</v>
      </c>
      <c r="C247" s="30" t="str">
        <f t="shared" si="115"/>
        <v>Residential</v>
      </c>
      <c r="D247" s="30" t="str">
        <f t="shared" si="116"/>
        <v>flat rate</v>
      </c>
      <c r="E247" s="30" t="s">
        <v>19</v>
      </c>
      <c r="F247" s="258"/>
      <c r="G247" s="64" t="s">
        <v>79</v>
      </c>
      <c r="H247" s="487"/>
      <c r="I247" s="487"/>
      <c r="J247" s="487">
        <f>SUM(J245:J246)</f>
        <v>903.45227990993703</v>
      </c>
      <c r="K247" s="564"/>
      <c r="L247" s="565"/>
      <c r="M247" s="564">
        <f>IF(OR(J247=0,Q247=""),"",Q247/J247-1)</f>
        <v>-0.1373937477486562</v>
      </c>
      <c r="N247" s="566"/>
      <c r="O247" s="487"/>
      <c r="P247" s="487"/>
      <c r="Q247" s="487">
        <f>SUM(Q245:Q246)</f>
        <v>779.32358526104281</v>
      </c>
      <c r="R247" s="564"/>
      <c r="S247" s="564"/>
      <c r="T247" s="611"/>
      <c r="U247" s="564"/>
      <c r="V247" s="564"/>
      <c r="W247" s="564"/>
      <c r="X247" s="564"/>
      <c r="Y247" s="564"/>
      <c r="Z247" s="564"/>
      <c r="AA247" s="564"/>
      <c r="AB247" s="564"/>
      <c r="AC247" s="564"/>
      <c r="AD247" s="564"/>
      <c r="AE247" s="564"/>
      <c r="AF247" s="564"/>
      <c r="AG247" s="564"/>
      <c r="AH247" s="564"/>
      <c r="AI247" s="564"/>
      <c r="AJ247" s="564"/>
    </row>
    <row r="248" spans="2:36" s="597" customFormat="1" x14ac:dyDescent="0.35">
      <c r="F248" s="598"/>
      <c r="H248" s="599"/>
      <c r="I248" s="599"/>
      <c r="J248" s="599"/>
      <c r="K248" s="600"/>
      <c r="L248" s="601"/>
      <c r="M248" s="600"/>
      <c r="N248" s="602"/>
      <c r="O248" s="599"/>
      <c r="P248" s="599"/>
      <c r="Q248" s="599"/>
      <c r="R248" s="600"/>
      <c r="S248" s="600"/>
      <c r="T248" s="623"/>
      <c r="U248" s="600"/>
      <c r="V248" s="600"/>
      <c r="W248" s="600"/>
      <c r="X248" s="600"/>
      <c r="Y248" s="600"/>
      <c r="Z248" s="600"/>
      <c r="AA248" s="600"/>
      <c r="AB248" s="600"/>
      <c r="AC248" s="600"/>
      <c r="AD248" s="600"/>
      <c r="AE248" s="600"/>
      <c r="AF248" s="600"/>
      <c r="AG248" s="600"/>
      <c r="AH248" s="600"/>
      <c r="AI248" s="600"/>
      <c r="AJ248" s="600"/>
    </row>
    <row r="249" spans="2:36" s="570" customFormat="1" x14ac:dyDescent="0.35">
      <c r="B249" s="571" t="s">
        <v>3</v>
      </c>
      <c r="C249" s="571" t="s">
        <v>6</v>
      </c>
      <c r="D249" s="571" t="s">
        <v>272</v>
      </c>
      <c r="F249" s="485"/>
      <c r="H249" s="574"/>
      <c r="I249" s="574"/>
      <c r="J249" s="574"/>
      <c r="K249" s="575"/>
      <c r="L249" s="581"/>
      <c r="M249" s="575"/>
      <c r="N249" s="582"/>
      <c r="O249" s="574"/>
      <c r="P249" s="574"/>
      <c r="Q249" s="574"/>
      <c r="R249" s="575"/>
      <c r="S249" s="575"/>
      <c r="T249" s="616"/>
      <c r="U249" s="603"/>
      <c r="V249" s="575"/>
      <c r="W249" s="575"/>
      <c r="X249" s="575"/>
      <c r="Y249" s="575"/>
      <c r="Z249" s="575"/>
      <c r="AA249" s="575"/>
      <c r="AB249" s="575"/>
      <c r="AC249" s="575"/>
      <c r="AD249" s="575"/>
      <c r="AE249" s="575"/>
      <c r="AF249" s="575"/>
      <c r="AG249" s="575"/>
      <c r="AH249" s="575"/>
      <c r="AI249" s="575"/>
      <c r="AJ249" s="575"/>
    </row>
    <row r="250" spans="2:36" s="570" customFormat="1" x14ac:dyDescent="0.35">
      <c r="B250" s="570" t="str">
        <f t="shared" ref="B250:B270" si="123">B249</f>
        <v>Essential</v>
      </c>
      <c r="C250" s="570" t="str">
        <f t="shared" ref="C250:C270" si="124">C249</f>
        <v>Residential</v>
      </c>
      <c r="D250" s="570" t="str">
        <f t="shared" ref="D250:D270" si="125">D249</f>
        <v>time of use</v>
      </c>
      <c r="E250" s="570" t="s">
        <v>279</v>
      </c>
      <c r="F250" s="485" cm="1">
        <f t="array" ref="F250">_xlfn.XLOOKUP(1,($B250=DistributionZone)*($C250=CustomerType)*($D250=tariffL2)*($F$5=Description),valuesPY)*_xlfn.XLOOKUP(1,($B250=DistributionZone)*($C250=CustomerType)*($D250=tariffL2)*($E250=tariffType)*("Usage proportion"=Description),valuesFY)</f>
        <v>2233.2737593131787</v>
      </c>
      <c r="G250" s="570" t="s">
        <v>69</v>
      </c>
      <c r="H250" s="574"/>
      <c r="I250" s="574" cm="1">
        <f t="array" ref="I250">IFERROR(_xlfn.XLOOKUP(1,($B250=DistributionZone)*($C250=CustomerType)*($E250=tariffType)*("WEC scale"=Description),valuesPY),0)*$I$237</f>
        <v>0</v>
      </c>
      <c r="J250" s="574">
        <f t="shared" ref="J250:J255" si="126">H250+I250*F250/1000</f>
        <v>0</v>
      </c>
      <c r="K250" s="575" t="str">
        <f>IFERROR(J250/J258,"")</f>
        <v/>
      </c>
      <c r="L250" s="575"/>
      <c r="M250" s="575" t="str">
        <f>IF(OR(J250=0,Q250=""),"",Q250/J250-1)</f>
        <v/>
      </c>
      <c r="N250" s="576"/>
      <c r="O250" s="574"/>
      <c r="P250" s="574" cm="1">
        <f t="array" ref="P250">IFERROR(_xlfn.XLOOKUP(1,($B250=DistributionZone)*($C250=CustomerType)*($E250=tariffType)*("WEC"=Description),valuesFY),0)</f>
        <v>121.28021196061293</v>
      </c>
      <c r="Q250" s="574">
        <f>O250+P250*F250/1000</f>
        <v>270.85191489557718</v>
      </c>
      <c r="R250" s="575">
        <f>IFERROR(Q250/Q258,"")</f>
        <v>0.87981692036765069</v>
      </c>
      <c r="S250" s="603"/>
      <c r="T250" s="616"/>
      <c r="U250" s="575"/>
      <c r="V250" s="575"/>
      <c r="W250" s="575"/>
      <c r="X250" s="575"/>
      <c r="Y250" s="575"/>
      <c r="Z250" s="575"/>
      <c r="AA250" s="575"/>
      <c r="AB250" s="575"/>
      <c r="AC250" s="575"/>
      <c r="AD250" s="575"/>
      <c r="AE250" s="575"/>
      <c r="AF250" s="575"/>
      <c r="AG250" s="575"/>
      <c r="AH250" s="575"/>
      <c r="AI250" s="575"/>
      <c r="AJ250" s="575"/>
    </row>
    <row r="251" spans="2:36" s="570" customFormat="1" x14ac:dyDescent="0.35">
      <c r="B251" s="570" t="str">
        <f t="shared" si="123"/>
        <v>Essential</v>
      </c>
      <c r="C251" s="570" t="str">
        <f t="shared" si="124"/>
        <v>Residential</v>
      </c>
      <c r="D251" s="570" t="str">
        <f t="shared" si="125"/>
        <v>time of use</v>
      </c>
      <c r="E251" s="570" t="s">
        <v>279</v>
      </c>
      <c r="F251" s="485" cm="1">
        <f t="array" ref="F251">_xlfn.XLOOKUP(1,($B251=DistributionZone)*($C251=CustomerType)*($D251=tariffL2)*($F$5=Description),valuesPY)*_xlfn.XLOOKUP(1,($B251=DistributionZone)*($C251=CustomerType)*($D251=tariffL2)*($E251=tariffType)*("Usage proportion"=Description),valuesFY)</f>
        <v>2233.2737593131787</v>
      </c>
      <c r="G251" s="570" t="s">
        <v>70</v>
      </c>
      <c r="H251" s="574"/>
      <c r="I251" s="574" cm="1">
        <f t="array" ref="I251">IFERROR(_xlfn.XLOOKUP(1,($B251=DistributionZone)*($I$5=Desc_FixedOrVar)*($G251=Description),valuesPY),0)</f>
        <v>0.15378802592718904</v>
      </c>
      <c r="J251" s="574">
        <f t="shared" si="126"/>
        <v>0.34345076279976611</v>
      </c>
      <c r="K251" s="575" t="str">
        <f>IFERROR(J251/J258,"")</f>
        <v/>
      </c>
      <c r="L251" s="575"/>
      <c r="M251" s="575">
        <f t="shared" ref="M251:M257" si="127">IF(OR(J251=0,Q251=""),"",Q251/J251-1)</f>
        <v>-0.19621579764116681</v>
      </c>
      <c r="N251" s="576"/>
      <c r="O251" s="574"/>
      <c r="P251" s="574" cm="1">
        <f t="array" ref="P251">IFERROR(_xlfn.XLOOKUP(1,($B251=DistributionZone)*($I$5=Desc_FixedOrVar)*($G251=Description),valuesFY),0)</f>
        <v>0.12361238575222523</v>
      </c>
      <c r="Q251" s="574">
        <f t="shared" ref="Q251:Q257" si="128">IF(AND(O251="",P251=""),"",O251+P251*$F251/1000)</f>
        <v>0.27606029742654281</v>
      </c>
      <c r="R251" s="575">
        <f>IFERROR(Q251/Q258,"")</f>
        <v>8.9673547558723448E-4</v>
      </c>
      <c r="S251" s="603"/>
      <c r="T251" s="616"/>
      <c r="U251" s="575"/>
      <c r="V251" s="575"/>
      <c r="W251" s="575"/>
      <c r="X251" s="575"/>
      <c r="Y251" s="575"/>
      <c r="Z251" s="575"/>
      <c r="AA251" s="575"/>
      <c r="AB251" s="575"/>
      <c r="AC251" s="575"/>
      <c r="AD251" s="575"/>
      <c r="AE251" s="575"/>
      <c r="AF251" s="575"/>
      <c r="AG251" s="575"/>
      <c r="AH251" s="575"/>
      <c r="AI251" s="575"/>
      <c r="AJ251" s="575"/>
    </row>
    <row r="252" spans="2:36" s="570" customFormat="1" x14ac:dyDescent="0.35">
      <c r="B252" s="570" t="str">
        <f t="shared" si="123"/>
        <v>Essential</v>
      </c>
      <c r="C252" s="570" t="str">
        <f t="shared" si="124"/>
        <v>Residential</v>
      </c>
      <c r="D252" s="570" t="str">
        <f t="shared" si="125"/>
        <v>time of use</v>
      </c>
      <c r="E252" s="570" t="s">
        <v>279</v>
      </c>
      <c r="F252" s="485" cm="1">
        <f t="array" ref="F252">_xlfn.XLOOKUP(1,($B252=DistributionZone)*($C252=CustomerType)*($D252=tariffL2)*($F$5=Description),valuesPY)*_xlfn.XLOOKUP(1,($B252=DistributionZone)*($C252=CustomerType)*($D252=tariffL2)*($E252=tariffType)*("Usage proportion"=Description),valuesFY)</f>
        <v>2233.2737593131787</v>
      </c>
      <c r="G252" s="570" t="s">
        <v>77</v>
      </c>
      <c r="H252" s="574" cm="1">
        <f t="array" ref="H252">IFERROR(_xlfn.XLOOKUP(1,($B252=DistributionZone)*(H$5=Desc_FixedOrVar)*($G252=Description),valuesPY),0)*Days/7</f>
        <v>13.835244134497829</v>
      </c>
      <c r="I252" s="574" cm="1">
        <f t="array" ref="I252">IFERROR(_xlfn.XLOOKUP(1,($B252=DistributionZone)*($I$5=Desc_FixedOrVar)*($G252=Description),valuesPY),0)</f>
        <v>0.57443</v>
      </c>
      <c r="J252" s="574">
        <f t="shared" si="126"/>
        <v>15.118103580060099</v>
      </c>
      <c r="K252" s="575" t="str">
        <f>IFERROR(J252/J258,"")</f>
        <v/>
      </c>
      <c r="L252" s="575"/>
      <c r="M252" s="575">
        <f t="shared" si="127"/>
        <v>-5.5082384180193955E-2</v>
      </c>
      <c r="N252" s="576"/>
      <c r="O252" s="574" cm="1">
        <f t="array" ref="O252">IFERROR(_xlfn.XLOOKUP(1,($B252=DistributionZone)*(O$5=Desc_FixedOrVar)*($G252=Description),valuesFY),0)*Days/7</f>
        <v>13.125399999999999</v>
      </c>
      <c r="P252" s="574" cm="1">
        <f t="array" ref="P252">IFERROR(_xlfn.XLOOKUP(1,($B252=DistributionZone)*($I$5=Desc_FixedOrVar)*($G252=Description),valuesFY),0)</f>
        <v>0.51939999999999997</v>
      </c>
      <c r="Q252" s="574">
        <f t="shared" si="128"/>
        <v>14.285362390587263</v>
      </c>
      <c r="R252" s="575">
        <f>IFERROR(Q252/Q258,"")</f>
        <v>4.6403598622029092E-2</v>
      </c>
      <c r="S252" s="603"/>
      <c r="T252" s="616"/>
      <c r="U252" s="575"/>
      <c r="V252" s="575"/>
      <c r="W252" s="575"/>
      <c r="X252" s="575"/>
      <c r="Y252" s="575"/>
      <c r="Z252" s="575"/>
      <c r="AA252" s="575"/>
      <c r="AB252" s="575"/>
      <c r="AC252" s="575"/>
      <c r="AD252" s="575"/>
      <c r="AE252" s="575"/>
      <c r="AF252" s="575"/>
      <c r="AG252" s="575"/>
      <c r="AH252" s="575"/>
      <c r="AI252" s="575"/>
      <c r="AJ252" s="575"/>
    </row>
    <row r="253" spans="2:36" s="570" customFormat="1" x14ac:dyDescent="0.35">
      <c r="B253" s="570" t="str">
        <f t="shared" si="123"/>
        <v>Essential</v>
      </c>
      <c r="C253" s="570" t="str">
        <f t="shared" si="124"/>
        <v>Residential</v>
      </c>
      <c r="D253" s="570" t="str">
        <f t="shared" si="125"/>
        <v>time of use</v>
      </c>
      <c r="E253" s="570" t="s">
        <v>279</v>
      </c>
      <c r="F253" s="485" cm="1">
        <f t="array" ref="F253">_xlfn.XLOOKUP(1,($B253=DistributionZone)*($C253=CustomerType)*($D253=tariffL2)*($F$5=Description),valuesPY)*_xlfn.XLOOKUP(1,($B253=DistributionZone)*($C253=CustomerType)*($D253=tariffL2)*($E253=tariffType)*("Usage proportion"=Description),valuesFY)</f>
        <v>2233.2737593131787</v>
      </c>
      <c r="G253" s="570" t="s">
        <v>71</v>
      </c>
      <c r="H253" s="574"/>
      <c r="I253" s="574" cm="1">
        <f t="array" ref="I253">IFERROR(_xlfn.XLOOKUP(1,($B253=DistributionZone)*($I$5=Desc_FixedOrVar)*($G253=Description),valuesPY),0)</f>
        <v>5.2786233739509421E-2</v>
      </c>
      <c r="J253" s="574">
        <f t="shared" si="126"/>
        <v>0.11788611066341836</v>
      </c>
      <c r="K253" s="575" t="str">
        <f>IFERROR(J253/J258,"")</f>
        <v/>
      </c>
      <c r="L253" s="575"/>
      <c r="M253" s="575">
        <f t="shared" si="127"/>
        <v>1.413017537285187</v>
      </c>
      <c r="N253" s="576"/>
      <c r="O253" s="574"/>
      <c r="P253" s="574" cm="1">
        <f t="array" ref="P253">IFERROR(_xlfn.XLOOKUP(1,($B253=DistributionZone)*($I$5=Desc_FixedOrVar)*($G253=Description),valuesFY),0)</f>
        <v>0.12737410774067126</v>
      </c>
      <c r="Q253" s="574">
        <f t="shared" si="128"/>
        <v>0.28446125243317077</v>
      </c>
      <c r="R253" s="575">
        <f>IFERROR(Q253/Q258,"")</f>
        <v>9.2402456588193752E-4</v>
      </c>
      <c r="S253" s="575"/>
      <c r="T253" s="612"/>
      <c r="U253" s="575"/>
      <c r="V253" s="575"/>
      <c r="W253" s="575"/>
      <c r="X253" s="575"/>
      <c r="Y253" s="575"/>
      <c r="Z253" s="575"/>
      <c r="AA253" s="575"/>
      <c r="AB253" s="575"/>
      <c r="AC253" s="575"/>
      <c r="AD253" s="575"/>
      <c r="AE253" s="575"/>
      <c r="AF253" s="575"/>
      <c r="AG253" s="575"/>
      <c r="AH253" s="575"/>
      <c r="AI253" s="575"/>
      <c r="AJ253" s="575"/>
    </row>
    <row r="254" spans="2:36" s="570" customFormat="1" x14ac:dyDescent="0.35">
      <c r="B254" s="570" t="str">
        <f t="shared" si="123"/>
        <v>Essential</v>
      </c>
      <c r="C254" s="570" t="str">
        <f t="shared" si="124"/>
        <v>Residential</v>
      </c>
      <c r="D254" s="570" t="str">
        <f t="shared" si="125"/>
        <v>time of use</v>
      </c>
      <c r="E254" s="570" t="s">
        <v>279</v>
      </c>
      <c r="F254" s="485" cm="1">
        <f t="array" ref="F254">_xlfn.XLOOKUP(1,($B254=DistributionZone)*($C254=CustomerType)*($D254=tariffL2)*($F$5=Description),valuesPY)*_xlfn.XLOOKUP(1,($B254=DistributionZone)*($C254=CustomerType)*($D254=tariffL2)*($E254=tariffType)*("Usage proportion"=Description),valuesFY)</f>
        <v>2233.2737593131787</v>
      </c>
      <c r="G254" s="570" t="s">
        <v>173</v>
      </c>
      <c r="H254" s="574"/>
      <c r="I254" s="574" cm="1">
        <f t="array" ref="I254">IFERROR(_xlfn.XLOOKUP(1,($B254=DistributionZone)*($I$5=Desc_FixedOrVar)*($G254=Description),valuesPY),0)</f>
        <v>0.11507709849820914</v>
      </c>
      <c r="J254" s="574">
        <f t="shared" si="126"/>
        <v>0.25699866437394847</v>
      </c>
      <c r="K254" s="575" t="str">
        <f>IFERROR(J254/J258,"")</f>
        <v/>
      </c>
      <c r="L254" s="575"/>
      <c r="M254" s="575">
        <f t="shared" si="127"/>
        <v>-1</v>
      </c>
      <c r="N254" s="576"/>
      <c r="O254" s="574"/>
      <c r="P254" s="574" cm="1">
        <f t="array" ref="P254">IFERROR(_xlfn.XLOOKUP(1,($B254=DistributionZone)*($I$5=Desc_FixedOrVar)*($G254=Description),valuesFY),0)</f>
        <v>0</v>
      </c>
      <c r="Q254" s="574">
        <f t="shared" si="128"/>
        <v>0</v>
      </c>
      <c r="R254" s="575">
        <f>IFERROR(Q254/Q258,"")</f>
        <v>0</v>
      </c>
      <c r="S254" s="575"/>
      <c r="T254" s="612"/>
      <c r="U254" s="575"/>
      <c r="V254" s="575"/>
      <c r="W254" s="575"/>
      <c r="X254" s="575"/>
      <c r="Y254" s="575"/>
      <c r="Z254" s="575"/>
      <c r="AA254" s="575"/>
      <c r="AB254" s="575"/>
      <c r="AC254" s="575"/>
      <c r="AD254" s="575"/>
      <c r="AE254" s="575"/>
      <c r="AF254" s="575"/>
      <c r="AG254" s="575"/>
      <c r="AH254" s="575"/>
      <c r="AI254" s="575"/>
      <c r="AJ254" s="575"/>
    </row>
    <row r="255" spans="2:36" s="570" customFormat="1" x14ac:dyDescent="0.35">
      <c r="B255" s="570" t="str">
        <f t="shared" si="123"/>
        <v>Essential</v>
      </c>
      <c r="C255" s="570" t="str">
        <f t="shared" si="124"/>
        <v>Residential</v>
      </c>
      <c r="D255" s="570" t="str">
        <f t="shared" si="125"/>
        <v>time of use</v>
      </c>
      <c r="E255" s="570" t="s">
        <v>279</v>
      </c>
      <c r="F255" s="485" cm="1">
        <f t="array" ref="F255">_xlfn.XLOOKUP(1,($B255=DistributionZone)*($C255=CustomerType)*($D255=tariffL2)*($F$5=Description),valuesPY)*_xlfn.XLOOKUP(1,($B255=DistributionZone)*($C255=CustomerType)*($D255=tariffL2)*($E255=tariffType)*("Usage proportion"=Description),valuesFY)</f>
        <v>2233.2737593131787</v>
      </c>
      <c r="G255" s="570" t="s">
        <v>130</v>
      </c>
      <c r="H255" s="574"/>
      <c r="I255" s="574" cm="1">
        <f t="array" ref="I255">IFERROR(_xlfn.XLOOKUP(1,($B255=DistributionZone)*($I$5=Desc_FixedOrVar)*($G255=Description),valuesPY),0)</f>
        <v>2.8459749804305119</v>
      </c>
      <c r="J255" s="574">
        <f t="shared" si="126"/>
        <v>6.3558412434572995</v>
      </c>
      <c r="K255" s="575" t="str">
        <f>IFERROR(J255/J258,"")</f>
        <v/>
      </c>
      <c r="L255" s="575"/>
      <c r="M255" s="575">
        <f t="shared" si="127"/>
        <v>-7.9260751472302493E-2</v>
      </c>
      <c r="N255" s="576"/>
      <c r="O255" s="574"/>
      <c r="P255" s="574" cm="1">
        <f t="array" ref="P255">IFERROR(_xlfn.XLOOKUP(1,($B255=DistributionZone)*($I$5=Desc_FixedOrVar)*($G255=Description),valuesFY),0)</f>
        <v>2.6204008648102182</v>
      </c>
      <c r="Q255" s="574">
        <f t="shared" si="128"/>
        <v>5.8520724902622208</v>
      </c>
      <c r="R255" s="575">
        <f>IFERROR(Q255/Q258,"")</f>
        <v>1.9009473860045548E-2</v>
      </c>
      <c r="S255" s="575"/>
      <c r="T255" s="612"/>
      <c r="U255" s="575"/>
      <c r="V255" s="575"/>
      <c r="W255" s="575"/>
      <c r="X255" s="575"/>
      <c r="Y255" s="575"/>
      <c r="Z255" s="575"/>
      <c r="AA255" s="575"/>
      <c r="AB255" s="575"/>
      <c r="AC255" s="575"/>
      <c r="AD255" s="575"/>
      <c r="AE255" s="575"/>
      <c r="AF255" s="575"/>
      <c r="AG255" s="575"/>
      <c r="AH255" s="575"/>
      <c r="AI255" s="575"/>
      <c r="AJ255" s="575"/>
    </row>
    <row r="256" spans="2:36" s="570" customFormat="1" x14ac:dyDescent="0.35">
      <c r="B256" s="570" t="str">
        <f t="shared" si="123"/>
        <v>Essential</v>
      </c>
      <c r="C256" s="570" t="str">
        <f t="shared" si="124"/>
        <v>Residential</v>
      </c>
      <c r="D256" s="570" t="str">
        <f t="shared" si="125"/>
        <v>time of use</v>
      </c>
      <c r="E256" s="570" t="s">
        <v>279</v>
      </c>
      <c r="F256" s="485" cm="1">
        <f t="array" ref="F256">_xlfn.XLOOKUP(1,($B256=DistributionZone)*($C256=CustomerType)*($D256=tariffL2)*($F$5=Description),valuesPY)*_xlfn.XLOOKUP(1,($B256=DistributionZone)*($C256=CustomerType)*($D256=tariffL2)*($E256=tariffType)*("Usage proportion"=Description),valuesFY)</f>
        <v>2233.2737593131787</v>
      </c>
      <c r="G256" s="570" t="s">
        <v>302</v>
      </c>
      <c r="H256" s="574"/>
      <c r="I256" s="574"/>
      <c r="J256" s="574"/>
      <c r="K256" s="575"/>
      <c r="L256" s="575"/>
      <c r="M256" s="575"/>
      <c r="N256" s="576"/>
      <c r="O256" s="574"/>
      <c r="P256" s="574" cm="1">
        <f t="array" ref="P256">IFERROR(_xlfn.XLOOKUP(1,($B256=DistributionZone)*($D256=tariffL2)*($G256=Description),valuesFY),0)</f>
        <v>1.5680000000000007</v>
      </c>
      <c r="Q256" s="574">
        <f t="shared" ref="Q256" si="129">IF(AND(O256="",P256=""),"",O256+P256*$F256/1000)</f>
        <v>3.5017732546030662</v>
      </c>
      <c r="R256" s="575">
        <f>IFERROR(Q256/Q258,"")</f>
        <v>1.1374921834606472E-2</v>
      </c>
      <c r="S256" s="575"/>
      <c r="T256" s="612"/>
      <c r="U256" s="575"/>
      <c r="V256" s="575"/>
      <c r="W256" s="575"/>
      <c r="X256" s="575"/>
      <c r="Y256" s="575"/>
      <c r="Z256" s="575"/>
      <c r="AA256" s="575"/>
      <c r="AB256" s="575"/>
      <c r="AC256" s="575"/>
      <c r="AD256" s="575"/>
      <c r="AE256" s="575"/>
      <c r="AF256" s="575"/>
      <c r="AG256" s="575"/>
      <c r="AH256" s="575"/>
      <c r="AI256" s="575"/>
      <c r="AJ256" s="575"/>
    </row>
    <row r="257" spans="2:36" s="570" customFormat="1" x14ac:dyDescent="0.35">
      <c r="B257" s="570" t="str">
        <f>B255</f>
        <v>Essential</v>
      </c>
      <c r="C257" s="570" t="str">
        <f>C255</f>
        <v>Residential</v>
      </c>
      <c r="D257" s="570" t="str">
        <f>D255</f>
        <v>time of use</v>
      </c>
      <c r="E257" s="570" t="s">
        <v>279</v>
      </c>
      <c r="F257" s="485" cm="1">
        <f t="array" ref="F257">_xlfn.XLOOKUP(1,($B257=DistributionZone)*($C257=CustomerType)*($D257=tariffL2)*($F$5=Description),valuesPY)*_xlfn.XLOOKUP(1,($B257=DistributionZone)*($C257=CustomerType)*($D257=tariffL2)*($E257=tariffType)*("Usage proportion"=Description),valuesFY)</f>
        <v>2233.2737593131787</v>
      </c>
      <c r="G257" s="570" t="s">
        <v>72</v>
      </c>
      <c r="H257" s="574"/>
      <c r="I257" s="574" cm="1">
        <f t="array" ref="I257">IFERROR(_xlfn.XLOOKUP(1,($B257=DistributionZone)*($C257=CustomerType)*("Losses"=Description),valuesPY),0)*SUM(I250:I255)</f>
        <v>0.14683949163114318</v>
      </c>
      <c r="J257" s="574">
        <f>I257*F257/1000</f>
        <v>0.32793278349071919</v>
      </c>
      <c r="K257" s="575" t="str">
        <f>IFERROR(J257/J258,"")</f>
        <v/>
      </c>
      <c r="L257" s="575"/>
      <c r="M257" s="575">
        <f t="shared" si="127"/>
        <v>38.028330560571639</v>
      </c>
      <c r="N257" s="576"/>
      <c r="O257" s="574"/>
      <c r="P257" s="574" cm="1">
        <f t="array" ref="P257">IFERROR(_xlfn.XLOOKUP(1,($B257=DistributionZone)*($C257=CustomerType)*("Losses"=Description)*($D257=tariffType)*($P$5=Desc_FixedOrVar),valuesFY),0)*SUM(P250:P256)</f>
        <v>5.730900218726549</v>
      </c>
      <c r="Q257" s="574">
        <f t="shared" si="128"/>
        <v>12.798669075724158</v>
      </c>
      <c r="R257" s="575">
        <f>IFERROR(Q257/Q258,"")</f>
        <v>4.1574325274198715E-2</v>
      </c>
      <c r="S257" s="575"/>
      <c r="T257" s="612"/>
      <c r="U257" s="575"/>
      <c r="V257" s="575"/>
      <c r="W257" s="575"/>
      <c r="X257" s="575"/>
      <c r="Y257" s="575"/>
      <c r="Z257" s="575"/>
      <c r="AA257" s="575"/>
      <c r="AB257" s="575"/>
      <c r="AC257" s="575"/>
      <c r="AD257" s="575"/>
      <c r="AE257" s="575"/>
      <c r="AF257" s="575"/>
      <c r="AG257" s="575"/>
      <c r="AH257" s="575"/>
      <c r="AI257" s="575"/>
      <c r="AJ257" s="575"/>
    </row>
    <row r="258" spans="2:36" s="571" customFormat="1" x14ac:dyDescent="0.35">
      <c r="B258" s="570" t="str">
        <f t="shared" si="123"/>
        <v>Essential</v>
      </c>
      <c r="C258" s="570" t="str">
        <f t="shared" si="124"/>
        <v>Residential</v>
      </c>
      <c r="D258" s="570" t="str">
        <f t="shared" si="125"/>
        <v>time of use</v>
      </c>
      <c r="E258" s="570" t="s">
        <v>279</v>
      </c>
      <c r="F258" s="584"/>
      <c r="G258" s="571" t="s">
        <v>55</v>
      </c>
      <c r="H258" s="577"/>
      <c r="I258" s="577">
        <f>IF($H$3=PY,0,SUM(I250:I257))</f>
        <v>0</v>
      </c>
      <c r="J258" s="577">
        <f>IF($H$3=PY,0,SUM(J250:J257))</f>
        <v>0</v>
      </c>
      <c r="K258" s="578"/>
      <c r="L258" s="578"/>
      <c r="M258" s="578"/>
      <c r="N258" s="624"/>
      <c r="O258" s="577"/>
      <c r="P258" s="577">
        <f>SUM(P250:P257)</f>
        <v>131.96989953764262</v>
      </c>
      <c r="Q258" s="577">
        <f>O252+P258*$F250/1000</f>
        <v>307.85031365661371</v>
      </c>
      <c r="R258" s="578"/>
      <c r="S258" s="578"/>
      <c r="T258" s="621"/>
      <c r="U258" s="578"/>
      <c r="V258" s="578"/>
      <c r="W258" s="578"/>
      <c r="X258" s="578"/>
      <c r="Y258" s="578"/>
      <c r="Z258" s="578"/>
      <c r="AA258" s="578"/>
      <c r="AB258" s="578"/>
      <c r="AC258" s="578"/>
      <c r="AD258" s="578"/>
      <c r="AE258" s="578"/>
      <c r="AF258" s="578"/>
      <c r="AG258" s="578"/>
      <c r="AH258" s="578"/>
      <c r="AI258" s="578"/>
      <c r="AJ258" s="578"/>
    </row>
    <row r="259" spans="2:36" s="570" customFormat="1" x14ac:dyDescent="0.35">
      <c r="B259" s="570" t="str">
        <f t="shared" si="123"/>
        <v>Essential</v>
      </c>
      <c r="C259" s="570" t="str">
        <f t="shared" si="124"/>
        <v>Residential</v>
      </c>
      <c r="D259" s="570" t="str">
        <f t="shared" si="125"/>
        <v>time of use</v>
      </c>
      <c r="E259" s="570" t="s">
        <v>278</v>
      </c>
      <c r="F259" s="485" cm="1">
        <f t="array" ref="F259">_xlfn.XLOOKUP(1,($B259=DistributionZone)*($C259=CustomerType)*($D259=tariffL2)*($F$5=Description),valuesPY)*_xlfn.XLOOKUP(1,($B259=DistributionZone)*($C259=CustomerType)*($D259=tariffL2)*($E259=tariffType)*("Usage proportion"=Description),valuesFY)</f>
        <v>2366.7262406868213</v>
      </c>
      <c r="G259" s="570" t="s">
        <v>69</v>
      </c>
      <c r="H259" s="574"/>
      <c r="I259" s="574" cm="1">
        <f t="array" ref="I259">IFERROR(_xlfn.XLOOKUP(1,($B259=DistributionZone)*($C259=CustomerType)*($E259=tariffType)*("WEC scale"=Description),valuesPY),0)*$I$237</f>
        <v>0</v>
      </c>
      <c r="J259" s="574">
        <f t="shared" ref="J259:J264" si="130">H259+I259*F259/1000</f>
        <v>0</v>
      </c>
      <c r="K259" s="575" t="str">
        <f>IFERROR(J259/J267,"")</f>
        <v/>
      </c>
      <c r="L259" s="575"/>
      <c r="M259" s="575" t="str">
        <f t="shared" ref="M259:M266" si="131">IF(OR(J259=0,Q259=""),"",Q259/J259-1)</f>
        <v/>
      </c>
      <c r="N259" s="576"/>
      <c r="O259" s="574"/>
      <c r="P259" s="574" cm="1">
        <f t="array" ref="P259">IFERROR(_xlfn.XLOOKUP(1,($B259=DistributionZone)*($C259=CustomerType)*($E259=tariffType)*("WEC"=Description),valuesFY),0)</f>
        <v>156.96453553352927</v>
      </c>
      <c r="Q259" s="574">
        <f>O259+P259*F259/1000</f>
        <v>371.4920851044227</v>
      </c>
      <c r="R259" s="575">
        <f>IFERROR(Q259/Q267,"")</f>
        <v>0.92727977808861084</v>
      </c>
      <c r="S259" s="575"/>
      <c r="T259" s="613"/>
      <c r="U259" s="575"/>
      <c r="V259" s="575"/>
      <c r="W259" s="575"/>
      <c r="X259" s="575"/>
      <c r="Y259" s="575"/>
      <c r="Z259" s="575"/>
      <c r="AA259" s="575"/>
      <c r="AB259" s="575"/>
      <c r="AC259" s="575"/>
      <c r="AD259" s="575"/>
      <c r="AE259" s="575"/>
      <c r="AF259" s="575"/>
      <c r="AG259" s="575"/>
      <c r="AH259" s="575"/>
      <c r="AI259" s="575"/>
      <c r="AJ259" s="575"/>
    </row>
    <row r="260" spans="2:36" s="570" customFormat="1" x14ac:dyDescent="0.35">
      <c r="B260" s="570" t="str">
        <f t="shared" si="123"/>
        <v>Essential</v>
      </c>
      <c r="C260" s="570" t="str">
        <f t="shared" si="124"/>
        <v>Residential</v>
      </c>
      <c r="D260" s="570" t="str">
        <f t="shared" si="125"/>
        <v>time of use</v>
      </c>
      <c r="E260" s="570" t="s">
        <v>278</v>
      </c>
      <c r="F260" s="485" cm="1">
        <f t="array" ref="F260">_xlfn.XLOOKUP(1,($B260=DistributionZone)*($C260=CustomerType)*($D260=tariffL2)*($F$5=Description),valuesPY)*_xlfn.XLOOKUP(1,($B260=DistributionZone)*($C260=CustomerType)*($D260=tariffL2)*($E260=tariffType)*("Usage proportion"=Description),valuesFY)</f>
        <v>2366.7262406868213</v>
      </c>
      <c r="G260" s="570" t="s">
        <v>70</v>
      </c>
      <c r="H260" s="574"/>
      <c r="I260" s="574" cm="1">
        <f t="array" ref="I260">IFERROR(_xlfn.XLOOKUP(1,($B260=DistributionZone)*($I$5=Desc_FixedOrVar)*($G260=Description),valuesPY),0)</f>
        <v>0.15378802592718904</v>
      </c>
      <c r="J260" s="574">
        <f t="shared" si="130"/>
        <v>0.36397415646530351</v>
      </c>
      <c r="K260" s="575" t="str">
        <f>IFERROR(J260/J267,"")</f>
        <v/>
      </c>
      <c r="L260" s="575"/>
      <c r="M260" s="575">
        <f t="shared" si="131"/>
        <v>-0.19621579764116648</v>
      </c>
      <c r="N260" s="576"/>
      <c r="O260" s="574"/>
      <c r="P260" s="574" cm="1">
        <f t="array" ref="P260">IFERROR(_xlfn.XLOOKUP(1,($B260=DistributionZone)*($I$5=Desc_FixedOrVar)*($G260=Description),valuesFY),0)</f>
        <v>0.12361238575222523</v>
      </c>
      <c r="Q260" s="574">
        <f t="shared" ref="Q260:Q266" si="132">IF(AND(O260="",P260=""),"",O260+P260*$F260/1000)</f>
        <v>0.29255667703369326</v>
      </c>
      <c r="R260" s="575">
        <f>IFERROR(Q260/Q267,"")</f>
        <v>7.3024944927666446E-4</v>
      </c>
      <c r="S260" s="575"/>
      <c r="T260" s="612"/>
      <c r="U260" s="575"/>
      <c r="V260" s="575"/>
      <c r="W260" s="575"/>
      <c r="X260" s="575"/>
      <c r="Y260" s="575"/>
      <c r="Z260" s="575"/>
      <c r="AA260" s="575"/>
      <c r="AB260" s="575"/>
      <c r="AC260" s="575"/>
      <c r="AD260" s="575"/>
      <c r="AE260" s="575"/>
      <c r="AF260" s="575"/>
      <c r="AG260" s="575"/>
      <c r="AH260" s="575"/>
      <c r="AI260" s="575"/>
      <c r="AJ260" s="575"/>
    </row>
    <row r="261" spans="2:36" s="570" customFormat="1" x14ac:dyDescent="0.35">
      <c r="B261" s="570" t="str">
        <f t="shared" si="123"/>
        <v>Essential</v>
      </c>
      <c r="C261" s="570" t="str">
        <f t="shared" si="124"/>
        <v>Residential</v>
      </c>
      <c r="D261" s="570" t="str">
        <f t="shared" si="125"/>
        <v>time of use</v>
      </c>
      <c r="E261" s="570" t="s">
        <v>278</v>
      </c>
      <c r="F261" s="485" cm="1">
        <f t="array" ref="F261">_xlfn.XLOOKUP(1,($B261=DistributionZone)*($C261=CustomerType)*($D261=tariffL2)*($F$5=Description),valuesPY)*_xlfn.XLOOKUP(1,($B261=DistributionZone)*($C261=CustomerType)*($D261=tariffL2)*($E261=tariffType)*("Usage proportion"=Description),valuesFY)</f>
        <v>2366.7262406868213</v>
      </c>
      <c r="G261" s="570" t="s">
        <v>77</v>
      </c>
      <c r="H261" s="574"/>
      <c r="I261" s="574" cm="1">
        <f t="array" ref="I261">IFERROR(_xlfn.XLOOKUP(1,($B261=DistributionZone)*($I$5=Desc_FixedOrVar)*($G261=Description),valuesPY),0)</f>
        <v>0.57443</v>
      </c>
      <c r="J261" s="574">
        <f t="shared" si="130"/>
        <v>1.3595185544377306</v>
      </c>
      <c r="K261" s="575" t="str">
        <f>IFERROR(J261/J267,"")</f>
        <v/>
      </c>
      <c r="L261" s="575"/>
      <c r="M261" s="575">
        <f t="shared" si="131"/>
        <v>-9.5799314102675615E-2</v>
      </c>
      <c r="N261" s="576"/>
      <c r="O261" s="574"/>
      <c r="P261" s="574" cm="1">
        <f t="array" ref="P261">IFERROR(_xlfn.XLOOKUP(1,($B261=DistributionZone)*($I$5=Desc_FixedOrVar)*($G261=Description),valuesFY),0)</f>
        <v>0.51939999999999997</v>
      </c>
      <c r="Q261" s="574">
        <f t="shared" si="132"/>
        <v>1.2292776094127349</v>
      </c>
      <c r="R261" s="575">
        <f>IFERROR(Q261/Q267,"")</f>
        <v>3.0683944949866935E-3</v>
      </c>
      <c r="S261" s="575"/>
      <c r="T261" s="612"/>
      <c r="U261" s="575"/>
      <c r="V261" s="575"/>
      <c r="W261" s="575"/>
      <c r="X261" s="575"/>
      <c r="Y261" s="575"/>
      <c r="Z261" s="575"/>
      <c r="AA261" s="575"/>
      <c r="AB261" s="575"/>
      <c r="AC261" s="575"/>
      <c r="AD261" s="575"/>
      <c r="AE261" s="575"/>
      <c r="AF261" s="575"/>
      <c r="AG261" s="575"/>
      <c r="AH261" s="575"/>
      <c r="AI261" s="575"/>
      <c r="AJ261" s="575"/>
    </row>
    <row r="262" spans="2:36" s="570" customFormat="1" x14ac:dyDescent="0.35">
      <c r="B262" s="570" t="str">
        <f t="shared" si="123"/>
        <v>Essential</v>
      </c>
      <c r="C262" s="570" t="str">
        <f t="shared" si="124"/>
        <v>Residential</v>
      </c>
      <c r="D262" s="570" t="str">
        <f t="shared" si="125"/>
        <v>time of use</v>
      </c>
      <c r="E262" s="570" t="s">
        <v>278</v>
      </c>
      <c r="F262" s="485" cm="1">
        <f t="array" ref="F262">_xlfn.XLOOKUP(1,($B262=DistributionZone)*($C262=CustomerType)*($D262=tariffL2)*($F$5=Description),valuesPY)*_xlfn.XLOOKUP(1,($B262=DistributionZone)*($C262=CustomerType)*($D262=tariffL2)*($E262=tariffType)*("Usage proportion"=Description),valuesFY)</f>
        <v>2366.7262406868213</v>
      </c>
      <c r="G262" s="570" t="s">
        <v>71</v>
      </c>
      <c r="H262" s="574"/>
      <c r="I262" s="574" cm="1">
        <f t="array" ref="I262">IFERROR(_xlfn.XLOOKUP(1,($B262=DistributionZone)*($I$5=Desc_FixedOrVar)*($G262=Description),valuesPY),0)</f>
        <v>5.2786233739509421E-2</v>
      </c>
      <c r="J262" s="574">
        <f t="shared" si="130"/>
        <v>0.12493056453832498</v>
      </c>
      <c r="K262" s="575" t="str">
        <f>IFERROR(J262/J267,"")</f>
        <v/>
      </c>
      <c r="L262" s="575"/>
      <c r="M262" s="575">
        <f t="shared" si="131"/>
        <v>1.4130175372851865</v>
      </c>
      <c r="N262" s="576"/>
      <c r="O262" s="574"/>
      <c r="P262" s="574" cm="1">
        <f t="array" ref="P262">IFERROR(_xlfn.XLOOKUP(1,($B262=DistributionZone)*($I$5=Desc_FixedOrVar)*($G262=Description),valuesFY),0)</f>
        <v>0.12737410774067126</v>
      </c>
      <c r="Q262" s="574">
        <f t="shared" si="132"/>
        <v>0.30145964317391699</v>
      </c>
      <c r="R262" s="575">
        <f>IFERROR(Q262/Q267,"")</f>
        <v>7.5247210434215949E-4</v>
      </c>
      <c r="S262" s="575"/>
      <c r="T262" s="612"/>
      <c r="U262" s="575"/>
      <c r="V262" s="575"/>
      <c r="W262" s="575"/>
      <c r="X262" s="575"/>
      <c r="Y262" s="575"/>
      <c r="Z262" s="575"/>
      <c r="AA262" s="575"/>
      <c r="AB262" s="575"/>
      <c r="AC262" s="575"/>
      <c r="AD262" s="575"/>
      <c r="AE262" s="575"/>
      <c r="AF262" s="575"/>
      <c r="AG262" s="575"/>
      <c r="AH262" s="575"/>
      <c r="AI262" s="575"/>
      <c r="AJ262" s="575"/>
    </row>
    <row r="263" spans="2:36" s="570" customFormat="1" x14ac:dyDescent="0.35">
      <c r="B263" s="570" t="str">
        <f t="shared" si="123"/>
        <v>Essential</v>
      </c>
      <c r="C263" s="570" t="str">
        <f t="shared" si="124"/>
        <v>Residential</v>
      </c>
      <c r="D263" s="570" t="str">
        <f t="shared" si="125"/>
        <v>time of use</v>
      </c>
      <c r="E263" s="570" t="s">
        <v>278</v>
      </c>
      <c r="F263" s="485" cm="1">
        <f t="array" ref="F263">_xlfn.XLOOKUP(1,($B263=DistributionZone)*($C263=CustomerType)*($D263=tariffL2)*($F$5=Description),valuesPY)*_xlfn.XLOOKUP(1,($B263=DistributionZone)*($C263=CustomerType)*($D263=tariffL2)*($E263=tariffType)*("Usage proportion"=Description),valuesFY)</f>
        <v>2366.7262406868213</v>
      </c>
      <c r="G263" s="570" t="s">
        <v>173</v>
      </c>
      <c r="H263" s="574"/>
      <c r="I263" s="574" cm="1">
        <f t="array" ref="I263">IFERROR(_xlfn.XLOOKUP(1,($B263=DistributionZone)*($I$5=Desc_FixedOrVar)*($G263=Description),valuesPY),0)</f>
        <v>0.11507709849820914</v>
      </c>
      <c r="J263" s="574">
        <f t="shared" si="130"/>
        <v>0.27235598871781352</v>
      </c>
      <c r="K263" s="575" t="str">
        <f>IFERROR(J263/J267,"")</f>
        <v/>
      </c>
      <c r="L263" s="575"/>
      <c r="M263" s="575">
        <f t="shared" si="131"/>
        <v>-1</v>
      </c>
      <c r="N263" s="576"/>
      <c r="O263" s="574"/>
      <c r="P263" s="574" cm="1">
        <f t="array" ref="P263">IFERROR(_xlfn.XLOOKUP(1,($B263=DistributionZone)*($I$5=Desc_FixedOrVar)*($G263=Description),valuesFY),0)</f>
        <v>0</v>
      </c>
      <c r="Q263" s="574">
        <f t="shared" si="132"/>
        <v>0</v>
      </c>
      <c r="R263" s="575">
        <f>IFERROR(Q263/Q267,"")</f>
        <v>0</v>
      </c>
      <c r="S263" s="575"/>
      <c r="T263" s="612"/>
      <c r="U263" s="575"/>
      <c r="V263" s="575"/>
      <c r="W263" s="575"/>
      <c r="X263" s="575"/>
      <c r="Y263" s="575"/>
      <c r="Z263" s="575"/>
      <c r="AA263" s="575"/>
      <c r="AB263" s="575"/>
      <c r="AC263" s="575"/>
      <c r="AD263" s="575"/>
      <c r="AE263" s="575"/>
      <c r="AF263" s="575"/>
      <c r="AG263" s="575"/>
      <c r="AH263" s="575"/>
      <c r="AI263" s="575"/>
      <c r="AJ263" s="575"/>
    </row>
    <row r="264" spans="2:36" s="570" customFormat="1" x14ac:dyDescent="0.35">
      <c r="B264" s="570" t="str">
        <f t="shared" si="123"/>
        <v>Essential</v>
      </c>
      <c r="C264" s="570" t="str">
        <f t="shared" si="124"/>
        <v>Residential</v>
      </c>
      <c r="D264" s="570" t="str">
        <f t="shared" si="125"/>
        <v>time of use</v>
      </c>
      <c r="E264" s="570" t="s">
        <v>278</v>
      </c>
      <c r="F264" s="485" cm="1">
        <f t="array" ref="F264">_xlfn.XLOOKUP(1,($B264=DistributionZone)*($C264=CustomerType)*($D264=tariffL2)*($F$5=Description),valuesPY)*_xlfn.XLOOKUP(1,($B264=DistributionZone)*($C264=CustomerType)*($D264=tariffL2)*($E264=tariffType)*("Usage proportion"=Description),valuesFY)</f>
        <v>2366.7262406868213</v>
      </c>
      <c r="G264" s="570" t="s">
        <v>130</v>
      </c>
      <c r="H264" s="574"/>
      <c r="I264" s="574" cm="1">
        <f t="array" ref="I264">IFERROR(_xlfn.XLOOKUP(1,($B264=DistributionZone)*($I$5=Desc_FixedOrVar)*($G264=Description),valuesPY),0)</f>
        <v>2.8459749804305119</v>
      </c>
      <c r="J264" s="574">
        <f t="shared" si="130"/>
        <v>6.735643666523055</v>
      </c>
      <c r="K264" s="575" t="str">
        <f>IFERROR(J264/J267,"")</f>
        <v/>
      </c>
      <c r="L264" s="575"/>
      <c r="M264" s="575">
        <f t="shared" si="131"/>
        <v>-7.9260751472302493E-2</v>
      </c>
      <c r="N264" s="576"/>
      <c r="O264" s="574"/>
      <c r="P264" s="574" cm="1">
        <f t="array" ref="P264">IFERROR(_xlfn.XLOOKUP(1,($B264=DistributionZone)*($I$5=Desc_FixedOrVar)*($G264=Description),valuesFY),0)</f>
        <v>2.6204008648102182</v>
      </c>
      <c r="Q264" s="574">
        <f t="shared" si="132"/>
        <v>6.2017714878647832</v>
      </c>
      <c r="R264" s="575">
        <f>IFERROR(Q264/Q267,"")</f>
        <v>1.5480214840666239E-2</v>
      </c>
      <c r="S264" s="575"/>
      <c r="T264" s="612"/>
      <c r="U264" s="575"/>
      <c r="V264" s="575"/>
      <c r="W264" s="575"/>
      <c r="X264" s="575"/>
      <c r="Y264" s="575"/>
      <c r="Z264" s="575"/>
      <c r="AA264" s="575"/>
      <c r="AB264" s="575"/>
      <c r="AC264" s="575"/>
      <c r="AD264" s="575"/>
      <c r="AE264" s="575"/>
      <c r="AF264" s="575"/>
      <c r="AG264" s="575"/>
      <c r="AH264" s="575"/>
      <c r="AI264" s="575"/>
      <c r="AJ264" s="575"/>
    </row>
    <row r="265" spans="2:36" s="570" customFormat="1" x14ac:dyDescent="0.35">
      <c r="B265" s="570" t="str">
        <f t="shared" si="123"/>
        <v>Essential</v>
      </c>
      <c r="C265" s="570" t="str">
        <f t="shared" si="124"/>
        <v>Residential</v>
      </c>
      <c r="D265" s="570" t="str">
        <f t="shared" si="125"/>
        <v>time of use</v>
      </c>
      <c r="E265" s="570" t="s">
        <v>278</v>
      </c>
      <c r="F265" s="485" cm="1">
        <f t="array" ref="F265">_xlfn.XLOOKUP(1,($B265=DistributionZone)*($C265=CustomerType)*($D265=tariffL2)*($F$5=Description),valuesPY)*_xlfn.XLOOKUP(1,($B265=DistributionZone)*($C265=CustomerType)*($D265=tariffL2)*($E265=tariffType)*("Usage proportion"=Description),valuesFY)</f>
        <v>2366.7262406868213</v>
      </c>
      <c r="G265" s="570" t="s">
        <v>302</v>
      </c>
      <c r="H265" s="574"/>
      <c r="I265" s="574"/>
      <c r="J265" s="574"/>
      <c r="K265" s="575"/>
      <c r="L265" s="575"/>
      <c r="M265" s="575"/>
      <c r="N265" s="576"/>
      <c r="O265" s="574"/>
      <c r="P265" s="574" cm="1">
        <f t="array" ref="P265">IFERROR(_xlfn.XLOOKUP(1,($B265=DistributionZone)*($D265=tariffL2)*($G265=Description),valuesFY),0)</f>
        <v>1.5680000000000007</v>
      </c>
      <c r="Q265" s="574">
        <f t="shared" ref="Q265" si="133">IF(AND(O265="",P265=""),"",O265+P265*$F265/1000)</f>
        <v>3.7110267453969374</v>
      </c>
      <c r="R265" s="575">
        <f>IFERROR(Q265/Q267,"")</f>
        <v>9.2630777207145503E-3</v>
      </c>
      <c r="S265" s="575"/>
      <c r="T265" s="612"/>
      <c r="U265" s="575"/>
      <c r="V265" s="575"/>
      <c r="W265" s="575"/>
      <c r="X265" s="575"/>
      <c r="Y265" s="575"/>
      <c r="Z265" s="575"/>
      <c r="AA265" s="575"/>
      <c r="AB265" s="575"/>
      <c r="AC265" s="575"/>
      <c r="AD265" s="575"/>
      <c r="AE265" s="575"/>
      <c r="AF265" s="575"/>
      <c r="AG265" s="575"/>
      <c r="AH265" s="575"/>
      <c r="AI265" s="575"/>
      <c r="AJ265" s="575"/>
    </row>
    <row r="266" spans="2:36" s="570" customFormat="1" x14ac:dyDescent="0.35">
      <c r="B266" s="570" t="str">
        <f>B264</f>
        <v>Essential</v>
      </c>
      <c r="C266" s="570" t="str">
        <f>C264</f>
        <v>Residential</v>
      </c>
      <c r="D266" s="570" t="str">
        <f>D264</f>
        <v>time of use</v>
      </c>
      <c r="E266" s="570" t="s">
        <v>278</v>
      </c>
      <c r="F266" s="485" cm="1">
        <f t="array" ref="F266">_xlfn.XLOOKUP(1,($B266=DistributionZone)*($C266=CustomerType)*($D266=tariffL2)*($F$5=Description),valuesPY)*_xlfn.XLOOKUP(1,($B266=DistributionZone)*($C266=CustomerType)*($D266=tariffL2)*($E266=tariffType)*("Usage proportion"=Description),valuesFY)</f>
        <v>2366.7262406868213</v>
      </c>
      <c r="G266" s="570" t="s">
        <v>72</v>
      </c>
      <c r="H266" s="574"/>
      <c r="I266" s="574" cm="1">
        <f t="array" ref="I266">IFERROR(_xlfn.XLOOKUP(1,($B266=DistributionZone)*($C266=CustomerType)*("Losses"=Description),valuesPY),0)*SUM(I259:I264)</f>
        <v>0.14683949163114318</v>
      </c>
      <c r="J266" s="574">
        <f>I266*F266/1000</f>
        <v>0.34752887801253945</v>
      </c>
      <c r="K266" s="575" t="str">
        <f>IFERROR(J266/J267,"")</f>
        <v/>
      </c>
      <c r="L266" s="575"/>
      <c r="M266" s="575">
        <f t="shared" si="131"/>
        <v>49.060575617551365</v>
      </c>
      <c r="N266" s="576"/>
      <c r="O266" s="574"/>
      <c r="P266" s="574" cm="1">
        <f t="array" ref="P266">IFERROR(_xlfn.XLOOKUP(1,($B266=DistributionZone)*($C266=CustomerType)*("Losses"=Description)*($D266=tariffType)*($P$5=Desc_FixedOrVar),valuesFY),0)*SUM(P259:P265)</f>
        <v>7.3508694744436438</v>
      </c>
      <c r="Q266" s="574">
        <f t="shared" si="132"/>
        <v>17.397495677029514</v>
      </c>
      <c r="R266" s="575">
        <f>IFERROR(Q266/Q267,"")</f>
        <v>4.3425813301402785E-2</v>
      </c>
      <c r="S266" s="575"/>
      <c r="T266" s="612"/>
      <c r="U266" s="575"/>
      <c r="V266" s="575"/>
      <c r="W266" s="575"/>
      <c r="X266" s="575"/>
      <c r="Y266" s="575"/>
      <c r="Z266" s="575"/>
      <c r="AA266" s="575"/>
      <c r="AB266" s="575"/>
      <c r="AC266" s="575"/>
      <c r="AD266" s="575"/>
      <c r="AE266" s="575"/>
      <c r="AF266" s="575"/>
      <c r="AG266" s="575"/>
      <c r="AH266" s="575"/>
      <c r="AI266" s="575"/>
      <c r="AJ266" s="575"/>
    </row>
    <row r="267" spans="2:36" s="571" customFormat="1" x14ac:dyDescent="0.35">
      <c r="B267" s="570" t="str">
        <f t="shared" si="123"/>
        <v>Essential</v>
      </c>
      <c r="C267" s="570" t="str">
        <f t="shared" si="124"/>
        <v>Residential</v>
      </c>
      <c r="D267" s="570" t="str">
        <f t="shared" si="125"/>
        <v>time of use</v>
      </c>
      <c r="E267" s="570" t="s">
        <v>278</v>
      </c>
      <c r="F267" s="584"/>
      <c r="G267" s="571" t="s">
        <v>55</v>
      </c>
      <c r="H267" s="577"/>
      <c r="I267" s="577">
        <f>IF($H$3=PY,0,SUM(I259:I266))</f>
        <v>0</v>
      </c>
      <c r="J267" s="577">
        <f>IF($H$3=PY,0,SUM(J259:J266))</f>
        <v>0</v>
      </c>
      <c r="K267" s="578"/>
      <c r="L267" s="578"/>
      <c r="M267" s="578"/>
      <c r="N267" s="624"/>
      <c r="O267" s="577"/>
      <c r="P267" s="577">
        <f>SUM(P259:P266)</f>
        <v>169.27419236627605</v>
      </c>
      <c r="Q267" s="577">
        <f>O267+P267*$F259/1000</f>
        <v>400.62567294433433</v>
      </c>
      <c r="R267" s="578"/>
      <c r="S267" s="578"/>
      <c r="T267" s="621"/>
      <c r="U267" s="578"/>
      <c r="V267" s="578"/>
      <c r="W267" s="578"/>
      <c r="X267" s="578"/>
      <c r="Y267" s="578"/>
      <c r="Z267" s="578"/>
      <c r="AA267" s="578"/>
      <c r="AB267" s="578"/>
      <c r="AC267" s="578"/>
      <c r="AD267" s="578"/>
      <c r="AE267" s="578"/>
      <c r="AF267" s="578"/>
      <c r="AG267" s="578"/>
      <c r="AH267" s="578"/>
      <c r="AI267" s="578"/>
      <c r="AJ267" s="578"/>
    </row>
    <row r="268" spans="2:36" s="570" customFormat="1" x14ac:dyDescent="0.35">
      <c r="B268" s="570" t="str">
        <f t="shared" si="123"/>
        <v>Essential</v>
      </c>
      <c r="C268" s="570" t="str">
        <f t="shared" si="124"/>
        <v>Residential</v>
      </c>
      <c r="D268" s="570" t="str">
        <f t="shared" si="125"/>
        <v>time of use</v>
      </c>
      <c r="E268" s="570" t="s">
        <v>272</v>
      </c>
      <c r="F268" s="485" cm="1">
        <f t="array" ref="F268">_xlfn.XLOOKUP(1,($B268=DistributionZone)*($C268=CustomerType)*($D268=tariffL2)*($F$5=Description),valuesPY)</f>
        <v>4600</v>
      </c>
      <c r="G268" s="571" t="s">
        <v>55</v>
      </c>
      <c r="H268" s="577">
        <f>IF($H$3=PY,0,SUM(#REF!,H259:H266,H250:H257))</f>
        <v>0</v>
      </c>
      <c r="I268" s="577"/>
      <c r="J268" s="577">
        <f>SUM(J258,J267)</f>
        <v>0</v>
      </c>
      <c r="K268" s="578"/>
      <c r="L268" s="579"/>
      <c r="M268" s="578" t="str">
        <f>IF(OR(J268=0,Q268=""),"",Q268/J268-1)</f>
        <v/>
      </c>
      <c r="N268" s="580"/>
      <c r="O268" s="577">
        <f>SUM(O250:O267)</f>
        <v>13.125399999999999</v>
      </c>
      <c r="P268" s="577"/>
      <c r="Q268" s="577">
        <f>SUM(Q258,Q267)</f>
        <v>708.47598660094809</v>
      </c>
      <c r="R268" s="575"/>
      <c r="S268" s="575"/>
      <c r="T268" s="612"/>
      <c r="U268" s="575"/>
      <c r="V268" s="575"/>
      <c r="W268" s="575"/>
      <c r="X268" s="575"/>
      <c r="Y268" s="575"/>
      <c r="Z268" s="575"/>
      <c r="AA268" s="575"/>
      <c r="AB268" s="575"/>
      <c r="AC268" s="575"/>
      <c r="AD268" s="575"/>
      <c r="AE268" s="575"/>
      <c r="AF268" s="575"/>
      <c r="AG268" s="575"/>
      <c r="AH268" s="575"/>
      <c r="AI268" s="575"/>
      <c r="AJ268" s="575"/>
    </row>
    <row r="269" spans="2:36" s="570" customFormat="1" x14ac:dyDescent="0.35">
      <c r="B269" s="570" t="str">
        <f t="shared" si="123"/>
        <v>Essential</v>
      </c>
      <c r="C269" s="570" t="str">
        <f t="shared" si="124"/>
        <v>Residential</v>
      </c>
      <c r="D269" s="570" t="str">
        <f t="shared" si="125"/>
        <v>time of use</v>
      </c>
      <c r="F269" s="485"/>
      <c r="G269" s="570" t="s">
        <v>38</v>
      </c>
      <c r="H269" s="574"/>
      <c r="I269" s="577"/>
      <c r="J269" s="574">
        <f>J268*GST</f>
        <v>0</v>
      </c>
      <c r="K269" s="575"/>
      <c r="L269" s="581"/>
      <c r="M269" s="575"/>
      <c r="N269" s="582"/>
      <c r="O269" s="574"/>
      <c r="P269" s="574"/>
      <c r="Q269" s="574">
        <f>Q268*GST</f>
        <v>70.847598660094818</v>
      </c>
      <c r="R269" s="578"/>
      <c r="S269" s="578"/>
      <c r="T269" s="621"/>
      <c r="U269" s="578"/>
      <c r="V269" s="578"/>
      <c r="W269" s="578"/>
      <c r="X269" s="578"/>
      <c r="Y269" s="578"/>
      <c r="Z269" s="578"/>
      <c r="AA269" s="578"/>
      <c r="AB269" s="578"/>
      <c r="AC269" s="578"/>
      <c r="AD269" s="578"/>
      <c r="AE269" s="578"/>
      <c r="AF269" s="578"/>
      <c r="AG269" s="578"/>
      <c r="AH269" s="578"/>
      <c r="AI269" s="578"/>
      <c r="AJ269" s="578"/>
    </row>
    <row r="270" spans="2:36" s="570" customFormat="1" x14ac:dyDescent="0.35">
      <c r="B270" s="570" t="str">
        <f t="shared" si="123"/>
        <v>Essential</v>
      </c>
      <c r="C270" s="570" t="str">
        <f t="shared" si="124"/>
        <v>Residential</v>
      </c>
      <c r="D270" s="570" t="str">
        <f t="shared" si="125"/>
        <v>time of use</v>
      </c>
      <c r="E270" s="570" t="s">
        <v>272</v>
      </c>
      <c r="F270" s="485"/>
      <c r="G270" s="571" t="s">
        <v>79</v>
      </c>
      <c r="H270" s="577"/>
      <c r="I270" s="577"/>
      <c r="J270" s="577">
        <f>SUM(J268:J269)</f>
        <v>0</v>
      </c>
      <c r="K270" s="578"/>
      <c r="L270" s="579"/>
      <c r="M270" s="578" t="str">
        <f>IF(OR(J270=0,Q270=""),"",Q270/J270-1)</f>
        <v/>
      </c>
      <c r="N270" s="580"/>
      <c r="O270" s="577"/>
      <c r="P270" s="577"/>
      <c r="Q270" s="577">
        <f>SUM(Q268:Q269)</f>
        <v>779.32358526104292</v>
      </c>
      <c r="R270" s="578"/>
      <c r="S270" s="578"/>
      <c r="T270" s="621"/>
      <c r="U270" s="578"/>
      <c r="V270" s="578"/>
      <c r="W270" s="578"/>
      <c r="X270" s="578"/>
      <c r="Y270" s="578"/>
      <c r="Z270" s="578"/>
      <c r="AA270" s="578"/>
      <c r="AB270" s="578"/>
      <c r="AC270" s="578"/>
      <c r="AD270" s="578"/>
      <c r="AE270" s="578"/>
      <c r="AF270" s="578"/>
      <c r="AG270" s="578"/>
      <c r="AH270" s="578"/>
      <c r="AI270" s="578"/>
      <c r="AJ270" s="578"/>
    </row>
    <row r="271" spans="2:36" x14ac:dyDescent="0.35">
      <c r="F271" s="258"/>
      <c r="H271" s="482"/>
      <c r="I271" s="482"/>
      <c r="J271" s="482"/>
      <c r="K271" s="484"/>
      <c r="L271" s="567"/>
      <c r="M271" s="484"/>
      <c r="N271" s="568"/>
      <c r="O271" s="482"/>
      <c r="P271" s="482"/>
      <c r="Q271" s="482"/>
      <c r="R271" s="484"/>
      <c r="S271" s="484"/>
      <c r="T271" s="607"/>
      <c r="U271" s="484"/>
      <c r="V271" s="484"/>
      <c r="W271" s="484"/>
      <c r="X271" s="484"/>
      <c r="Y271" s="484"/>
      <c r="Z271" s="484"/>
      <c r="AA271" s="484"/>
      <c r="AB271" s="484"/>
      <c r="AC271" s="484"/>
      <c r="AD271" s="484"/>
      <c r="AE271" s="484"/>
      <c r="AF271" s="484"/>
      <c r="AG271" s="484"/>
      <c r="AH271" s="484"/>
      <c r="AI271" s="484"/>
      <c r="AJ271" s="484"/>
    </row>
    <row r="272" spans="2:36" x14ac:dyDescent="0.35">
      <c r="B272" s="64" t="s">
        <v>3</v>
      </c>
      <c r="C272" s="64"/>
      <c r="D272" s="64" t="s">
        <v>285</v>
      </c>
      <c r="F272" s="258"/>
      <c r="H272" s="482"/>
      <c r="I272" s="482"/>
      <c r="J272" s="482"/>
      <c r="K272" s="484"/>
      <c r="L272" s="567"/>
      <c r="M272" s="484"/>
      <c r="N272" s="568"/>
      <c r="O272" s="482"/>
      <c r="P272" s="482"/>
      <c r="Q272" s="482"/>
      <c r="R272" s="484"/>
      <c r="S272" s="484"/>
      <c r="T272" s="607"/>
      <c r="U272" s="484"/>
      <c r="V272" s="484"/>
      <c r="W272" s="484"/>
      <c r="X272" s="484"/>
      <c r="Y272" s="484"/>
      <c r="Z272" s="484"/>
      <c r="AA272" s="484"/>
      <c r="AB272" s="484"/>
      <c r="AC272" s="484"/>
      <c r="AD272" s="484"/>
      <c r="AE272" s="484"/>
      <c r="AF272" s="484"/>
      <c r="AG272" s="484"/>
      <c r="AH272" s="484"/>
      <c r="AI272" s="484"/>
      <c r="AJ272" s="484"/>
    </row>
    <row r="273" spans="2:36" x14ac:dyDescent="0.35">
      <c r="B273" s="30" t="str">
        <f>B272</f>
        <v>Essential</v>
      </c>
      <c r="D273" s="30" t="str">
        <f>D272</f>
        <v>controlled load</v>
      </c>
      <c r="F273" s="598"/>
      <c r="G273" s="64"/>
      <c r="H273" s="487"/>
      <c r="I273" s="487"/>
      <c r="J273" s="487"/>
      <c r="K273" s="564"/>
      <c r="L273" s="565"/>
      <c r="M273" s="564"/>
      <c r="N273" s="566"/>
      <c r="O273" s="487"/>
      <c r="P273" s="487"/>
      <c r="Q273" s="487"/>
      <c r="R273" s="564"/>
      <c r="S273" s="564"/>
      <c r="T273" s="608"/>
      <c r="U273" s="564"/>
      <c r="V273" s="564"/>
      <c r="W273" s="564"/>
      <c r="X273" s="564"/>
      <c r="Y273" s="564"/>
      <c r="Z273" s="564"/>
      <c r="AA273" s="564"/>
      <c r="AB273" s="564"/>
      <c r="AC273" s="564"/>
      <c r="AD273" s="564"/>
      <c r="AE273" s="564"/>
      <c r="AF273" s="564"/>
      <c r="AG273" s="564"/>
      <c r="AH273" s="564"/>
      <c r="AI273" s="564"/>
      <c r="AJ273" s="564"/>
    </row>
    <row r="274" spans="2:36" x14ac:dyDescent="0.35">
      <c r="B274" s="30" t="str">
        <f t="shared" ref="B274:B294" si="134">B273</f>
        <v>Essential</v>
      </c>
      <c r="D274" s="30" t="str">
        <f t="shared" ref="D274:D294" si="135">D273</f>
        <v>controlled load</v>
      </c>
      <c r="E274" s="30" t="s">
        <v>14</v>
      </c>
      <c r="F274" s="598" cm="1">
        <f t="array" ref="F274">_xlfn.XLOOKUP(1,($B274=DistributionZone)*($C274=CustomerType)*($D274=tariffL2)*($F$5=Description)*(E274=tariffType),valuesFY)</f>
        <v>1540</v>
      </c>
      <c r="G274" s="30" t="s">
        <v>69</v>
      </c>
      <c r="H274" s="482"/>
      <c r="I274" s="482" cm="1">
        <f t="array" ref="I274">IFERROR(_xlfn.XLOOKUP(1,($B274=DistributionZone)*($C274=CustomerType)*($E274=tariffType)*($G274=Description),valuesPY),0)</f>
        <v>115.47</v>
      </c>
      <c r="J274" s="482">
        <f t="shared" ref="J274:J279" si="136">H274+I274*F274/1000</f>
        <v>177.82379999999998</v>
      </c>
      <c r="K274" s="484">
        <f>IFERROR(J274/J282,"")</f>
        <v>0.9320366668869613</v>
      </c>
      <c r="L274" s="484"/>
      <c r="M274" s="484">
        <f t="shared" ref="M274:M292" si="137">IF(OR(J274=0,Q274=""),"",Q274/J274-1)</f>
        <v>-1.0911925175370096E-2</v>
      </c>
      <c r="N274" s="563"/>
      <c r="O274" s="482"/>
      <c r="P274" s="482" cm="1">
        <f t="array" ref="P274">IFERROR(_xlfn.XLOOKUP(1,($B274=DistributionZone)*($C274=CustomerType)*($E274=tariffType)*($G274=Description),valuesFY),0)</f>
        <v>114.21</v>
      </c>
      <c r="Q274" s="482">
        <f>O274+P274*F274/1000</f>
        <v>175.88339999999999</v>
      </c>
      <c r="R274" s="484">
        <f t="shared" ref="R274:R279" si="138">IFERROR(Q274/$Q$282,"")</f>
        <v>0.9223268185830984</v>
      </c>
      <c r="S274" s="484"/>
      <c r="T274" s="608"/>
      <c r="U274" s="484"/>
      <c r="V274" s="484"/>
      <c r="W274" s="484"/>
      <c r="X274" s="484"/>
      <c r="Y274" s="484"/>
      <c r="Z274" s="484"/>
      <c r="AA274" s="484"/>
      <c r="AB274" s="484"/>
      <c r="AC274" s="484"/>
      <c r="AD274" s="484"/>
      <c r="AE274" s="484"/>
      <c r="AF274" s="484"/>
      <c r="AG274" s="484"/>
      <c r="AH274" s="484"/>
      <c r="AI274" s="484"/>
      <c r="AJ274" s="484"/>
    </row>
    <row r="275" spans="2:36" x14ac:dyDescent="0.35">
      <c r="B275" s="30" t="str">
        <f t="shared" si="134"/>
        <v>Essential</v>
      </c>
      <c r="D275" s="30" t="str">
        <f t="shared" si="135"/>
        <v>controlled load</v>
      </c>
      <c r="E275" s="30" t="s">
        <v>14</v>
      </c>
      <c r="F275" s="258">
        <f>F274</f>
        <v>1540</v>
      </c>
      <c r="G275" s="30" t="s">
        <v>70</v>
      </c>
      <c r="H275" s="482"/>
      <c r="I275" s="482" cm="1">
        <f t="array" ref="I275">IFERROR(_xlfn.XLOOKUP(1,($B275=DistributionZone)*(I$5=Desc_FixedOrVar)*($G275=Description),valuesPY),0)</f>
        <v>0.15378802592718904</v>
      </c>
      <c r="J275" s="482">
        <f t="shared" si="136"/>
        <v>0.23683355992787114</v>
      </c>
      <c r="K275" s="484">
        <f>IFERROR(J275/J282,"")</f>
        <v>1.2413274364969505E-3</v>
      </c>
      <c r="L275" s="484"/>
      <c r="M275" s="484">
        <f t="shared" si="137"/>
        <v>-0.19621579764116659</v>
      </c>
      <c r="N275" s="563"/>
      <c r="O275" s="482"/>
      <c r="P275" s="482" cm="1">
        <f t="array" ref="P275">IFERROR(_xlfn.XLOOKUP(1,($B275=DistributionZone)*(P$5=Desc_FixedOrVar)*($G275=Description),valuesFY),0)</f>
        <v>0.12361238575222523</v>
      </c>
      <c r="Q275" s="482">
        <f t="shared" ref="Q275:Q282" si="139">IF(AND(O275="",P275=""),"",O275+P275*$F275/1000)</f>
        <v>0.19036307405842687</v>
      </c>
      <c r="R275" s="484">
        <f t="shared" si="138"/>
        <v>9.9825775753713871E-4</v>
      </c>
      <c r="S275" s="484"/>
      <c r="T275" s="607"/>
      <c r="U275" s="484"/>
      <c r="V275" s="484"/>
      <c r="W275" s="484"/>
      <c r="X275" s="484"/>
      <c r="Y275" s="484"/>
      <c r="Z275" s="484"/>
      <c r="AA275" s="484"/>
      <c r="AB275" s="484"/>
      <c r="AC275" s="484"/>
      <c r="AD275" s="484"/>
      <c r="AE275" s="484"/>
      <c r="AF275" s="484"/>
      <c r="AG275" s="484"/>
      <c r="AH275" s="484"/>
      <c r="AI275" s="484"/>
      <c r="AJ275" s="484"/>
    </row>
    <row r="276" spans="2:36" x14ac:dyDescent="0.35">
      <c r="B276" s="30" t="str">
        <f t="shared" si="134"/>
        <v>Essential</v>
      </c>
      <c r="D276" s="30" t="str">
        <f t="shared" si="135"/>
        <v>controlled load</v>
      </c>
      <c r="E276" s="30" t="s">
        <v>14</v>
      </c>
      <c r="F276" s="258">
        <f t="shared" ref="F276:F282" si="140">F275</f>
        <v>1540</v>
      </c>
      <c r="G276" s="30" t="s">
        <v>77</v>
      </c>
      <c r="H276" s="482"/>
      <c r="I276" s="482" cm="1">
        <f t="array" ref="I276">IFERROR(_xlfn.XLOOKUP(1,($B276=DistributionZone)*(I$5=Desc_FixedOrVar)*($G276=Description),valuesPY),0)</f>
        <v>0.57443</v>
      </c>
      <c r="J276" s="482">
        <f t="shared" si="136"/>
        <v>0.88462220000000003</v>
      </c>
      <c r="K276" s="484">
        <f>IFERROR(J276/J282,"")</f>
        <v>4.6366140344667644E-3</v>
      </c>
      <c r="L276" s="484"/>
      <c r="M276" s="484">
        <f t="shared" si="137"/>
        <v>-9.5799314102675726E-2</v>
      </c>
      <c r="N276" s="563"/>
      <c r="O276" s="482"/>
      <c r="P276" s="482" cm="1">
        <f t="array" ref="P276">IFERROR(_xlfn.XLOOKUP(1,($B276=DistributionZone)*(P$5=Desc_FixedOrVar)*($G276=Description),valuesFY),0)</f>
        <v>0.51939999999999997</v>
      </c>
      <c r="Q276" s="482">
        <f t="shared" si="139"/>
        <v>0.79987600000000003</v>
      </c>
      <c r="R276" s="484">
        <f t="shared" si="138"/>
        <v>4.1945236806939963E-3</v>
      </c>
      <c r="S276" s="484"/>
      <c r="T276" s="607"/>
      <c r="U276" s="484"/>
      <c r="V276" s="484"/>
      <c r="W276" s="484"/>
      <c r="X276" s="484"/>
      <c r="Y276" s="484"/>
      <c r="Z276" s="484"/>
      <c r="AA276" s="484"/>
      <c r="AB276" s="484"/>
      <c r="AC276" s="484"/>
      <c r="AD276" s="484"/>
      <c r="AE276" s="484"/>
      <c r="AF276" s="484"/>
      <c r="AG276" s="484"/>
      <c r="AH276" s="484"/>
      <c r="AI276" s="484"/>
      <c r="AJ276" s="484"/>
    </row>
    <row r="277" spans="2:36" x14ac:dyDescent="0.35">
      <c r="B277" s="30" t="str">
        <f t="shared" si="134"/>
        <v>Essential</v>
      </c>
      <c r="D277" s="30" t="str">
        <f t="shared" si="135"/>
        <v>controlled load</v>
      </c>
      <c r="E277" s="30" t="s">
        <v>14</v>
      </c>
      <c r="F277" s="258">
        <f t="shared" si="140"/>
        <v>1540</v>
      </c>
      <c r="G277" s="30" t="s">
        <v>71</v>
      </c>
      <c r="H277" s="482"/>
      <c r="I277" s="482" cm="1">
        <f t="array" ref="I277">IFERROR(_xlfn.XLOOKUP(1,($B277=DistributionZone)*(I$5=Desc_FixedOrVar)*($G277=Description),valuesPY),0)</f>
        <v>5.2786233739509421E-2</v>
      </c>
      <c r="J277" s="482">
        <f t="shared" si="136"/>
        <v>8.1290799958844501E-2</v>
      </c>
      <c r="K277" s="484">
        <f>IFERROR(J277/J282,"")</f>
        <v>4.2607348533894884E-4</v>
      </c>
      <c r="L277" s="484"/>
      <c r="M277" s="484">
        <f t="shared" si="137"/>
        <v>1.413017537285187</v>
      </c>
      <c r="N277" s="563"/>
      <c r="O277" s="482"/>
      <c r="P277" s="482" cm="1">
        <f t="array" ref="P277">IFERROR(_xlfn.XLOOKUP(1,($B277=DistributionZone)*(P$5=Desc_FixedOrVar)*($G277=Description),valuesFY),0)</f>
        <v>0.12737410774067126</v>
      </c>
      <c r="Q277" s="482">
        <f t="shared" si="139"/>
        <v>0.19615612592063375</v>
      </c>
      <c r="R277" s="484">
        <f t="shared" si="138"/>
        <v>1.0286363327406895E-3</v>
      </c>
      <c r="S277" s="484"/>
      <c r="T277" s="607"/>
      <c r="U277" s="484"/>
      <c r="V277" s="484"/>
      <c r="W277" s="484"/>
      <c r="X277" s="484"/>
      <c r="Y277" s="484"/>
      <c r="Z277" s="484"/>
      <c r="AA277" s="484"/>
      <c r="AB277" s="484"/>
      <c r="AC277" s="484"/>
      <c r="AD277" s="484"/>
      <c r="AE277" s="484"/>
      <c r="AF277" s="484"/>
      <c r="AG277" s="484"/>
      <c r="AH277" s="484"/>
      <c r="AI277" s="484"/>
      <c r="AJ277" s="484"/>
    </row>
    <row r="278" spans="2:36" x14ac:dyDescent="0.35">
      <c r="B278" s="30" t="str">
        <f t="shared" si="134"/>
        <v>Essential</v>
      </c>
      <c r="D278" s="30" t="str">
        <f t="shared" si="135"/>
        <v>controlled load</v>
      </c>
      <c r="E278" s="30" t="s">
        <v>14</v>
      </c>
      <c r="F278" s="258">
        <f t="shared" si="140"/>
        <v>1540</v>
      </c>
      <c r="G278" s="30" t="s">
        <v>173</v>
      </c>
      <c r="H278" s="482"/>
      <c r="I278" s="482" cm="1">
        <f t="array" ref="I278">IFERROR(_xlfn.XLOOKUP(1,($B278=DistributionZone)*(I$5=Desc_FixedOrVar)*($G278=Description),valuesPY),0)</f>
        <v>0.11507709849820914</v>
      </c>
      <c r="J278" s="482">
        <f t="shared" si="136"/>
        <v>0.17721873168724206</v>
      </c>
      <c r="K278" s="484">
        <f>IFERROR(J278/J283,"")</f>
        <v>3.3364346788219423E-3</v>
      </c>
      <c r="L278" s="484"/>
      <c r="M278" s="484">
        <f t="shared" si="137"/>
        <v>-1</v>
      </c>
      <c r="N278" s="563"/>
      <c r="O278" s="482"/>
      <c r="P278" s="482" cm="1">
        <f t="array" ref="P278">IFERROR(_xlfn.XLOOKUP(1,($B278=DistributionZone)*(P$5=Desc_FixedOrVar)*($G278=Description),valuesFY),0)</f>
        <v>0</v>
      </c>
      <c r="Q278" s="482">
        <f t="shared" si="139"/>
        <v>0</v>
      </c>
      <c r="R278" s="484">
        <f t="shared" si="138"/>
        <v>0</v>
      </c>
      <c r="S278" s="484"/>
      <c r="T278" s="607"/>
      <c r="U278" s="484"/>
      <c r="V278" s="484"/>
      <c r="W278" s="484"/>
      <c r="X278" s="484"/>
      <c r="Y278" s="484"/>
      <c r="Z278" s="484"/>
      <c r="AA278" s="484"/>
      <c r="AB278" s="484"/>
      <c r="AC278" s="484"/>
      <c r="AD278" s="484"/>
      <c r="AE278" s="484"/>
      <c r="AF278" s="484"/>
      <c r="AG278" s="484"/>
      <c r="AH278" s="484"/>
      <c r="AI278" s="484"/>
      <c r="AJ278" s="484"/>
    </row>
    <row r="279" spans="2:36" x14ac:dyDescent="0.35">
      <c r="B279" s="30" t="str">
        <f t="shared" si="134"/>
        <v>Essential</v>
      </c>
      <c r="D279" s="30" t="str">
        <f t="shared" si="135"/>
        <v>controlled load</v>
      </c>
      <c r="E279" s="30" t="s">
        <v>14</v>
      </c>
      <c r="F279" s="258">
        <f t="shared" si="140"/>
        <v>1540</v>
      </c>
      <c r="G279" s="30" t="s">
        <v>130</v>
      </c>
      <c r="H279" s="482"/>
      <c r="I279" s="482" cm="1">
        <f t="array" ref="I279">IFERROR(_xlfn.XLOOKUP(1,($B279=DistributionZone)*(I$5=Desc_FixedOrVar)*($G279=Description),valuesPY),0)</f>
        <v>2.8459749804305119</v>
      </c>
      <c r="J279" s="482">
        <f t="shared" si="136"/>
        <v>4.3828014698629882</v>
      </c>
      <c r="K279" s="484">
        <f>IFERROR(J279/J282,"")</f>
        <v>2.2971793840860306E-2</v>
      </c>
      <c r="L279" s="484"/>
      <c r="M279" s="484">
        <f t="shared" si="137"/>
        <v>-7.9260751472302493E-2</v>
      </c>
      <c r="N279" s="563"/>
      <c r="O279" s="482"/>
      <c r="P279" s="482" cm="1">
        <f t="array" ref="P279">IFERROR(_xlfn.XLOOKUP(1,($B279=DistributionZone)*(P$5=Desc_FixedOrVar)*($G279=Description),valuesFY),0)</f>
        <v>2.6204008648102182</v>
      </c>
      <c r="Q279" s="482">
        <f t="shared" si="139"/>
        <v>4.0354173318077358</v>
      </c>
      <c r="R279" s="484">
        <f t="shared" si="138"/>
        <v>2.1161596997222729E-2</v>
      </c>
      <c r="S279" s="484"/>
      <c r="T279" s="607"/>
      <c r="U279" s="484"/>
      <c r="V279" s="484"/>
      <c r="W279" s="484"/>
      <c r="X279" s="484"/>
      <c r="Y279" s="484"/>
      <c r="Z279" s="484"/>
      <c r="AA279" s="484"/>
      <c r="AB279" s="484"/>
      <c r="AC279" s="484"/>
      <c r="AD279" s="484"/>
      <c r="AE279" s="484"/>
      <c r="AF279" s="484"/>
      <c r="AG279" s="484"/>
      <c r="AH279" s="484"/>
      <c r="AI279" s="484"/>
      <c r="AJ279" s="484"/>
    </row>
    <row r="280" spans="2:36" x14ac:dyDescent="0.35">
      <c r="B280" s="30" t="str">
        <f t="shared" si="134"/>
        <v>Essential</v>
      </c>
      <c r="D280" s="30" t="str">
        <f t="shared" si="135"/>
        <v>controlled load</v>
      </c>
      <c r="E280" s="30" t="s">
        <v>14</v>
      </c>
      <c r="F280" s="258">
        <f t="shared" si="140"/>
        <v>1540</v>
      </c>
      <c r="G280" s="30" t="s">
        <v>302</v>
      </c>
      <c r="H280" s="482"/>
      <c r="I280" s="482"/>
      <c r="J280" s="482"/>
      <c r="K280" s="484"/>
      <c r="L280" s="484"/>
      <c r="M280" s="484"/>
      <c r="N280" s="563"/>
      <c r="O280" s="482"/>
      <c r="P280" s="482" cm="1">
        <f t="array" ref="P280">IFERROR(_xlfn.XLOOKUP(1,($B280=DistributionZone)*(P$5=Desc_FixedOrVar)*(E280=tariffType)*($G280=Description),valuesFY),0)</f>
        <v>0.85000000000000009</v>
      </c>
      <c r="Q280" s="482">
        <f t="shared" ref="Q280" si="141">IF(AND(O280="",P280=""),"",O280+P280*$F280/1000)</f>
        <v>1.3090000000000002</v>
      </c>
      <c r="R280" s="484">
        <f>IFERROR(Q280/$Q$282,"")</f>
        <v>6.8643533473043842E-3</v>
      </c>
      <c r="S280" s="484"/>
      <c r="T280" s="607"/>
      <c r="U280" s="484"/>
      <c r="V280" s="484"/>
      <c r="W280" s="484"/>
      <c r="X280" s="484"/>
      <c r="Y280" s="484"/>
      <c r="Z280" s="484"/>
      <c r="AA280" s="484"/>
      <c r="AB280" s="484"/>
      <c r="AC280" s="484"/>
      <c r="AD280" s="484"/>
      <c r="AE280" s="484"/>
      <c r="AF280" s="484"/>
      <c r="AG280" s="484"/>
      <c r="AH280" s="484"/>
      <c r="AI280" s="484"/>
      <c r="AJ280" s="484"/>
    </row>
    <row r="281" spans="2:36" x14ac:dyDescent="0.35">
      <c r="B281" s="30" t="str">
        <f>B279</f>
        <v>Essential</v>
      </c>
      <c r="D281" s="30" t="str">
        <f>D279</f>
        <v>controlled load</v>
      </c>
      <c r="E281" s="30" t="s">
        <v>14</v>
      </c>
      <c r="F281" s="258">
        <f>F279</f>
        <v>1540</v>
      </c>
      <c r="G281" s="30" t="s">
        <v>72</v>
      </c>
      <c r="H281" s="482"/>
      <c r="I281" s="482" cm="1">
        <f t="array" ref="I281">IFERROR(_xlfn.XLOOKUP(1,($B281=DistributionZone)*($C281=CustomerType)*($E281=tariffType)*($G281=Description),valuesPY),0)*SUM(I274:I279)</f>
        <v>4.6779193483850827</v>
      </c>
      <c r="J281" s="482">
        <f>I281*F281/1000</f>
        <v>7.203995796513027</v>
      </c>
      <c r="K281" s="484">
        <f>IFERROR(J281/J282,"")</f>
        <v>3.7758659023424776E-2</v>
      </c>
      <c r="L281" s="484"/>
      <c r="M281" s="484">
        <f t="shared" si="137"/>
        <v>0.14951469014743402</v>
      </c>
      <c r="N281" s="563"/>
      <c r="O281" s="482"/>
      <c r="P281" s="482" cm="1">
        <f t="array" ref="P281">IFERROR(_xlfn.XLOOKUP(1,($B281=DistributionZone)*($C281=CustomerType)*($E281=tariffType)*($G281=Description),valuesFY),0)*SUM(P274:P280)</f>
        <v>5.377337010293564</v>
      </c>
      <c r="Q281" s="482">
        <f t="shared" si="139"/>
        <v>8.2810989958520889</v>
      </c>
      <c r="R281" s="484">
        <f>IFERROR(Q281/$Q$282,"")</f>
        <v>4.3425813301402792E-2</v>
      </c>
      <c r="S281" s="484"/>
      <c r="T281" s="607"/>
      <c r="U281" s="484"/>
      <c r="V281" s="484"/>
      <c r="W281" s="484"/>
      <c r="X281" s="484"/>
      <c r="Y281" s="484"/>
      <c r="Z281" s="484"/>
      <c r="AA281" s="484"/>
      <c r="AB281" s="484"/>
      <c r="AC281" s="484"/>
      <c r="AD281" s="484"/>
      <c r="AE281" s="484"/>
      <c r="AF281" s="484"/>
      <c r="AG281" s="484"/>
      <c r="AH281" s="484"/>
      <c r="AI281" s="484"/>
      <c r="AJ281" s="484"/>
    </row>
    <row r="282" spans="2:36" x14ac:dyDescent="0.35">
      <c r="B282" s="30" t="str">
        <f t="shared" si="134"/>
        <v>Essential</v>
      </c>
      <c r="D282" s="30" t="str">
        <f t="shared" si="135"/>
        <v>controlled load</v>
      </c>
      <c r="E282" s="30" t="s">
        <v>14</v>
      </c>
      <c r="F282" s="258">
        <f t="shared" si="140"/>
        <v>1540</v>
      </c>
      <c r="G282" s="64" t="s">
        <v>55</v>
      </c>
      <c r="H282" s="487"/>
      <c r="I282" s="487">
        <f>SUM(I274:I281)</f>
        <v>123.88997568698051</v>
      </c>
      <c r="J282" s="487">
        <f>IF(AND(H282="",I282=""),"",H282+I282*+Usage!H$41/1000)</f>
        <v>190.79056255794998</v>
      </c>
      <c r="K282" s="564"/>
      <c r="L282" s="565"/>
      <c r="M282" s="564">
        <f t="shared" si="137"/>
        <v>-4.9924393027667158E-4</v>
      </c>
      <c r="N282" s="566"/>
      <c r="O282" s="487"/>
      <c r="P282" s="487">
        <f>SUM(P274:P281)</f>
        <v>123.82812436859668</v>
      </c>
      <c r="Q282" s="487">
        <f t="shared" si="139"/>
        <v>190.69531152763886</v>
      </c>
      <c r="R282" s="564"/>
      <c r="S282" s="564"/>
      <c r="T282" s="611"/>
      <c r="U282" s="564"/>
      <c r="V282" s="564"/>
      <c r="W282" s="564"/>
      <c r="X282" s="564"/>
      <c r="Y282" s="564"/>
      <c r="Z282" s="564"/>
      <c r="AA282" s="564"/>
      <c r="AB282" s="564"/>
      <c r="AC282" s="564"/>
      <c r="AD282" s="564"/>
      <c r="AE282" s="564"/>
      <c r="AF282" s="564"/>
      <c r="AG282" s="564"/>
      <c r="AH282" s="564"/>
      <c r="AI282" s="564"/>
      <c r="AJ282" s="564"/>
    </row>
    <row r="283" spans="2:36" x14ac:dyDescent="0.35">
      <c r="B283" s="30" t="str">
        <f t="shared" si="134"/>
        <v>Essential</v>
      </c>
      <c r="D283" s="30" t="str">
        <f t="shared" si="135"/>
        <v>controlled load</v>
      </c>
      <c r="E283" s="30" t="s">
        <v>15</v>
      </c>
      <c r="F283" s="598" cm="1">
        <f t="array" ref="F283">_xlfn.XLOOKUP(1,($B283=DistributionZone)*($C283=CustomerType)*($D283=tariffL2)*($F$5=Description)*(E283=tariffType),valuesFY)</f>
        <v>460</v>
      </c>
      <c r="G283" s="30" t="s">
        <v>69</v>
      </c>
      <c r="H283" s="482"/>
      <c r="I283" s="482" cm="1">
        <f t="array" ref="I283">IFERROR(_xlfn.XLOOKUP(1,($B283=DistributionZone)*($C283=CustomerType)*($E283=tariffType)*($G283=Description),valuesPY),0)</f>
        <v>115.47</v>
      </c>
      <c r="J283" s="482">
        <f t="shared" ref="J283:J288" si="142">H283+I283*F283/1000</f>
        <v>53.116199999999999</v>
      </c>
      <c r="K283" s="484">
        <f>IFERROR(J283/J291,"")</f>
        <v>0.93203666688696141</v>
      </c>
      <c r="L283" s="484"/>
      <c r="M283" s="484">
        <f t="shared" si="137"/>
        <v>-1.0911925175370207E-2</v>
      </c>
      <c r="N283" s="563"/>
      <c r="O283" s="482"/>
      <c r="P283" s="482" cm="1">
        <f t="array" ref="P283">IFERROR(_xlfn.XLOOKUP(1,($B283=DistributionZone)*($C283=CustomerType)*($E283=tariffType)*($G283=Description),valuesFY),0)</f>
        <v>114.21</v>
      </c>
      <c r="Q283" s="482">
        <f t="shared" ref="Q283:Q291" si="143">IF(AND(O283="",P283=""),"",O283+P283*$F283/1000)</f>
        <v>52.5366</v>
      </c>
      <c r="R283" s="484">
        <f t="shared" ref="R283:R290" si="144">IFERROR(Q283/$Q$291,"")</f>
        <v>0.9223268185830984</v>
      </c>
      <c r="S283" s="484"/>
      <c r="T283" s="608"/>
      <c r="U283" s="484"/>
      <c r="V283" s="484"/>
      <c r="W283" s="484"/>
      <c r="X283" s="484"/>
      <c r="Y283" s="484"/>
      <c r="Z283" s="484"/>
      <c r="AA283" s="484"/>
      <c r="AB283" s="484"/>
      <c r="AC283" s="484"/>
      <c r="AD283" s="484"/>
      <c r="AE283" s="484"/>
      <c r="AF283" s="484"/>
      <c r="AG283" s="484"/>
      <c r="AH283" s="484"/>
      <c r="AI283" s="484"/>
      <c r="AJ283" s="484"/>
    </row>
    <row r="284" spans="2:36" x14ac:dyDescent="0.35">
      <c r="B284" s="30" t="str">
        <f t="shared" si="134"/>
        <v>Essential</v>
      </c>
      <c r="D284" s="30" t="str">
        <f t="shared" si="135"/>
        <v>controlled load</v>
      </c>
      <c r="E284" s="30" t="s">
        <v>15</v>
      </c>
      <c r="F284" s="258">
        <f>F283</f>
        <v>460</v>
      </c>
      <c r="G284" s="30" t="s">
        <v>70</v>
      </c>
      <c r="H284" s="482"/>
      <c r="I284" s="482" cm="1">
        <f t="array" ref="I284">IFERROR(_xlfn.XLOOKUP(1,($B284=DistributionZone)*(I$5=Desc_FixedOrVar)*($G284=Description),valuesPY),0)</f>
        <v>0.15378802592718904</v>
      </c>
      <c r="J284" s="482">
        <f t="shared" si="142"/>
        <v>7.0742491926506959E-2</v>
      </c>
      <c r="K284" s="484">
        <f>IFERROR(J284/J291,"")</f>
        <v>1.2413274364969505E-3</v>
      </c>
      <c r="L284" s="484"/>
      <c r="M284" s="484">
        <f t="shared" si="137"/>
        <v>-0.1962157976411667</v>
      </c>
      <c r="N284" s="563"/>
      <c r="O284" s="482"/>
      <c r="P284" s="482" cm="1">
        <f t="array" ref="P284">IFERROR(_xlfn.XLOOKUP(1,($B284=DistributionZone)*(P$5=Desc_FixedOrVar)*($G284=Description),valuesFY),0)</f>
        <v>0.12361238575222523</v>
      </c>
      <c r="Q284" s="482">
        <f t="shared" si="143"/>
        <v>5.6861697446023603E-2</v>
      </c>
      <c r="R284" s="484">
        <f t="shared" si="144"/>
        <v>9.9825775753713871E-4</v>
      </c>
      <c r="S284" s="484"/>
      <c r="T284" s="607"/>
      <c r="U284" s="484"/>
      <c r="V284" s="484"/>
      <c r="W284" s="484"/>
      <c r="X284" s="484"/>
      <c r="Y284" s="484"/>
      <c r="Z284" s="484"/>
      <c r="AA284" s="484"/>
      <c r="AB284" s="484"/>
      <c r="AC284" s="484"/>
      <c r="AD284" s="484"/>
      <c r="AE284" s="484"/>
      <c r="AF284" s="484"/>
      <c r="AG284" s="484"/>
      <c r="AH284" s="484"/>
      <c r="AI284" s="484"/>
      <c r="AJ284" s="484"/>
    </row>
    <row r="285" spans="2:36" x14ac:dyDescent="0.35">
      <c r="B285" s="30" t="str">
        <f t="shared" si="134"/>
        <v>Essential</v>
      </c>
      <c r="D285" s="30" t="str">
        <f t="shared" si="135"/>
        <v>controlled load</v>
      </c>
      <c r="E285" s="30" t="s">
        <v>15</v>
      </c>
      <c r="F285" s="258">
        <f t="shared" ref="F285:F291" si="145">F284</f>
        <v>460</v>
      </c>
      <c r="G285" s="30" t="s">
        <v>77</v>
      </c>
      <c r="H285" s="482"/>
      <c r="I285" s="482" cm="1">
        <f t="array" ref="I285">IFERROR(_xlfn.XLOOKUP(1,($B285=DistributionZone)*(I$5=Desc_FixedOrVar)*($G285=Description),valuesPY),0)</f>
        <v>0.57443</v>
      </c>
      <c r="J285" s="482">
        <f t="shared" si="142"/>
        <v>0.26423779999999997</v>
      </c>
      <c r="K285" s="484">
        <f>IFERROR(J285/J291,"")</f>
        <v>4.6366140344667635E-3</v>
      </c>
      <c r="L285" s="484"/>
      <c r="M285" s="484">
        <f t="shared" si="137"/>
        <v>-9.5799314102675726E-2</v>
      </c>
      <c r="N285" s="563"/>
      <c r="O285" s="482"/>
      <c r="P285" s="482" cm="1">
        <f t="array" ref="P285">IFERROR(_xlfn.XLOOKUP(1,($B285=DistributionZone)*(P$5=Desc_FixedOrVar)*($G285=Description),valuesFY),0)</f>
        <v>0.51939999999999997</v>
      </c>
      <c r="Q285" s="482">
        <f t="shared" si="143"/>
        <v>0.23892399999999997</v>
      </c>
      <c r="R285" s="484">
        <f t="shared" si="144"/>
        <v>4.1945236806939954E-3</v>
      </c>
      <c r="S285" s="484"/>
      <c r="T285" s="607"/>
      <c r="U285" s="484"/>
      <c r="V285" s="484"/>
      <c r="W285" s="484"/>
      <c r="X285" s="484"/>
      <c r="Y285" s="484"/>
      <c r="Z285" s="484"/>
      <c r="AA285" s="484"/>
      <c r="AB285" s="484"/>
      <c r="AC285" s="484"/>
      <c r="AD285" s="484"/>
      <c r="AE285" s="484"/>
      <c r="AF285" s="484"/>
      <c r="AG285" s="484"/>
      <c r="AH285" s="484"/>
      <c r="AI285" s="484"/>
      <c r="AJ285" s="484"/>
    </row>
    <row r="286" spans="2:36" x14ac:dyDescent="0.35">
      <c r="B286" s="30" t="str">
        <f t="shared" si="134"/>
        <v>Essential</v>
      </c>
      <c r="D286" s="30" t="str">
        <f t="shared" si="135"/>
        <v>controlled load</v>
      </c>
      <c r="E286" s="30" t="s">
        <v>15</v>
      </c>
      <c r="F286" s="258">
        <f t="shared" si="145"/>
        <v>460</v>
      </c>
      <c r="G286" s="30" t="s">
        <v>71</v>
      </c>
      <c r="H286" s="482"/>
      <c r="I286" s="482" cm="1">
        <f t="array" ref="I286">IFERROR(_xlfn.XLOOKUP(1,($B286=DistributionZone)*(I$5=Desc_FixedOrVar)*($G286=Description),valuesPY),0)</f>
        <v>5.2786233739509421E-2</v>
      </c>
      <c r="J286" s="482">
        <f t="shared" si="142"/>
        <v>2.4281667520174334E-2</v>
      </c>
      <c r="K286" s="484">
        <f>IFERROR(J286/J291,"")</f>
        <v>4.2607348533894884E-4</v>
      </c>
      <c r="L286" s="484"/>
      <c r="M286" s="484">
        <f t="shared" si="137"/>
        <v>1.4130175372851865</v>
      </c>
      <c r="N286" s="563"/>
      <c r="O286" s="482"/>
      <c r="P286" s="482" cm="1">
        <f t="array" ref="P286">IFERROR(_xlfn.XLOOKUP(1,($B286=DistributionZone)*(P$5=Desc_FixedOrVar)*($G286=Description),valuesFY),0)</f>
        <v>0.12737410774067126</v>
      </c>
      <c r="Q286" s="482">
        <f t="shared" si="143"/>
        <v>5.8592089560708778E-2</v>
      </c>
      <c r="R286" s="484">
        <f t="shared" si="144"/>
        <v>1.0286363327406893E-3</v>
      </c>
      <c r="S286" s="484"/>
      <c r="T286" s="607"/>
      <c r="U286" s="484"/>
      <c r="V286" s="484"/>
      <c r="W286" s="484"/>
      <c r="X286" s="484"/>
      <c r="Y286" s="484"/>
      <c r="Z286" s="484"/>
      <c r="AA286" s="484"/>
      <c r="AB286" s="484"/>
      <c r="AC286" s="484"/>
      <c r="AD286" s="484"/>
      <c r="AE286" s="484"/>
      <c r="AF286" s="484"/>
      <c r="AG286" s="484"/>
      <c r="AH286" s="484"/>
      <c r="AI286" s="484"/>
      <c r="AJ286" s="484"/>
    </row>
    <row r="287" spans="2:36" x14ac:dyDescent="0.35">
      <c r="B287" s="30" t="str">
        <f t="shared" si="134"/>
        <v>Essential</v>
      </c>
      <c r="D287" s="30" t="str">
        <f t="shared" si="135"/>
        <v>controlled load</v>
      </c>
      <c r="E287" s="30" t="s">
        <v>15</v>
      </c>
      <c r="F287" s="258">
        <f t="shared" si="145"/>
        <v>460</v>
      </c>
      <c r="G287" s="30" t="s">
        <v>173</v>
      </c>
      <c r="H287" s="482"/>
      <c r="I287" s="482" cm="1">
        <f t="array" ref="I287">IFERROR(_xlfn.XLOOKUP(1,($B287=DistributionZone)*(I$5=Desc_FixedOrVar)*($G287=Description),valuesPY),0)</f>
        <v>0.11507709849820914</v>
      </c>
      <c r="J287" s="482">
        <f t="shared" si="142"/>
        <v>5.2935465309176206E-2</v>
      </c>
      <c r="K287" s="484">
        <f>IFERROR(J287/J292,"")</f>
        <v>2.1363901726368306E-4</v>
      </c>
      <c r="L287" s="484"/>
      <c r="M287" s="484">
        <f t="shared" si="137"/>
        <v>-1</v>
      </c>
      <c r="N287" s="563"/>
      <c r="O287" s="482"/>
      <c r="P287" s="482" cm="1">
        <f t="array" ref="P287">IFERROR(_xlfn.XLOOKUP(1,($B287=DistributionZone)*(P$5=Desc_FixedOrVar)*($G287=Description),valuesFY),0)</f>
        <v>0</v>
      </c>
      <c r="Q287" s="482">
        <f t="shared" si="143"/>
        <v>0</v>
      </c>
      <c r="R287" s="484">
        <f t="shared" si="144"/>
        <v>0</v>
      </c>
      <c r="S287" s="484"/>
      <c r="T287" s="607"/>
      <c r="U287" s="484"/>
      <c r="V287" s="484"/>
      <c r="W287" s="484"/>
      <c r="X287" s="484"/>
      <c r="Y287" s="484"/>
      <c r="Z287" s="484"/>
      <c r="AA287" s="484"/>
      <c r="AB287" s="484"/>
      <c r="AC287" s="484"/>
      <c r="AD287" s="484"/>
      <c r="AE287" s="484"/>
      <c r="AF287" s="484"/>
      <c r="AG287" s="484"/>
      <c r="AH287" s="484"/>
      <c r="AI287" s="484"/>
      <c r="AJ287" s="484"/>
    </row>
    <row r="288" spans="2:36" x14ac:dyDescent="0.35">
      <c r="B288" s="30" t="str">
        <f t="shared" si="134"/>
        <v>Essential</v>
      </c>
      <c r="D288" s="30" t="str">
        <f t="shared" si="135"/>
        <v>controlled load</v>
      </c>
      <c r="E288" s="30" t="s">
        <v>15</v>
      </c>
      <c r="F288" s="258">
        <f t="shared" si="145"/>
        <v>460</v>
      </c>
      <c r="G288" s="30" t="s">
        <v>130</v>
      </c>
      <c r="H288" s="482"/>
      <c r="I288" s="482" cm="1">
        <f t="array" ref="I288">IFERROR(_xlfn.XLOOKUP(1,($B288=DistributionZone)*(I$5=Desc_FixedOrVar)*($G288=Description),valuesPY),0)</f>
        <v>2.8459749804305119</v>
      </c>
      <c r="J288" s="482">
        <f t="shared" si="142"/>
        <v>1.3091484909980353</v>
      </c>
      <c r="K288" s="484">
        <f>IFERROR(J288/J291,"")</f>
        <v>2.2971793840860302E-2</v>
      </c>
      <c r="L288" s="484"/>
      <c r="M288" s="484">
        <f t="shared" si="137"/>
        <v>-7.9260751472302382E-2</v>
      </c>
      <c r="N288" s="563"/>
      <c r="O288" s="482"/>
      <c r="P288" s="482" cm="1">
        <f t="array" ref="P288">IFERROR(_xlfn.XLOOKUP(1,($B288=DistributionZone)*(P$5=Desc_FixedOrVar)*($G288=Description),valuesFY),0)</f>
        <v>2.6204008648102182</v>
      </c>
      <c r="Q288" s="482">
        <f t="shared" si="143"/>
        <v>1.2053843978127003</v>
      </c>
      <c r="R288" s="484">
        <f t="shared" si="144"/>
        <v>2.1161596997222733E-2</v>
      </c>
      <c r="S288" s="484"/>
      <c r="T288" s="607"/>
      <c r="U288" s="484"/>
      <c r="V288" s="484"/>
      <c r="W288" s="484"/>
      <c r="X288" s="484"/>
      <c r="Y288" s="484"/>
      <c r="Z288" s="484"/>
      <c r="AA288" s="484"/>
      <c r="AB288" s="484"/>
      <c r="AC288" s="484"/>
      <c r="AD288" s="484"/>
      <c r="AE288" s="484"/>
      <c r="AF288" s="484"/>
      <c r="AG288" s="484"/>
      <c r="AH288" s="484"/>
      <c r="AI288" s="484"/>
      <c r="AJ288" s="484"/>
    </row>
    <row r="289" spans="2:36" x14ac:dyDescent="0.35">
      <c r="B289" s="30" t="str">
        <f t="shared" si="134"/>
        <v>Essential</v>
      </c>
      <c r="D289" s="30" t="str">
        <f t="shared" si="135"/>
        <v>controlled load</v>
      </c>
      <c r="E289" s="30" t="s">
        <v>15</v>
      </c>
      <c r="F289" s="258">
        <f t="shared" si="145"/>
        <v>460</v>
      </c>
      <c r="G289" s="30" t="s">
        <v>302</v>
      </c>
      <c r="H289" s="482"/>
      <c r="I289" s="482"/>
      <c r="J289" s="482"/>
      <c r="K289" s="484"/>
      <c r="L289" s="484"/>
      <c r="M289" s="484"/>
      <c r="N289" s="563"/>
      <c r="O289" s="482"/>
      <c r="P289" s="482" cm="1">
        <f t="array" ref="P289">IFERROR(_xlfn.XLOOKUP(1,($B289=DistributionZone)*(P$5=Desc_FixedOrVar)*(E289=tariffType)*($G289=Description),valuesFY),0)</f>
        <v>0.85000000000000009</v>
      </c>
      <c r="Q289" s="482">
        <f t="shared" ref="Q289" si="146">IF(AND(O289="",P289=""),"",O289+P289*$F289/1000)</f>
        <v>0.39100000000000007</v>
      </c>
      <c r="R289" s="484">
        <f>IFERROR(Q289/$Q$291,"")</f>
        <v>6.864353347304385E-3</v>
      </c>
      <c r="S289" s="484"/>
      <c r="T289" s="607"/>
      <c r="U289" s="484"/>
      <c r="V289" s="484"/>
      <c r="W289" s="484"/>
      <c r="X289" s="484"/>
      <c r="Y289" s="484"/>
      <c r="Z289" s="484"/>
      <c r="AA289" s="484"/>
      <c r="AB289" s="484"/>
      <c r="AC289" s="484"/>
      <c r="AD289" s="484"/>
      <c r="AE289" s="484"/>
      <c r="AF289" s="484"/>
      <c r="AG289" s="484"/>
      <c r="AH289" s="484"/>
      <c r="AI289" s="484"/>
      <c r="AJ289" s="484"/>
    </row>
    <row r="290" spans="2:36" x14ac:dyDescent="0.35">
      <c r="B290" s="30" t="str">
        <f>B288</f>
        <v>Essential</v>
      </c>
      <c r="D290" s="30" t="str">
        <f>D288</f>
        <v>controlled load</v>
      </c>
      <c r="E290" s="30" t="s">
        <v>15</v>
      </c>
      <c r="F290" s="258">
        <f>F288</f>
        <v>460</v>
      </c>
      <c r="G290" s="30" t="s">
        <v>72</v>
      </c>
      <c r="H290" s="482"/>
      <c r="I290" s="482" cm="1">
        <f t="array" ref="I290">IFERROR(_xlfn.XLOOKUP(1,($B290=DistributionZone)*($C290=CustomerType)*($E290=tariffType)*($G290=Description),valuesPY),0)*SUM(I283:I288)</f>
        <v>4.6779193483850827</v>
      </c>
      <c r="J290" s="482">
        <f>I290*F290/1000</f>
        <v>2.151842900257138</v>
      </c>
      <c r="K290" s="484">
        <f>IFERROR(J290/J291,"")</f>
        <v>3.7758659023424776E-2</v>
      </c>
      <c r="L290" s="484"/>
      <c r="M290" s="484">
        <f t="shared" si="137"/>
        <v>0.14951469014743379</v>
      </c>
      <c r="N290" s="563"/>
      <c r="O290" s="482"/>
      <c r="P290" s="482" cm="1">
        <f t="array" ref="P290">IFERROR(_xlfn.XLOOKUP(1,($B290=DistributionZone)*($C290=CustomerType)*($E290=tariffType)*($G290=Description),valuesFY),0)*SUM(P283:P289)</f>
        <v>5.377337010293564</v>
      </c>
      <c r="Q290" s="482">
        <f t="shared" si="143"/>
        <v>2.4735750247350392</v>
      </c>
      <c r="R290" s="484">
        <f t="shared" si="144"/>
        <v>4.3425813301402785E-2</v>
      </c>
      <c r="S290" s="484"/>
      <c r="T290" s="607"/>
      <c r="U290" s="484"/>
      <c r="V290" s="484"/>
      <c r="W290" s="484"/>
      <c r="X290" s="484"/>
      <c r="Y290" s="484"/>
      <c r="Z290" s="484"/>
      <c r="AA290" s="484"/>
      <c r="AB290" s="484"/>
      <c r="AC290" s="484"/>
      <c r="AD290" s="484"/>
      <c r="AE290" s="484"/>
      <c r="AF290" s="484"/>
      <c r="AG290" s="484"/>
      <c r="AH290" s="484"/>
      <c r="AI290" s="484"/>
      <c r="AJ290" s="484"/>
    </row>
    <row r="291" spans="2:36" x14ac:dyDescent="0.35">
      <c r="B291" s="30" t="str">
        <f t="shared" si="134"/>
        <v>Essential</v>
      </c>
      <c r="D291" s="30" t="str">
        <f t="shared" si="135"/>
        <v>controlled load</v>
      </c>
      <c r="E291" s="30" t="s">
        <v>15</v>
      </c>
      <c r="F291" s="258">
        <f t="shared" si="145"/>
        <v>460</v>
      </c>
      <c r="G291" s="64" t="s">
        <v>55</v>
      </c>
      <c r="H291" s="487"/>
      <c r="I291" s="487">
        <f>SUM(I283:I290)</f>
        <v>123.88997568698051</v>
      </c>
      <c r="J291" s="487">
        <f>IF(AND(H291="",I291=""),"",H291+I291*+Usage!I$41/1000)</f>
        <v>56.989388816011036</v>
      </c>
      <c r="K291" s="564"/>
      <c r="L291" s="565"/>
      <c r="M291" s="564">
        <f t="shared" si="137"/>
        <v>-4.9924393027667158E-4</v>
      </c>
      <c r="N291" s="566"/>
      <c r="O291" s="487"/>
      <c r="P291" s="487">
        <f>SUM(P283:P290)</f>
        <v>123.82812436859668</v>
      </c>
      <c r="Q291" s="487">
        <f t="shared" si="143"/>
        <v>56.960937209554466</v>
      </c>
      <c r="R291" s="564"/>
      <c r="S291" s="564"/>
      <c r="T291" s="611"/>
      <c r="U291" s="564"/>
      <c r="V291" s="564"/>
      <c r="W291" s="564"/>
      <c r="X291" s="564"/>
      <c r="Y291" s="564"/>
      <c r="Z291" s="564"/>
      <c r="AA291" s="564"/>
      <c r="AB291" s="564"/>
      <c r="AC291" s="564"/>
      <c r="AD291" s="564"/>
      <c r="AE291" s="564"/>
      <c r="AF291" s="564"/>
      <c r="AG291" s="564"/>
      <c r="AH291" s="564"/>
      <c r="AI291" s="564"/>
      <c r="AJ291" s="564"/>
    </row>
    <row r="292" spans="2:36" x14ac:dyDescent="0.35">
      <c r="B292" s="30" t="str">
        <f t="shared" si="134"/>
        <v>Essential</v>
      </c>
      <c r="D292" s="30" t="str">
        <f t="shared" si="135"/>
        <v>controlled load</v>
      </c>
      <c r="E292" s="30" t="s">
        <v>55</v>
      </c>
      <c r="F292" s="598">
        <f>SUM(F273,F274,F283)</f>
        <v>2000</v>
      </c>
      <c r="G292" s="64" t="s">
        <v>55</v>
      </c>
      <c r="H292" s="487"/>
      <c r="I292" s="487"/>
      <c r="J292" s="487">
        <f>J273+J282+J291</f>
        <v>247.77995137396101</v>
      </c>
      <c r="K292" s="564"/>
      <c r="L292" s="565"/>
      <c r="M292" s="564">
        <f t="shared" si="137"/>
        <v>-4.9924393027667158E-4</v>
      </c>
      <c r="N292" s="566"/>
      <c r="O292" s="487"/>
      <c r="P292" s="487"/>
      <c r="Q292" s="487">
        <f>Q273+Q282+Q291</f>
        <v>247.65624873719332</v>
      </c>
      <c r="R292" s="564"/>
      <c r="S292" s="564"/>
      <c r="T292" s="611"/>
      <c r="U292" s="564"/>
      <c r="V292" s="564"/>
      <c r="W292" s="564"/>
      <c r="X292" s="564"/>
      <c r="Y292" s="564"/>
      <c r="Z292" s="564"/>
      <c r="AA292" s="564"/>
      <c r="AB292" s="564"/>
      <c r="AC292" s="564"/>
      <c r="AD292" s="564"/>
      <c r="AE292" s="564"/>
      <c r="AF292" s="564"/>
      <c r="AG292" s="564"/>
      <c r="AH292" s="564"/>
      <c r="AI292" s="564"/>
      <c r="AJ292" s="564"/>
    </row>
    <row r="293" spans="2:36" x14ac:dyDescent="0.35">
      <c r="B293" s="30" t="str">
        <f t="shared" si="134"/>
        <v>Essential</v>
      </c>
      <c r="D293" s="30" t="str">
        <f t="shared" si="135"/>
        <v>controlled load</v>
      </c>
      <c r="F293" s="258"/>
      <c r="G293" s="30" t="s">
        <v>38</v>
      </c>
      <c r="H293" s="482"/>
      <c r="I293" s="482"/>
      <c r="J293" s="482">
        <f>J292*GST</f>
        <v>24.777995137396104</v>
      </c>
      <c r="K293" s="484"/>
      <c r="L293" s="567"/>
      <c r="M293" s="484"/>
      <c r="N293" s="568"/>
      <c r="O293" s="482"/>
      <c r="P293" s="482"/>
      <c r="Q293" s="482">
        <f>Q292*GST</f>
        <v>24.765624873719332</v>
      </c>
      <c r="R293" s="564"/>
      <c r="S293" s="564"/>
      <c r="T293" s="611"/>
      <c r="U293" s="564"/>
      <c r="V293" s="564"/>
      <c r="W293" s="564"/>
      <c r="X293" s="564"/>
      <c r="Y293" s="564"/>
      <c r="Z293" s="564"/>
      <c r="AA293" s="564"/>
      <c r="AB293" s="564"/>
      <c r="AC293" s="564"/>
      <c r="AD293" s="564"/>
      <c r="AE293" s="564"/>
      <c r="AF293" s="564"/>
      <c r="AG293" s="564"/>
      <c r="AH293" s="564"/>
      <c r="AI293" s="564"/>
      <c r="AJ293" s="564"/>
    </row>
    <row r="294" spans="2:36" x14ac:dyDescent="0.35">
      <c r="B294" s="30" t="str">
        <f t="shared" si="134"/>
        <v>Essential</v>
      </c>
      <c r="D294" s="30" t="str">
        <f t="shared" si="135"/>
        <v>controlled load</v>
      </c>
      <c r="F294" s="258"/>
      <c r="G294" s="64" t="s">
        <v>79</v>
      </c>
      <c r="H294" s="487"/>
      <c r="I294" s="487"/>
      <c r="J294" s="487">
        <f>SUM(J292:J293)</f>
        <v>272.5579465113571</v>
      </c>
      <c r="K294" s="564"/>
      <c r="L294" s="565"/>
      <c r="M294" s="564">
        <f>IF(OR(J294=0,Q294=""),"",Q294/J294-1)</f>
        <v>-4.9924393027656055E-4</v>
      </c>
      <c r="N294" s="566"/>
      <c r="O294" s="487"/>
      <c r="P294" s="487"/>
      <c r="Q294" s="487">
        <f>SUM(Q292:Q293)</f>
        <v>272.42187361091266</v>
      </c>
      <c r="R294" s="564"/>
      <c r="S294" s="564"/>
      <c r="T294" s="611"/>
      <c r="U294" s="564"/>
      <c r="V294" s="564"/>
      <c r="W294" s="564"/>
      <c r="X294" s="564"/>
      <c r="Y294" s="564"/>
      <c r="Z294" s="564"/>
      <c r="AA294" s="564"/>
      <c r="AB294" s="564"/>
      <c r="AC294" s="564"/>
      <c r="AD294" s="564"/>
      <c r="AE294" s="564"/>
      <c r="AF294" s="564"/>
      <c r="AG294" s="564"/>
      <c r="AH294" s="564"/>
      <c r="AI294" s="564"/>
      <c r="AJ294" s="564"/>
    </row>
    <row r="295" spans="2:36" x14ac:dyDescent="0.35">
      <c r="F295" s="258"/>
      <c r="H295" s="482"/>
      <c r="I295" s="482"/>
      <c r="J295" s="482"/>
      <c r="K295" s="484"/>
      <c r="L295" s="567"/>
      <c r="M295" s="484"/>
      <c r="N295" s="568"/>
      <c r="O295" s="482"/>
      <c r="P295" s="482"/>
      <c r="Q295" s="482"/>
      <c r="R295" s="484"/>
      <c r="S295" s="484"/>
      <c r="T295" s="607"/>
      <c r="U295" s="484"/>
      <c r="V295" s="484"/>
      <c r="W295" s="484"/>
      <c r="X295" s="484"/>
      <c r="Y295" s="484"/>
      <c r="Z295" s="484"/>
      <c r="AA295" s="484"/>
      <c r="AB295" s="484"/>
      <c r="AC295" s="484"/>
      <c r="AD295" s="484"/>
      <c r="AE295" s="484"/>
      <c r="AF295" s="484"/>
      <c r="AG295" s="484"/>
      <c r="AH295" s="484"/>
      <c r="AI295" s="484"/>
      <c r="AJ295" s="484"/>
    </row>
    <row r="296" spans="2:36" x14ac:dyDescent="0.35">
      <c r="B296" s="64" t="s">
        <v>3</v>
      </c>
      <c r="C296" s="64" t="s">
        <v>13</v>
      </c>
      <c r="D296" s="64" t="s">
        <v>276</v>
      </c>
      <c r="F296" s="258"/>
      <c r="H296" s="482"/>
      <c r="I296" s="482"/>
      <c r="J296" s="482"/>
      <c r="K296" s="484"/>
      <c r="L296" s="567"/>
      <c r="M296" s="484"/>
      <c r="N296" s="568"/>
      <c r="O296" s="482"/>
      <c r="P296" s="482"/>
      <c r="Q296" s="482"/>
      <c r="R296" s="484"/>
      <c r="S296" s="484"/>
      <c r="T296" s="607"/>
      <c r="U296" s="484"/>
      <c r="V296" s="484"/>
      <c r="W296" s="484"/>
      <c r="X296" s="484"/>
      <c r="Y296" s="484"/>
      <c r="Z296" s="484"/>
      <c r="AA296" s="484"/>
      <c r="AB296" s="484"/>
      <c r="AC296" s="484"/>
      <c r="AD296" s="484"/>
      <c r="AE296" s="484"/>
      <c r="AF296" s="484"/>
      <c r="AG296" s="484"/>
      <c r="AH296" s="484"/>
      <c r="AI296" s="484"/>
      <c r="AJ296" s="484"/>
    </row>
    <row r="297" spans="2:36" x14ac:dyDescent="0.35">
      <c r="B297" s="30" t="str">
        <f>B296</f>
        <v>Essential</v>
      </c>
      <c r="C297" s="30" t="str">
        <f>C296</f>
        <v>Small business</v>
      </c>
      <c r="D297" s="30" t="str">
        <f>D296</f>
        <v>flat rate</v>
      </c>
      <c r="E297" s="30" t="s">
        <v>19</v>
      </c>
      <c r="F297" s="598" cm="1">
        <f t="array" ref="F297">_xlfn.XLOOKUP(1,($B297=DistributionZone)*($C297=CustomerType)*($D297=tariffL2)*($F$5=Description)*(E297=tariffType),valuesFY)</f>
        <v>10000</v>
      </c>
      <c r="G297" s="30" t="s">
        <v>69</v>
      </c>
      <c r="H297" s="482"/>
      <c r="I297" s="482" cm="1">
        <f t="array" ref="I297">IFERROR(_xlfn.XLOOKUP(1,($B297=DistributionZone)*($C297=CustomerType)*($E297=tariffType)*($G297=Description),valuesPY),0)</f>
        <v>165.17</v>
      </c>
      <c r="J297" s="482">
        <f t="shared" ref="J297:J304" si="147">H297+I297*F297/1000</f>
        <v>1651.6999999999998</v>
      </c>
      <c r="K297" s="484">
        <f>IFERROR(J297/J305,"")</f>
        <v>0.93356604500257934</v>
      </c>
      <c r="L297" s="484"/>
      <c r="M297" s="484">
        <f t="shared" ref="M297:M305" si="148">IF(OR(J297=0,Q297=""),"",Q297/J297-1)</f>
        <v>-0.1545680208270267</v>
      </c>
      <c r="N297" s="563"/>
      <c r="O297" s="482"/>
      <c r="P297" s="482" cm="1">
        <f t="array" ref="P297">IFERROR(_xlfn.XLOOKUP(1,($B297=DistributionZone)*($C297=CustomerType)*($E297=tariffType)*($G297=Description),valuesFY),0)</f>
        <v>139.63999999999999</v>
      </c>
      <c r="Q297" s="482">
        <f t="shared" ref="Q297:Q304" si="149">O297+P297*$F297/1000</f>
        <v>1396.3999999999999</v>
      </c>
      <c r="R297" s="484">
        <f>IFERROR(Q297/Q305,"")</f>
        <v>0.91581799543017883</v>
      </c>
      <c r="S297" s="635"/>
      <c r="T297" s="608"/>
      <c r="U297" s="484"/>
      <c r="V297" s="484"/>
      <c r="W297" s="484"/>
      <c r="X297" s="484"/>
      <c r="Y297" s="484"/>
      <c r="Z297" s="484"/>
      <c r="AA297" s="484"/>
      <c r="AB297" s="484"/>
      <c r="AC297" s="484"/>
      <c r="AD297" s="484"/>
      <c r="AE297" s="484"/>
      <c r="AF297" s="484"/>
      <c r="AG297" s="484"/>
      <c r="AH297" s="484"/>
      <c r="AI297" s="484"/>
      <c r="AJ297" s="484"/>
    </row>
    <row r="298" spans="2:36" x14ac:dyDescent="0.35">
      <c r="B298" s="30" t="str">
        <f t="shared" ref="B298:D307" si="150">B297</f>
        <v>Essential</v>
      </c>
      <c r="C298" s="30" t="str">
        <f t="shared" si="150"/>
        <v>Small business</v>
      </c>
      <c r="D298" s="30" t="str">
        <f t="shared" si="150"/>
        <v>flat rate</v>
      </c>
      <c r="E298" s="30" t="s">
        <v>19</v>
      </c>
      <c r="F298" s="258">
        <f>F297</f>
        <v>10000</v>
      </c>
      <c r="G298" s="30" t="s">
        <v>70</v>
      </c>
      <c r="H298" s="482"/>
      <c r="I298" s="482" cm="1">
        <f t="array" ref="I298">IFERROR(_xlfn.XLOOKUP(1,($B298=DistributionZone)*(I$5=Desc_FixedOrVar)*($G298=Description),valuesPY),0)</f>
        <v>0.15378802592718904</v>
      </c>
      <c r="J298" s="482">
        <f t="shared" si="147"/>
        <v>1.5378802592718905</v>
      </c>
      <c r="K298" s="484">
        <f>IFERROR(J298/J305,"")</f>
        <v>8.6923339064963392E-4</v>
      </c>
      <c r="L298" s="484"/>
      <c r="M298" s="484">
        <f t="shared" si="148"/>
        <v>-0.19621579764116659</v>
      </c>
      <c r="N298" s="563"/>
      <c r="O298" s="482"/>
      <c r="P298" s="482" cm="1">
        <f t="array" ref="P298">IFERROR(_xlfn.XLOOKUP(1,($B298=DistributionZone)*(P$5=Desc_FixedOrVar)*($G298=Description),valuesFY),0)</f>
        <v>0.12361238575222523</v>
      </c>
      <c r="Q298" s="482">
        <f t="shared" si="149"/>
        <v>1.2361238575222524</v>
      </c>
      <c r="R298" s="484">
        <f>IFERROR(Q298/Q305,"")</f>
        <v>8.1070214358310608E-4</v>
      </c>
      <c r="S298" s="484"/>
      <c r="T298" s="607"/>
      <c r="U298" s="484"/>
      <c r="V298" s="484"/>
      <c r="W298" s="484"/>
      <c r="X298" s="484"/>
      <c r="Y298" s="484"/>
      <c r="Z298" s="484"/>
      <c r="AA298" s="484"/>
      <c r="AB298" s="484"/>
      <c r="AC298" s="484"/>
      <c r="AD298" s="484"/>
      <c r="AE298" s="484"/>
      <c r="AF298" s="484"/>
      <c r="AG298" s="484"/>
      <c r="AH298" s="484"/>
      <c r="AI298" s="484"/>
      <c r="AJ298" s="484"/>
    </row>
    <row r="299" spans="2:36" x14ac:dyDescent="0.35">
      <c r="B299" s="30" t="str">
        <f t="shared" si="150"/>
        <v>Essential</v>
      </c>
      <c r="C299" s="30" t="str">
        <f t="shared" si="150"/>
        <v>Small business</v>
      </c>
      <c r="D299" s="30" t="str">
        <f t="shared" si="150"/>
        <v>flat rate</v>
      </c>
      <c r="E299" s="30" t="s">
        <v>19</v>
      </c>
      <c r="F299" s="258">
        <f t="shared" ref="F299:F305" si="151">F298</f>
        <v>10000</v>
      </c>
      <c r="G299" s="30" t="s">
        <v>77</v>
      </c>
      <c r="H299" s="482" cm="1">
        <f t="array" ref="H299">IFERROR(_xlfn.XLOOKUP(1,($B299=DistributionZone)*(H$5=Desc_FixedOrVar)*($G299=Description),valuesPY),0)*Days/7</f>
        <v>13.835244134497829</v>
      </c>
      <c r="I299" s="482" cm="1">
        <f t="array" ref="I299">IFERROR(_xlfn.XLOOKUP(1,($B299=DistributionZone)*(I$5=Desc_FixedOrVar)*($G299=Description),valuesPY),0)</f>
        <v>0.57443</v>
      </c>
      <c r="J299" s="482">
        <f t="shared" si="147"/>
        <v>19.57954413449783</v>
      </c>
      <c r="K299" s="484">
        <f>IFERROR(J299/J305,"")</f>
        <v>1.1066657129379785E-2</v>
      </c>
      <c r="L299" s="484"/>
      <c r="M299" s="484">
        <f t="shared" si="148"/>
        <v>-6.4360238718609519E-2</v>
      </c>
      <c r="N299" s="563"/>
      <c r="O299" s="482" cm="1">
        <f t="array" ref="O299">IFERROR(_xlfn.XLOOKUP(1,($B299=DistributionZone)*(O$5=Desc_FixedOrVar)*($G299=Description),valuesFY),0)*Days/7</f>
        <v>13.125399999999999</v>
      </c>
      <c r="P299" s="482" cm="1">
        <f t="array" ref="P299">IFERROR(_xlfn.XLOOKUP(1,($B299=DistributionZone)*(P$5=Desc_FixedOrVar)*($G299=Description),valuesFY),0)</f>
        <v>0.51939999999999997</v>
      </c>
      <c r="Q299" s="482">
        <f t="shared" si="149"/>
        <v>18.319399999999998</v>
      </c>
      <c r="R299" s="484">
        <f>IFERROR(Q299/Q305,"")</f>
        <v>1.2014634907965924E-2</v>
      </c>
      <c r="S299" s="484"/>
      <c r="T299" s="607"/>
      <c r="U299" s="484"/>
      <c r="V299" s="484"/>
      <c r="W299" s="484"/>
      <c r="X299" s="484"/>
      <c r="Y299" s="484"/>
      <c r="Z299" s="484"/>
      <c r="AA299" s="484"/>
      <c r="AB299" s="484"/>
      <c r="AC299" s="484"/>
      <c r="AD299" s="484"/>
      <c r="AE299" s="484"/>
      <c r="AF299" s="484"/>
      <c r="AG299" s="484"/>
      <c r="AH299" s="484"/>
      <c r="AI299" s="484"/>
      <c r="AJ299" s="484"/>
    </row>
    <row r="300" spans="2:36" x14ac:dyDescent="0.35">
      <c r="B300" s="30" t="str">
        <f t="shared" si="150"/>
        <v>Essential</v>
      </c>
      <c r="C300" s="30" t="str">
        <f t="shared" si="150"/>
        <v>Small business</v>
      </c>
      <c r="D300" s="30" t="str">
        <f t="shared" si="150"/>
        <v>flat rate</v>
      </c>
      <c r="E300" s="30" t="s">
        <v>19</v>
      </c>
      <c r="F300" s="258">
        <f t="shared" si="151"/>
        <v>10000</v>
      </c>
      <c r="G300" s="30" t="s">
        <v>71</v>
      </c>
      <c r="H300" s="482"/>
      <c r="I300" s="482" cm="1">
        <f t="array" ref="I300">IFERROR(_xlfn.XLOOKUP(1,($B300=DistributionZone)*(I$5=Desc_FixedOrVar)*($G300=Description),valuesPY),0)</f>
        <v>5.2786233739509421E-2</v>
      </c>
      <c r="J300" s="482">
        <f t="shared" si="147"/>
        <v>0.52786233739509414</v>
      </c>
      <c r="K300" s="484">
        <f>IFERROR(J300/J305,"")</f>
        <v>2.9835584829433629E-4</v>
      </c>
      <c r="L300" s="484"/>
      <c r="M300" s="484">
        <f t="shared" si="148"/>
        <v>1.413017537285187</v>
      </c>
      <c r="N300" s="563"/>
      <c r="O300" s="482"/>
      <c r="P300" s="482" cm="1">
        <f t="array" ref="P300">IFERROR(_xlfn.XLOOKUP(1,($B300=DistributionZone)*(P$5=Desc_FixedOrVar)*($G300=Description),valuesFY),0)</f>
        <v>0.12737410774067126</v>
      </c>
      <c r="Q300" s="482">
        <f t="shared" si="149"/>
        <v>1.2737410774067126</v>
      </c>
      <c r="R300" s="484">
        <f>IFERROR(Q300/Q305,"")</f>
        <v>8.353731024116957E-4</v>
      </c>
      <c r="S300" s="484"/>
      <c r="T300" s="607"/>
      <c r="U300" s="484"/>
      <c r="V300" s="484"/>
      <c r="W300" s="484"/>
      <c r="X300" s="484"/>
      <c r="Y300" s="484"/>
      <c r="Z300" s="484"/>
      <c r="AA300" s="484"/>
      <c r="AB300" s="484"/>
      <c r="AC300" s="484"/>
      <c r="AD300" s="484"/>
      <c r="AE300" s="484"/>
      <c r="AF300" s="484"/>
      <c r="AG300" s="484"/>
      <c r="AH300" s="484"/>
      <c r="AI300" s="484"/>
      <c r="AJ300" s="484"/>
    </row>
    <row r="301" spans="2:36" x14ac:dyDescent="0.35">
      <c r="B301" s="30" t="str">
        <f t="shared" si="150"/>
        <v>Essential</v>
      </c>
      <c r="C301" s="30" t="str">
        <f t="shared" si="150"/>
        <v>Small business</v>
      </c>
      <c r="D301" s="30" t="str">
        <f t="shared" si="150"/>
        <v>flat rate</v>
      </c>
      <c r="E301" s="30" t="s">
        <v>19</v>
      </c>
      <c r="F301" s="258">
        <f t="shared" si="151"/>
        <v>10000</v>
      </c>
      <c r="G301" s="30" t="s">
        <v>173</v>
      </c>
      <c r="H301" s="482"/>
      <c r="I301" s="482" cm="1">
        <f t="array" ref="I301">IFERROR(_xlfn.XLOOKUP(1,($B301=DistributionZone)*(I$5=Desc_FixedOrVar)*($G301=Description),valuesPY),0)</f>
        <v>0.11507709849820914</v>
      </c>
      <c r="J301" s="482">
        <f t="shared" si="147"/>
        <v>1.1507709849820915</v>
      </c>
      <c r="K301" s="484">
        <f>IFERROR(J301/J306,"")</f>
        <v>6.5043332151931577E-3</v>
      </c>
      <c r="L301" s="484"/>
      <c r="M301" s="484">
        <f t="shared" si="148"/>
        <v>-1</v>
      </c>
      <c r="N301" s="563"/>
      <c r="O301" s="482"/>
      <c r="P301" s="482" cm="1">
        <f t="array" ref="P301">IFERROR(_xlfn.XLOOKUP(1,($B301=DistributionZone)*(P$5=Desc_FixedOrVar)*($G301=Description),valuesFY),0)</f>
        <v>0</v>
      </c>
      <c r="Q301" s="482">
        <f t="shared" si="149"/>
        <v>0</v>
      </c>
      <c r="R301" s="484">
        <f>IFERROR(Q301/Q305,"")</f>
        <v>0</v>
      </c>
      <c r="S301" s="484"/>
      <c r="T301" s="607"/>
      <c r="U301" s="484"/>
      <c r="V301" s="484"/>
      <c r="W301" s="484"/>
      <c r="X301" s="484"/>
      <c r="Y301" s="484"/>
      <c r="Z301" s="484"/>
      <c r="AA301" s="484"/>
      <c r="AB301" s="484"/>
      <c r="AC301" s="484"/>
      <c r="AD301" s="484"/>
      <c r="AE301" s="484"/>
      <c r="AF301" s="484"/>
      <c r="AG301" s="484"/>
      <c r="AH301" s="484"/>
      <c r="AI301" s="484"/>
      <c r="AJ301" s="484"/>
    </row>
    <row r="302" spans="2:36" x14ac:dyDescent="0.35">
      <c r="B302" s="30" t="str">
        <f t="shared" si="150"/>
        <v>Essential</v>
      </c>
      <c r="C302" s="30" t="str">
        <f t="shared" si="150"/>
        <v>Small business</v>
      </c>
      <c r="D302" s="30" t="str">
        <f t="shared" si="150"/>
        <v>flat rate</v>
      </c>
      <c r="E302" s="30" t="s">
        <v>19</v>
      </c>
      <c r="F302" s="258">
        <f t="shared" si="151"/>
        <v>10000</v>
      </c>
      <c r="G302" s="30" t="s">
        <v>130</v>
      </c>
      <c r="H302" s="482"/>
      <c r="I302" s="482" cm="1">
        <f t="array" ref="I302">IFERROR(_xlfn.XLOOKUP(1,($B302=DistributionZone)*(I$5=Desc_FixedOrVar)*($G302=Description),valuesPY),0)</f>
        <v>2.8459749804305119</v>
      </c>
      <c r="J302" s="482">
        <f t="shared" si="147"/>
        <v>28.459749804305119</v>
      </c>
      <c r="K302" s="484">
        <f>IFERROR(J302/J305,"")</f>
        <v>1.6085884886219086E-2</v>
      </c>
      <c r="L302" s="484"/>
      <c r="M302" s="484">
        <f t="shared" si="148"/>
        <v>-7.9260751472302493E-2</v>
      </c>
      <c r="N302" s="563"/>
      <c r="O302" s="482"/>
      <c r="P302" s="482" cm="1">
        <f t="array" ref="P302">IFERROR(_xlfn.XLOOKUP(1,($B302=DistributionZone)*(P$5=Desc_FixedOrVar)*($G302=Description),valuesFY),0)</f>
        <v>2.6204008648102182</v>
      </c>
      <c r="Q302" s="482">
        <f t="shared" si="149"/>
        <v>26.204008648102182</v>
      </c>
      <c r="R302" s="484">
        <f>IFERROR(Q302/Q305,"")</f>
        <v>1.7185693692595254E-2</v>
      </c>
      <c r="S302" s="484"/>
      <c r="T302" s="607"/>
      <c r="U302" s="484"/>
      <c r="V302" s="484"/>
      <c r="W302" s="484"/>
      <c r="X302" s="484"/>
      <c r="Y302" s="484"/>
      <c r="Z302" s="484"/>
      <c r="AA302" s="484"/>
      <c r="AB302" s="484"/>
      <c r="AC302" s="484"/>
      <c r="AD302" s="484"/>
      <c r="AE302" s="484"/>
      <c r="AF302" s="484"/>
      <c r="AG302" s="484"/>
      <c r="AH302" s="484"/>
      <c r="AI302" s="484"/>
      <c r="AJ302" s="484"/>
    </row>
    <row r="303" spans="2:36" x14ac:dyDescent="0.35">
      <c r="B303" s="30" t="str">
        <f t="shared" si="150"/>
        <v>Essential</v>
      </c>
      <c r="C303" s="30" t="str">
        <f t="shared" si="150"/>
        <v>Small business</v>
      </c>
      <c r="D303" s="30" t="str">
        <f t="shared" si="150"/>
        <v>flat rate</v>
      </c>
      <c r="E303" s="30" t="s">
        <v>19</v>
      </c>
      <c r="F303" s="258">
        <f t="shared" si="151"/>
        <v>10000</v>
      </c>
      <c r="G303" s="30" t="s">
        <v>302</v>
      </c>
      <c r="H303" s="482"/>
      <c r="I303" s="482"/>
      <c r="J303" s="482"/>
      <c r="K303" s="484"/>
      <c r="L303" s="484"/>
      <c r="M303" s="484"/>
      <c r="N303" s="563"/>
      <c r="O303" s="482"/>
      <c r="P303" s="482" cm="1">
        <f t="array" ref="P303">IFERROR(_xlfn.XLOOKUP(1,($B303=DistributionZone)*(P$5=Desc_FixedOrVar)*($G303=Description)*($E303=tariffType),valuesFY),0)</f>
        <v>1.5680000000000007</v>
      </c>
      <c r="Q303" s="482">
        <f t="shared" ref="Q303" si="152">O303+P303*$F303/1000</f>
        <v>15.680000000000007</v>
      </c>
      <c r="R303" s="484">
        <f>IFERROR(Q303/Q305,"")</f>
        <v>1.0283605104801785E-2</v>
      </c>
      <c r="S303" s="484"/>
      <c r="T303" s="607"/>
      <c r="U303" s="484"/>
      <c r="V303" s="484"/>
      <c r="W303" s="484"/>
      <c r="X303" s="484"/>
      <c r="Y303" s="484"/>
      <c r="Z303" s="484"/>
      <c r="AA303" s="484"/>
      <c r="AB303" s="484"/>
      <c r="AC303" s="484"/>
      <c r="AD303" s="484"/>
      <c r="AE303" s="484"/>
      <c r="AF303" s="484"/>
      <c r="AG303" s="484"/>
      <c r="AH303" s="484"/>
      <c r="AI303" s="484"/>
      <c r="AJ303" s="484"/>
    </row>
    <row r="304" spans="2:36" x14ac:dyDescent="0.35">
      <c r="B304" s="30" t="str">
        <f>B302</f>
        <v>Essential</v>
      </c>
      <c r="C304" s="30" t="str">
        <f>C302</f>
        <v>Small business</v>
      </c>
      <c r="D304" s="30" t="str">
        <f>D302</f>
        <v>flat rate</v>
      </c>
      <c r="E304" s="30" t="s">
        <v>19</v>
      </c>
      <c r="F304" s="258">
        <f>F302</f>
        <v>10000</v>
      </c>
      <c r="G304" s="30" t="s">
        <v>72</v>
      </c>
      <c r="H304" s="482"/>
      <c r="I304" s="482" cm="1">
        <f t="array" ref="I304">IFERROR(_xlfn.XLOOKUP(1,($B304=DistributionZone)*($C304=CustomerType)*($E304=tariffType)*($G304=Description),valuesPY),0)*SUM(I297:I302)</f>
        <v>6.628163298161394</v>
      </c>
      <c r="J304" s="482">
        <f t="shared" si="147"/>
        <v>66.281632981613939</v>
      </c>
      <c r="K304" s="484">
        <f>IFERROR(J304/J305,"")</f>
        <v>3.746339042135851E-2</v>
      </c>
      <c r="L304" s="484"/>
      <c r="M304" s="484">
        <f t="shared" si="148"/>
        <v>-9.6225233732717408E-3</v>
      </c>
      <c r="N304" s="563"/>
      <c r="O304" s="482"/>
      <c r="P304" s="482" cm="1">
        <f t="array" ref="P304">IFERROR(_xlfn.XLOOKUP(1,($B304=DistributionZone)*($C304=CustomerType)*($E304=tariffType)*($G304=Description),valuesFY),0)*SUM(P297:P303)</f>
        <v>6.5643836419029737</v>
      </c>
      <c r="Q304" s="482">
        <f t="shared" si="149"/>
        <v>65.643836419029739</v>
      </c>
      <c r="R304" s="484">
        <f>IFERROR(Q304/Q305,"")</f>
        <v>4.3051995618463471E-2</v>
      </c>
      <c r="S304" s="484"/>
      <c r="T304" s="607"/>
      <c r="U304" s="484"/>
      <c r="V304" s="484"/>
      <c r="W304" s="484"/>
      <c r="X304" s="484"/>
      <c r="Y304" s="484"/>
      <c r="Z304" s="484"/>
      <c r="AA304" s="484"/>
      <c r="AB304" s="484"/>
      <c r="AC304" s="484"/>
      <c r="AD304" s="484"/>
      <c r="AE304" s="484"/>
      <c r="AF304" s="484"/>
      <c r="AG304" s="484"/>
      <c r="AH304" s="484"/>
      <c r="AI304" s="484"/>
      <c r="AJ304" s="484"/>
    </row>
    <row r="305" spans="2:36" x14ac:dyDescent="0.35">
      <c r="B305" s="30" t="str">
        <f t="shared" si="150"/>
        <v>Essential</v>
      </c>
      <c r="C305" s="30" t="str">
        <f t="shared" si="150"/>
        <v>Small business</v>
      </c>
      <c r="D305" s="30" t="str">
        <f t="shared" si="150"/>
        <v>flat rate</v>
      </c>
      <c r="E305" s="30" t="s">
        <v>19</v>
      </c>
      <c r="F305" s="258">
        <f t="shared" si="151"/>
        <v>10000</v>
      </c>
      <c r="G305" s="64" t="s">
        <v>55</v>
      </c>
      <c r="H305" s="487">
        <f>SUM(H297:H304)</f>
        <v>13.835244134497829</v>
      </c>
      <c r="I305" s="487">
        <f>SUM(I297:I304)</f>
        <v>175.54021963675677</v>
      </c>
      <c r="J305" s="487">
        <f>SUM(J297:J304)</f>
        <v>1769.2374405020657</v>
      </c>
      <c r="K305" s="564"/>
      <c r="L305" s="565"/>
      <c r="M305" s="564">
        <f t="shared" si="148"/>
        <v>-0.13818401357741306</v>
      </c>
      <c r="N305" s="566"/>
      <c r="O305" s="487">
        <f>SUM(O299:O304)</f>
        <v>13.125399999999999</v>
      </c>
      <c r="P305" s="487">
        <f>SUM(P297:P304)</f>
        <v>151.16317100020609</v>
      </c>
      <c r="Q305" s="487">
        <f>SUM(Q297:Q304)</f>
        <v>1524.7571100020607</v>
      </c>
      <c r="R305" s="484"/>
      <c r="S305" s="484"/>
      <c r="T305" s="607"/>
      <c r="U305" s="484"/>
      <c r="V305" s="484"/>
      <c r="W305" s="484"/>
      <c r="X305" s="484"/>
      <c r="Y305" s="484"/>
      <c r="Z305" s="484"/>
      <c r="AA305" s="484"/>
      <c r="AB305" s="484"/>
      <c r="AC305" s="484"/>
      <c r="AD305" s="484"/>
      <c r="AE305" s="484"/>
      <c r="AF305" s="484"/>
      <c r="AG305" s="484"/>
      <c r="AH305" s="484"/>
      <c r="AI305" s="484"/>
      <c r="AJ305" s="484"/>
    </row>
    <row r="306" spans="2:36" x14ac:dyDescent="0.35">
      <c r="B306" s="30" t="str">
        <f t="shared" si="150"/>
        <v>Essential</v>
      </c>
      <c r="C306" s="30" t="str">
        <f t="shared" si="150"/>
        <v>Small business</v>
      </c>
      <c r="D306" s="30" t="str">
        <f t="shared" si="150"/>
        <v>flat rate</v>
      </c>
      <c r="F306" s="258"/>
      <c r="G306" s="30" t="s">
        <v>38</v>
      </c>
      <c r="H306" s="482"/>
      <c r="I306" s="632"/>
      <c r="J306" s="482">
        <f>J305*GST</f>
        <v>176.92374405020658</v>
      </c>
      <c r="K306" s="484"/>
      <c r="L306" s="567"/>
      <c r="M306" s="484"/>
      <c r="N306" s="568"/>
      <c r="O306" s="482"/>
      <c r="P306" s="482"/>
      <c r="Q306" s="482">
        <f>Q305*GST</f>
        <v>152.47571100020608</v>
      </c>
      <c r="R306" s="564"/>
      <c r="S306" s="564"/>
      <c r="T306" s="611"/>
      <c r="U306" s="564"/>
      <c r="V306" s="564"/>
      <c r="W306" s="564"/>
      <c r="X306" s="564"/>
      <c r="Y306" s="564"/>
      <c r="Z306" s="564"/>
      <c r="AA306" s="564"/>
      <c r="AB306" s="564"/>
      <c r="AC306" s="564"/>
      <c r="AD306" s="564"/>
      <c r="AE306" s="564"/>
      <c r="AF306" s="564"/>
      <c r="AG306" s="564"/>
      <c r="AH306" s="564"/>
      <c r="AI306" s="564"/>
      <c r="AJ306" s="564"/>
    </row>
    <row r="307" spans="2:36" x14ac:dyDescent="0.35">
      <c r="B307" s="30" t="str">
        <f t="shared" si="150"/>
        <v>Essential</v>
      </c>
      <c r="C307" s="30" t="str">
        <f t="shared" si="150"/>
        <v>Small business</v>
      </c>
      <c r="D307" s="30" t="str">
        <f t="shared" si="150"/>
        <v>flat rate</v>
      </c>
      <c r="E307" s="30" t="s">
        <v>19</v>
      </c>
      <c r="F307" s="258"/>
      <c r="G307" s="64" t="s">
        <v>79</v>
      </c>
      <c r="H307" s="487"/>
      <c r="I307" s="487"/>
      <c r="J307" s="487">
        <f>SUM(J305:J306)</f>
        <v>1946.1611845522723</v>
      </c>
      <c r="K307" s="564"/>
      <c r="L307" s="565"/>
      <c r="M307" s="564">
        <f>IF(OR(J307=0,Q307=""),"",Q307/J307-1)</f>
        <v>-0.13818401357741306</v>
      </c>
      <c r="N307" s="566"/>
      <c r="O307" s="487"/>
      <c r="P307" s="487"/>
      <c r="Q307" s="487">
        <f>SUM(Q305:Q306)</f>
        <v>1677.2328210022667</v>
      </c>
      <c r="R307" s="564"/>
      <c r="S307" s="564"/>
      <c r="T307" s="611"/>
      <c r="U307" s="596"/>
      <c r="V307" s="564"/>
      <c r="W307" s="564"/>
      <c r="X307" s="564"/>
      <c r="Y307" s="564"/>
      <c r="Z307" s="564"/>
      <c r="AA307" s="564"/>
      <c r="AB307" s="564"/>
      <c r="AC307" s="564"/>
      <c r="AD307" s="564"/>
      <c r="AE307" s="564"/>
      <c r="AF307" s="564"/>
      <c r="AG307" s="564"/>
      <c r="AH307" s="564"/>
      <c r="AI307" s="564"/>
      <c r="AJ307" s="564"/>
    </row>
    <row r="308" spans="2:36" x14ac:dyDescent="0.35">
      <c r="B308" s="636"/>
      <c r="C308" s="636"/>
      <c r="D308" s="636"/>
      <c r="F308" s="258"/>
      <c r="H308" s="482"/>
      <c r="I308" s="482"/>
      <c r="J308" s="482"/>
      <c r="K308" s="484"/>
      <c r="L308" s="567"/>
      <c r="M308" s="484"/>
      <c r="N308" s="568"/>
      <c r="O308" s="482"/>
      <c r="P308" s="482"/>
      <c r="Q308" s="482"/>
      <c r="R308" s="484"/>
      <c r="S308" s="484"/>
      <c r="T308" s="607"/>
      <c r="U308" s="484"/>
      <c r="V308" s="484"/>
      <c r="W308" s="484"/>
      <c r="X308" s="484"/>
      <c r="Y308" s="484"/>
      <c r="Z308" s="484"/>
      <c r="AA308" s="484"/>
      <c r="AB308" s="484"/>
      <c r="AC308" s="484"/>
      <c r="AD308" s="484"/>
      <c r="AE308" s="484"/>
      <c r="AF308" s="484"/>
      <c r="AG308" s="484"/>
      <c r="AH308" s="484"/>
      <c r="AI308" s="484"/>
      <c r="AJ308" s="484"/>
    </row>
    <row r="309" spans="2:36" s="570" customFormat="1" x14ac:dyDescent="0.35">
      <c r="B309" s="571" t="s">
        <v>3</v>
      </c>
      <c r="C309" s="571" t="s">
        <v>13</v>
      </c>
      <c r="D309" s="571" t="s">
        <v>272</v>
      </c>
      <c r="F309" s="485"/>
      <c r="H309" s="574"/>
      <c r="I309" s="574"/>
      <c r="J309" s="574"/>
      <c r="K309" s="575"/>
      <c r="L309" s="581"/>
      <c r="M309" s="575"/>
      <c r="N309" s="582"/>
      <c r="O309" s="574"/>
      <c r="P309" s="574"/>
      <c r="Q309" s="574"/>
      <c r="R309" s="575"/>
      <c r="S309" s="575"/>
      <c r="T309" s="612"/>
      <c r="U309" s="575"/>
      <c r="V309" s="575"/>
      <c r="W309" s="575"/>
      <c r="X309" s="575"/>
      <c r="Y309" s="575"/>
      <c r="Z309" s="575"/>
      <c r="AA309" s="575"/>
      <c r="AB309" s="575"/>
      <c r="AC309" s="575"/>
      <c r="AD309" s="575"/>
      <c r="AE309" s="575"/>
      <c r="AF309" s="575"/>
      <c r="AG309" s="575"/>
      <c r="AH309" s="575"/>
      <c r="AI309" s="575"/>
      <c r="AJ309" s="575"/>
    </row>
    <row r="310" spans="2:36" s="570" customFormat="1" x14ac:dyDescent="0.35">
      <c r="B310" s="570" t="str">
        <f t="shared" ref="B310:B330" si="153">B309</f>
        <v>Essential</v>
      </c>
      <c r="C310" s="570" t="str">
        <f t="shared" ref="C310:C330" si="154">C309</f>
        <v>Small business</v>
      </c>
      <c r="D310" s="570" t="str">
        <f t="shared" ref="D310:D330" si="155">D309</f>
        <v>time of use</v>
      </c>
      <c r="E310" s="570" t="s">
        <v>279</v>
      </c>
      <c r="F310" s="485" cm="1">
        <f t="array" ref="F310">_xlfn.XLOOKUP(1,($B310=DistributionZone)*($C310=CustomerType)*($D310=tariffL2)*($F$5=Description),valuesPY)*_xlfn.XLOOKUP(1,($B310=DistributionZone)*($C310=CustomerType)*($D310=tariffL2)*($E310=tariffType)*("Usage proportion"=Description),valuesFY)</f>
        <v>5608.19842747042</v>
      </c>
      <c r="G310" s="570" t="s">
        <v>69</v>
      </c>
      <c r="H310" s="574"/>
      <c r="I310" s="574" cm="1">
        <f t="array" ref="I310">IFERROR(_xlfn.XLOOKUP(1,($B310=DistributionZone)*($E310=tariffType)*("WEC scale"=Description),valuesPY),0)*$I$297</f>
        <v>0</v>
      </c>
      <c r="J310" s="574">
        <f t="shared" ref="J310:J317" si="156">H310+I310*F310/1000</f>
        <v>0</v>
      </c>
      <c r="K310" s="575" t="str">
        <f>IFERROR(J310/J318,"")</f>
        <v/>
      </c>
      <c r="L310" s="575"/>
      <c r="M310" s="575" t="str">
        <f t="shared" ref="M310:M318" si="157">IF(OR(J310=0,Q310=""),"",Q310/J310-1)</f>
        <v/>
      </c>
      <c r="N310" s="576"/>
      <c r="O310" s="574"/>
      <c r="P310" s="574" cm="1">
        <f t="array" ref="P310">IFERROR(_xlfn.XLOOKUP(1,($B310=DistributionZone)*(C310=CustomerType)*($E310=tariffType)*("WEC"=Description),valuesFY),0)</f>
        <v>123.96815316178113</v>
      </c>
      <c r="Q310" s="574">
        <f t="shared" ref="Q310:Q317" si="158">O310+P310*$F310/1000</f>
        <v>695.23800161831309</v>
      </c>
      <c r="R310" s="575">
        <f>IFERROR(Q310/Q318,"")</f>
        <v>0.90408341085965993</v>
      </c>
      <c r="S310" s="637"/>
      <c r="T310" s="616"/>
      <c r="U310" s="603"/>
      <c r="V310" s="575"/>
      <c r="W310" s="575"/>
      <c r="X310" s="575"/>
      <c r="Y310" s="575"/>
      <c r="Z310" s="575"/>
      <c r="AA310" s="575"/>
      <c r="AB310" s="575"/>
      <c r="AC310" s="575"/>
      <c r="AD310" s="575"/>
      <c r="AE310" s="575"/>
      <c r="AF310" s="575"/>
      <c r="AG310" s="575"/>
      <c r="AH310" s="575"/>
      <c r="AI310" s="575"/>
      <c r="AJ310" s="575"/>
    </row>
    <row r="311" spans="2:36" s="570" customFormat="1" x14ac:dyDescent="0.35">
      <c r="B311" s="570" t="str">
        <f t="shared" si="153"/>
        <v>Essential</v>
      </c>
      <c r="C311" s="570" t="str">
        <f t="shared" si="154"/>
        <v>Small business</v>
      </c>
      <c r="D311" s="570" t="str">
        <f t="shared" si="155"/>
        <v>time of use</v>
      </c>
      <c r="E311" s="570" t="s">
        <v>279</v>
      </c>
      <c r="F311" s="485" cm="1">
        <f t="array" ref="F311">_xlfn.XLOOKUP(1,($B311=DistributionZone)*($C311=CustomerType)*($D311=tariffL2)*($F$5=Description),valuesPY)*_xlfn.XLOOKUP(1,($B311=DistributionZone)*($C311=CustomerType)*($D311=tariffL2)*($E311=tariffType)*("Usage proportion"=Description),valuesFY)</f>
        <v>5608.19842747042</v>
      </c>
      <c r="G311" s="570" t="s">
        <v>70</v>
      </c>
      <c r="H311" s="574"/>
      <c r="I311" s="574" cm="1">
        <f t="array" ref="I311">IFERROR(_xlfn.XLOOKUP(1,($B311=DistributionZone)*(I$5=Desc_FixedOrVar)*($G311=Description),valuesPY),0)</f>
        <v>0.15378802592718904</v>
      </c>
      <c r="J311" s="574">
        <f t="shared" si="156"/>
        <v>0.86247376516864172</v>
      </c>
      <c r="K311" s="575" t="str">
        <f>IFERROR(J311/J318,"")</f>
        <v/>
      </c>
      <c r="L311" s="575"/>
      <c r="M311" s="575">
        <f t="shared" si="157"/>
        <v>-0.19621579764116659</v>
      </c>
      <c r="N311" s="576"/>
      <c r="O311" s="574"/>
      <c r="P311" s="574" cm="1">
        <f t="array" ref="P311">IFERROR(_xlfn.XLOOKUP(1,($B311=DistributionZone)*(P$5=Desc_FixedOrVar)*($G311=Description),valuesFY),0)</f>
        <v>0.12361238575222523</v>
      </c>
      <c r="Q311" s="574">
        <f t="shared" si="158"/>
        <v>0.69324278739149647</v>
      </c>
      <c r="R311" s="575">
        <f>IFERROR(Q311/Q318,"")</f>
        <v>9.0148884600650561E-4</v>
      </c>
      <c r="S311" s="637"/>
      <c r="T311" s="616"/>
      <c r="U311" s="603"/>
      <c r="V311" s="575"/>
      <c r="W311" s="575"/>
      <c r="X311" s="575"/>
      <c r="Y311" s="575"/>
      <c r="Z311" s="575"/>
      <c r="AA311" s="575"/>
      <c r="AB311" s="575"/>
      <c r="AC311" s="575"/>
      <c r="AD311" s="575"/>
      <c r="AE311" s="575"/>
      <c r="AF311" s="575"/>
      <c r="AG311" s="575"/>
      <c r="AH311" s="575"/>
      <c r="AI311" s="575"/>
      <c r="AJ311" s="575"/>
    </row>
    <row r="312" spans="2:36" s="570" customFormat="1" x14ac:dyDescent="0.35">
      <c r="B312" s="570" t="str">
        <f t="shared" si="153"/>
        <v>Essential</v>
      </c>
      <c r="C312" s="570" t="str">
        <f t="shared" si="154"/>
        <v>Small business</v>
      </c>
      <c r="D312" s="570" t="str">
        <f t="shared" si="155"/>
        <v>time of use</v>
      </c>
      <c r="E312" s="570" t="s">
        <v>279</v>
      </c>
      <c r="F312" s="485" cm="1">
        <f t="array" ref="F312">_xlfn.XLOOKUP(1,($B312=DistributionZone)*($C312=CustomerType)*($D312=tariffL2)*($F$5=Description),valuesPY)*_xlfn.XLOOKUP(1,($B312=DistributionZone)*($C312=CustomerType)*($D312=tariffL2)*($E312=tariffType)*("Usage proportion"=Description),valuesFY)</f>
        <v>5608.19842747042</v>
      </c>
      <c r="G312" s="570" t="s">
        <v>77</v>
      </c>
      <c r="H312" s="574" cm="1">
        <f t="array" ref="H312">IFERROR(_xlfn.XLOOKUP(1,($B312=DistributionZone)*(H$5=Desc_FixedOrVar)*($G312=Description),valuesPY),0)*Days/7</f>
        <v>13.835244134497829</v>
      </c>
      <c r="I312" s="574" cm="1">
        <f t="array" ref="I312">IFERROR(_xlfn.XLOOKUP(1,($B312=DistributionZone)*(I$5=Desc_FixedOrVar)*($G312=Description),valuesPY),0)</f>
        <v>0.57443</v>
      </c>
      <c r="J312" s="574">
        <f t="shared" si="156"/>
        <v>17.056761557189663</v>
      </c>
      <c r="K312" s="575" t="str">
        <f>IFERROR(J312/J318,"")</f>
        <v/>
      </c>
      <c r="L312" s="575"/>
      <c r="M312" s="575">
        <f t="shared" si="157"/>
        <v>-5.971023810977949E-2</v>
      </c>
      <c r="N312" s="576"/>
      <c r="O312" s="574" cm="1">
        <f t="array" ref="O312">IFERROR(_xlfn.XLOOKUP(1,($B312=DistributionZone)*(O$5=Desc_FixedOrVar)*($G312=Description),valuesFY),0)*Days/7</f>
        <v>13.125399999999999</v>
      </c>
      <c r="P312" s="574" cm="1">
        <f t="array" ref="P312">IFERROR(_xlfn.XLOOKUP(1,($B312=DistributionZone)*(P$5=Desc_FixedOrVar)*($G312=Description),valuesFY),0)</f>
        <v>0.51939999999999997</v>
      </c>
      <c r="Q312" s="574">
        <f t="shared" si="158"/>
        <v>16.038298263228135</v>
      </c>
      <c r="R312" s="575">
        <f>IFERROR(Q312/Q318,"")</f>
        <v>2.085610879217209E-2</v>
      </c>
      <c r="S312" s="637"/>
      <c r="T312" s="616"/>
      <c r="U312" s="603"/>
      <c r="V312" s="575"/>
      <c r="W312" s="575"/>
      <c r="X312" s="575"/>
      <c r="Y312" s="575"/>
      <c r="Z312" s="575"/>
      <c r="AA312" s="575"/>
      <c r="AB312" s="575"/>
      <c r="AC312" s="575"/>
      <c r="AD312" s="575"/>
      <c r="AE312" s="575"/>
      <c r="AF312" s="575"/>
      <c r="AG312" s="575"/>
      <c r="AH312" s="575"/>
      <c r="AI312" s="575"/>
      <c r="AJ312" s="575"/>
    </row>
    <row r="313" spans="2:36" s="570" customFormat="1" x14ac:dyDescent="0.35">
      <c r="B313" s="570" t="str">
        <f t="shared" si="153"/>
        <v>Essential</v>
      </c>
      <c r="C313" s="570" t="str">
        <f t="shared" si="154"/>
        <v>Small business</v>
      </c>
      <c r="D313" s="570" t="str">
        <f t="shared" si="155"/>
        <v>time of use</v>
      </c>
      <c r="E313" s="570" t="s">
        <v>279</v>
      </c>
      <c r="F313" s="485" cm="1">
        <f t="array" ref="F313">_xlfn.XLOOKUP(1,($B313=DistributionZone)*($C313=CustomerType)*($D313=tariffL2)*($F$5=Description),valuesPY)*_xlfn.XLOOKUP(1,($B313=DistributionZone)*($C313=CustomerType)*($D313=tariffL2)*($E313=tariffType)*("Usage proportion"=Description),valuesFY)</f>
        <v>5608.19842747042</v>
      </c>
      <c r="G313" s="570" t="s">
        <v>71</v>
      </c>
      <c r="H313" s="574"/>
      <c r="I313" s="574" cm="1">
        <f t="array" ref="I313">IFERROR(_xlfn.XLOOKUP(1,($B313=DistributionZone)*(I$5=Desc_FixedOrVar)*($G313=Description),valuesPY),0)</f>
        <v>5.2786233739509421E-2</v>
      </c>
      <c r="J313" s="574">
        <f t="shared" si="156"/>
        <v>0.29603567305000272</v>
      </c>
      <c r="K313" s="575" t="str">
        <f>IFERROR(J313/J318,"")</f>
        <v/>
      </c>
      <c r="L313" s="575"/>
      <c r="M313" s="575">
        <f t="shared" si="157"/>
        <v>1.4130175372851874</v>
      </c>
      <c r="N313" s="576"/>
      <c r="O313" s="574"/>
      <c r="P313" s="574" cm="1">
        <f t="array" ref="P313">IFERROR(_xlfn.XLOOKUP(1,($B313=DistributionZone)*(P$5=Desc_FixedOrVar)*($G313=Description),valuesFY),0)</f>
        <v>0.12737410774067126</v>
      </c>
      <c r="Q313" s="574">
        <f t="shared" si="158"/>
        <v>0.71433927073168046</v>
      </c>
      <c r="R313" s="575">
        <f>IFERROR(Q313/Q318,"")</f>
        <v>9.2892258894193374E-4</v>
      </c>
      <c r="S313" s="575"/>
      <c r="T313" s="612"/>
      <c r="U313" s="575"/>
      <c r="V313" s="575"/>
      <c r="W313" s="575"/>
      <c r="X313" s="575"/>
      <c r="Y313" s="575"/>
      <c r="Z313" s="575"/>
      <c r="AA313" s="575"/>
      <c r="AB313" s="575"/>
      <c r="AC313" s="575"/>
      <c r="AD313" s="575"/>
      <c r="AE313" s="575"/>
      <c r="AF313" s="575"/>
      <c r="AG313" s="575"/>
      <c r="AH313" s="575"/>
      <c r="AI313" s="575"/>
      <c r="AJ313" s="575"/>
    </row>
    <row r="314" spans="2:36" s="570" customFormat="1" x14ac:dyDescent="0.35">
      <c r="B314" s="570" t="str">
        <f t="shared" si="153"/>
        <v>Essential</v>
      </c>
      <c r="C314" s="570" t="str">
        <f t="shared" si="154"/>
        <v>Small business</v>
      </c>
      <c r="D314" s="570" t="str">
        <f t="shared" si="155"/>
        <v>time of use</v>
      </c>
      <c r="E314" s="570" t="s">
        <v>279</v>
      </c>
      <c r="F314" s="485" cm="1">
        <f t="array" ref="F314">_xlfn.XLOOKUP(1,($B314=DistributionZone)*($C314=CustomerType)*($D314=tariffL2)*($F$5=Description),valuesPY)*_xlfn.XLOOKUP(1,($B314=DistributionZone)*($C314=CustomerType)*($D314=tariffL2)*($E314=tariffType)*("Usage proportion"=Description),valuesFY)</f>
        <v>5608.19842747042</v>
      </c>
      <c r="G314" s="570" t="s">
        <v>173</v>
      </c>
      <c r="H314" s="574"/>
      <c r="I314" s="574" cm="1">
        <f t="array" ref="I314">IFERROR(_xlfn.XLOOKUP(1,($B314=DistributionZone)*(I$5=Desc_FixedOrVar)*($G314=Description),valuesPY),0)</f>
        <v>0.11507709849820914</v>
      </c>
      <c r="J314" s="574">
        <f t="shared" si="156"/>
        <v>0.64537520283551508</v>
      </c>
      <c r="K314" s="575" t="str">
        <f>IFERROR(J314/J318,"")</f>
        <v/>
      </c>
      <c r="L314" s="575"/>
      <c r="M314" s="575">
        <f t="shared" si="157"/>
        <v>-1</v>
      </c>
      <c r="N314" s="576"/>
      <c r="O314" s="574"/>
      <c r="P314" s="574" cm="1">
        <f t="array" ref="P314">IFERROR(_xlfn.XLOOKUP(1,($B314=DistributionZone)*(P$5=Desc_FixedOrVar)*($G314=Description),valuesFY),0)</f>
        <v>0</v>
      </c>
      <c r="Q314" s="574">
        <f t="shared" si="158"/>
        <v>0</v>
      </c>
      <c r="R314" s="575">
        <f>IFERROR(Q314/Q318,"")</f>
        <v>0</v>
      </c>
      <c r="S314" s="575"/>
      <c r="T314" s="612"/>
      <c r="U314" s="603"/>
      <c r="V314" s="575"/>
      <c r="W314" s="575"/>
      <c r="X314" s="575"/>
      <c r="Y314" s="575"/>
      <c r="Z314" s="575"/>
      <c r="AA314" s="575"/>
      <c r="AB314" s="575"/>
      <c r="AC314" s="575"/>
      <c r="AD314" s="575"/>
      <c r="AE314" s="575"/>
      <c r="AF314" s="575"/>
      <c r="AG314" s="575"/>
      <c r="AH314" s="575"/>
      <c r="AI314" s="575"/>
      <c r="AJ314" s="575"/>
    </row>
    <row r="315" spans="2:36" s="570" customFormat="1" x14ac:dyDescent="0.35">
      <c r="B315" s="570" t="str">
        <f t="shared" si="153"/>
        <v>Essential</v>
      </c>
      <c r="C315" s="570" t="str">
        <f t="shared" si="154"/>
        <v>Small business</v>
      </c>
      <c r="D315" s="570" t="str">
        <f t="shared" si="155"/>
        <v>time of use</v>
      </c>
      <c r="E315" s="570" t="s">
        <v>279</v>
      </c>
      <c r="F315" s="485" cm="1">
        <f t="array" ref="F315">_xlfn.XLOOKUP(1,($B315=DistributionZone)*($C315=CustomerType)*($D315=tariffL2)*($F$5=Description),valuesPY)*_xlfn.XLOOKUP(1,($B315=DistributionZone)*($C315=CustomerType)*($D315=tariffL2)*($E315=tariffType)*("Usage proportion"=Description),valuesFY)</f>
        <v>5608.19842747042</v>
      </c>
      <c r="G315" s="570" t="s">
        <v>130</v>
      </c>
      <c r="H315" s="574"/>
      <c r="I315" s="574" cm="1">
        <f t="array" ref="I315">IFERROR(_xlfn.XLOOKUP(1,($B315=DistributionZone)*(I$5=Desc_FixedOrVar)*($G315=Description),valuesPY),0)</f>
        <v>2.8459749804305119</v>
      </c>
      <c r="J315" s="574">
        <f t="shared" si="156"/>
        <v>15.960792409870557</v>
      </c>
      <c r="K315" s="575" t="str">
        <f>IFERROR(J315/J318,"")</f>
        <v/>
      </c>
      <c r="L315" s="575"/>
      <c r="M315" s="575">
        <f t="shared" si="157"/>
        <v>-7.9260751472302493E-2</v>
      </c>
      <c r="N315" s="576"/>
      <c r="O315" s="574"/>
      <c r="P315" s="574" cm="1">
        <f t="array" ref="P315">IFERROR(_xlfn.XLOOKUP(1,($B315=DistributionZone)*(P$5=Desc_FixedOrVar)*($G315=Description),valuesFY),0)</f>
        <v>2.6204008648102182</v>
      </c>
      <c r="Q315" s="574">
        <f t="shared" si="158"/>
        <v>14.695728009370795</v>
      </c>
      <c r="R315" s="575">
        <f>IFERROR(Q315/Q318,"")</f>
        <v>1.9110238325366909E-2</v>
      </c>
      <c r="S315" s="575"/>
      <c r="T315" s="612"/>
      <c r="U315" s="603"/>
      <c r="V315" s="575"/>
      <c r="W315" s="575"/>
      <c r="X315" s="575"/>
      <c r="Y315" s="575"/>
      <c r="Z315" s="575"/>
      <c r="AA315" s="575"/>
      <c r="AB315" s="575"/>
      <c r="AC315" s="575"/>
      <c r="AD315" s="575"/>
      <c r="AE315" s="575"/>
      <c r="AF315" s="575"/>
      <c r="AG315" s="575"/>
      <c r="AH315" s="575"/>
      <c r="AI315" s="575"/>
      <c r="AJ315" s="575"/>
    </row>
    <row r="316" spans="2:36" s="570" customFormat="1" x14ac:dyDescent="0.35">
      <c r="B316" s="570" t="str">
        <f t="shared" si="153"/>
        <v>Essential</v>
      </c>
      <c r="C316" s="570" t="str">
        <f t="shared" si="154"/>
        <v>Small business</v>
      </c>
      <c r="D316" s="570" t="str">
        <f t="shared" si="155"/>
        <v>time of use</v>
      </c>
      <c r="E316" s="570" t="s">
        <v>279</v>
      </c>
      <c r="F316" s="485" cm="1">
        <f t="array" ref="F316">_xlfn.XLOOKUP(1,($B316=DistributionZone)*($C316=CustomerType)*($D316=tariffL2)*($F$5=Description),valuesPY)*_xlfn.XLOOKUP(1,($B316=DistributionZone)*($C316=CustomerType)*($D316=tariffL2)*($E316=tariffType)*("Usage proportion"=Description),valuesFY)</f>
        <v>5608.19842747042</v>
      </c>
      <c r="G316" s="570" t="s">
        <v>302</v>
      </c>
      <c r="H316" s="574"/>
      <c r="I316" s="574"/>
      <c r="J316" s="574"/>
      <c r="K316" s="575"/>
      <c r="L316" s="575"/>
      <c r="M316" s="575"/>
      <c r="N316" s="576"/>
      <c r="O316" s="574"/>
      <c r="P316" s="574" cm="1">
        <f t="array" ref="P316">IFERROR(_xlfn.XLOOKUP(1,($B316=DistributionZone)*($D316=tariffL2)*($G316=Description),valuesFY),0)</f>
        <v>1.5680000000000007</v>
      </c>
      <c r="Q316" s="574">
        <f t="shared" ref="Q316" si="159">O316+P316*$F316/1000</f>
        <v>8.7936551342736227</v>
      </c>
      <c r="R316" s="575">
        <f>IFERROR(Q316/Q318,"")</f>
        <v>1.1435217449581144E-2</v>
      </c>
      <c r="S316" s="575"/>
      <c r="T316" s="612"/>
      <c r="U316" s="603"/>
      <c r="V316" s="575"/>
      <c r="W316" s="575"/>
      <c r="X316" s="575"/>
      <c r="Y316" s="575"/>
      <c r="Z316" s="575"/>
      <c r="AA316" s="575"/>
      <c r="AB316" s="575"/>
      <c r="AC316" s="575"/>
      <c r="AD316" s="575"/>
      <c r="AE316" s="575"/>
      <c r="AF316" s="575"/>
      <c r="AG316" s="575"/>
      <c r="AH316" s="575"/>
      <c r="AI316" s="575"/>
      <c r="AJ316" s="575"/>
    </row>
    <row r="317" spans="2:36" s="570" customFormat="1" x14ac:dyDescent="0.35">
      <c r="B317" s="570" t="str">
        <f>B315</f>
        <v>Essential</v>
      </c>
      <c r="C317" s="570" t="str">
        <f>C315</f>
        <v>Small business</v>
      </c>
      <c r="D317" s="570" t="str">
        <f>D315</f>
        <v>time of use</v>
      </c>
      <c r="E317" s="570" t="s">
        <v>279</v>
      </c>
      <c r="F317" s="485" cm="1">
        <f t="array" ref="F317">_xlfn.XLOOKUP(1,($B317=DistributionZone)*($C317=CustomerType)*($D317=tariffL2)*($F$5=Description),valuesPY)*_xlfn.XLOOKUP(1,($B317=DistributionZone)*($C317=CustomerType)*($D317=tariffL2)*($E317=tariffType)*("Usage proportion"=Description),valuesFY)</f>
        <v>5608.19842747042</v>
      </c>
      <c r="G317" s="570" t="s">
        <v>72</v>
      </c>
      <c r="H317" s="574"/>
      <c r="I317" s="574" cm="1">
        <f t="array" ref="I317">IFERROR(_xlfn.XLOOKUP(1,($B317=DistributionZone)*($C317=CustomerType)*($G317=Description),valuesPY),0)*SUM(I310:I315)</f>
        <v>0</v>
      </c>
      <c r="J317" s="574">
        <f t="shared" si="156"/>
        <v>0</v>
      </c>
      <c r="K317" s="575" t="str">
        <f>IFERROR(J317/J318,"")</f>
        <v/>
      </c>
      <c r="L317" s="575"/>
      <c r="M317" s="575" t="str">
        <f t="shared" si="157"/>
        <v/>
      </c>
      <c r="N317" s="576"/>
      <c r="O317" s="574"/>
      <c r="P317" s="574" cm="1">
        <f t="array" ref="P317">IFERROR(_xlfn.XLOOKUP(1,($B317=DistributionZone)*($C317=CustomerType)*("Losses"=Description)*($D317=tariffType)*($P$5=Desc_FixedOrVar),valuesFY),0)*SUM(P310:P316)</f>
        <v>5.8529252894321813</v>
      </c>
      <c r="Q317" s="574">
        <f t="shared" si="158"/>
        <v>32.824366404295411</v>
      </c>
      <c r="R317" s="575">
        <f>IFERROR(Q317/Q318,"")</f>
        <v>4.2684613138271439E-2</v>
      </c>
      <c r="S317" s="575"/>
      <c r="T317" s="612"/>
      <c r="U317" s="575"/>
      <c r="V317" s="575"/>
      <c r="W317" s="575"/>
      <c r="X317" s="575"/>
      <c r="Y317" s="575"/>
      <c r="Z317" s="575"/>
      <c r="AA317" s="575"/>
      <c r="AB317" s="575"/>
      <c r="AC317" s="575"/>
      <c r="AD317" s="575"/>
      <c r="AE317" s="575"/>
      <c r="AF317" s="575"/>
      <c r="AG317" s="575"/>
      <c r="AH317" s="575"/>
      <c r="AI317" s="575"/>
      <c r="AJ317" s="575"/>
    </row>
    <row r="318" spans="2:36" s="571" customFormat="1" x14ac:dyDescent="0.35">
      <c r="B318" s="570" t="str">
        <f t="shared" si="153"/>
        <v>Essential</v>
      </c>
      <c r="C318" s="570" t="str">
        <f t="shared" si="154"/>
        <v>Small business</v>
      </c>
      <c r="D318" s="570" t="str">
        <f t="shared" si="155"/>
        <v>time of use</v>
      </c>
      <c r="E318" s="570" t="s">
        <v>279</v>
      </c>
      <c r="F318" s="584"/>
      <c r="G318" s="571" t="s">
        <v>55</v>
      </c>
      <c r="H318" s="577"/>
      <c r="I318" s="577">
        <f>IF($H$3=PY,0,SUM(I310:I317))</f>
        <v>0</v>
      </c>
      <c r="J318" s="577">
        <f>IF($H$3=PY,0,H312+F310*I318/1000)</f>
        <v>0</v>
      </c>
      <c r="K318" s="578"/>
      <c r="L318" s="578"/>
      <c r="M318" s="578" t="str">
        <f t="shared" si="157"/>
        <v/>
      </c>
      <c r="N318" s="624"/>
      <c r="O318" s="577"/>
      <c r="P318" s="577">
        <f>SUM(P310:P317)</f>
        <v>134.77986580951645</v>
      </c>
      <c r="Q318" s="577">
        <f>SUM(Q310:Q317)</f>
        <v>768.99763148760428</v>
      </c>
      <c r="R318" s="578"/>
      <c r="S318" s="578"/>
      <c r="T318" s="621"/>
      <c r="U318" s="603"/>
      <c r="V318" s="578"/>
      <c r="W318" s="578"/>
      <c r="X318" s="578"/>
      <c r="Y318" s="578"/>
      <c r="Z318" s="578"/>
      <c r="AA318" s="578"/>
      <c r="AB318" s="578"/>
      <c r="AC318" s="578"/>
      <c r="AD318" s="578"/>
      <c r="AE318" s="578"/>
      <c r="AF318" s="578"/>
      <c r="AG318" s="578"/>
      <c r="AH318" s="578"/>
      <c r="AI318" s="578"/>
      <c r="AJ318" s="578"/>
    </row>
    <row r="319" spans="2:36" s="570" customFormat="1" x14ac:dyDescent="0.35">
      <c r="B319" s="570" t="str">
        <f t="shared" si="153"/>
        <v>Essential</v>
      </c>
      <c r="C319" s="570" t="str">
        <f t="shared" si="154"/>
        <v>Small business</v>
      </c>
      <c r="D319" s="570" t="str">
        <f t="shared" si="155"/>
        <v>time of use</v>
      </c>
      <c r="E319" s="570" t="s">
        <v>278</v>
      </c>
      <c r="F319" s="485" cm="1">
        <f t="array" ref="F319">_xlfn.XLOOKUP(1,($B319=DistributionZone)*($C319=CustomerType)*($D319=tariffL2)*($F$5=Description),valuesPY)*_xlfn.XLOOKUP(1,($B319=DistributionZone)*($C319=CustomerType)*($D319=tariffL2)*($E319=tariffType)*("Usage proportion"=Description),valuesFY)</f>
        <v>4391.8015725295809</v>
      </c>
      <c r="G319" s="570" t="s">
        <v>69</v>
      </c>
      <c r="H319" s="574"/>
      <c r="I319" s="574" cm="1">
        <f t="array" ref="I319">IFERROR(_xlfn.XLOOKUP(1,($B319=DistributionZone)*($E319=tariffType)*("WEC scale"=Description),valuesPY),0)*$I$297</f>
        <v>0</v>
      </c>
      <c r="J319" s="574">
        <f t="shared" ref="J319:J326" si="160">H319+I319*F319/1000</f>
        <v>0</v>
      </c>
      <c r="K319" s="575" t="str">
        <f>IFERROR(J319/J327,"")</f>
        <v/>
      </c>
      <c r="L319" s="575"/>
      <c r="M319" s="575" t="str">
        <f t="shared" ref="M319:M326" si="161">IF(OR(J319=0,Q319=""),"",Q319/J319-1)</f>
        <v/>
      </c>
      <c r="N319" s="576"/>
      <c r="O319" s="574"/>
      <c r="P319" s="574" cm="1">
        <f t="array" ref="P319">IFERROR(_xlfn.XLOOKUP(1,($B319=DistributionZone)*(C319=CustomerType)*($E319=tariffType)*("WEC"=Description),valuesFY),0)</f>
        <v>159.65247673469747</v>
      </c>
      <c r="Q319" s="574">
        <f t="shared" ref="Q319:Q326" si="162">O319+P319*$F319/1000</f>
        <v>701.16199838168666</v>
      </c>
      <c r="R319" s="575">
        <f>IFERROR(Q319/Q327,"")</f>
        <v>0.92775812717547612</v>
      </c>
      <c r="S319" s="575"/>
      <c r="T319" s="613"/>
      <c r="U319" s="575"/>
      <c r="V319" s="575"/>
      <c r="W319" s="575"/>
      <c r="X319" s="575"/>
      <c r="Y319" s="575"/>
      <c r="Z319" s="575"/>
      <c r="AA319" s="575"/>
      <c r="AB319" s="575"/>
      <c r="AC319" s="575"/>
      <c r="AD319" s="575"/>
      <c r="AE319" s="575"/>
      <c r="AF319" s="575"/>
      <c r="AG319" s="575"/>
      <c r="AH319" s="575"/>
      <c r="AI319" s="575"/>
      <c r="AJ319" s="575"/>
    </row>
    <row r="320" spans="2:36" s="570" customFormat="1" x14ac:dyDescent="0.35">
      <c r="B320" s="570" t="str">
        <f t="shared" si="153"/>
        <v>Essential</v>
      </c>
      <c r="C320" s="570" t="str">
        <f t="shared" si="154"/>
        <v>Small business</v>
      </c>
      <c r="D320" s="570" t="str">
        <f t="shared" si="155"/>
        <v>time of use</v>
      </c>
      <c r="E320" s="570" t="s">
        <v>278</v>
      </c>
      <c r="F320" s="485" cm="1">
        <f t="array" ref="F320">_xlfn.XLOOKUP(1,($B320=DistributionZone)*($C320=CustomerType)*($D320=tariffL2)*($F$5=Description),valuesPY)*_xlfn.XLOOKUP(1,($B320=DistributionZone)*($C320=CustomerType)*($D320=tariffL2)*($E320=tariffType)*("Usage proportion"=Description),valuesFY)</f>
        <v>4391.8015725295809</v>
      </c>
      <c r="G320" s="570" t="s">
        <v>70</v>
      </c>
      <c r="H320" s="574"/>
      <c r="I320" s="574" cm="1">
        <f t="array" ref="I320">IFERROR(_xlfn.XLOOKUP(1,($B320=DistributionZone)*(I$5=Desc_FixedOrVar)*($G320=Description),valuesPY),0)</f>
        <v>0.15378802592718904</v>
      </c>
      <c r="J320" s="574">
        <f t="shared" si="160"/>
        <v>0.67540649410324871</v>
      </c>
      <c r="K320" s="575" t="str">
        <f>IFERROR(J320/J327,"")</f>
        <v/>
      </c>
      <c r="L320" s="575"/>
      <c r="M320" s="575">
        <f t="shared" si="161"/>
        <v>-0.19621579764116648</v>
      </c>
      <c r="N320" s="576"/>
      <c r="O320" s="574"/>
      <c r="P320" s="574" cm="1">
        <f t="array" ref="P320">IFERROR(_xlfn.XLOOKUP(1,($B320=DistributionZone)*(P$5=Desc_FixedOrVar)*($G320=Description),valuesFY),0)</f>
        <v>0.12361238575222523</v>
      </c>
      <c r="Q320" s="574">
        <f t="shared" si="162"/>
        <v>0.54288107013075593</v>
      </c>
      <c r="R320" s="575">
        <f>IFERROR(Q320/Q327,"")</f>
        <v>7.1832518885222478E-4</v>
      </c>
      <c r="S320" s="575"/>
      <c r="T320" s="612"/>
      <c r="U320" s="575"/>
      <c r="V320" s="575"/>
      <c r="W320" s="575"/>
      <c r="X320" s="575"/>
      <c r="Y320" s="575"/>
      <c r="Z320" s="575"/>
      <c r="AA320" s="575"/>
      <c r="AB320" s="575"/>
      <c r="AC320" s="575"/>
      <c r="AD320" s="575"/>
      <c r="AE320" s="575"/>
      <c r="AF320" s="575"/>
      <c r="AG320" s="575"/>
      <c r="AH320" s="575"/>
      <c r="AI320" s="575"/>
      <c r="AJ320" s="575"/>
    </row>
    <row r="321" spans="2:36" s="570" customFormat="1" x14ac:dyDescent="0.35">
      <c r="B321" s="570" t="str">
        <f t="shared" si="153"/>
        <v>Essential</v>
      </c>
      <c r="C321" s="570" t="str">
        <f t="shared" si="154"/>
        <v>Small business</v>
      </c>
      <c r="D321" s="570" t="str">
        <f t="shared" si="155"/>
        <v>time of use</v>
      </c>
      <c r="E321" s="570" t="s">
        <v>278</v>
      </c>
      <c r="F321" s="485" cm="1">
        <f t="array" ref="F321">_xlfn.XLOOKUP(1,($B321=DistributionZone)*($C321=CustomerType)*($D321=tariffL2)*($F$5=Description),valuesPY)*_xlfn.XLOOKUP(1,($B321=DistributionZone)*($C321=CustomerType)*($D321=tariffL2)*($E321=tariffType)*("Usage proportion"=Description),valuesFY)</f>
        <v>4391.8015725295809</v>
      </c>
      <c r="G321" s="570" t="s">
        <v>77</v>
      </c>
      <c r="H321" s="574"/>
      <c r="I321" s="574" cm="1">
        <f t="array" ref="I321">IFERROR(_xlfn.XLOOKUP(1,($B321=DistributionZone)*(I$5=Desc_FixedOrVar)*($G321=Description),valuesPY),0)</f>
        <v>0.57443</v>
      </c>
      <c r="J321" s="574">
        <f t="shared" si="160"/>
        <v>2.5227825773081674</v>
      </c>
      <c r="K321" s="575" t="str">
        <f>IFERROR(J321/J327,"")</f>
        <v/>
      </c>
      <c r="L321" s="575"/>
      <c r="M321" s="575">
        <f t="shared" si="161"/>
        <v>-9.5799314102675837E-2</v>
      </c>
      <c r="N321" s="576"/>
      <c r="O321" s="574"/>
      <c r="P321" s="574" cm="1">
        <f t="array" ref="P321">IFERROR(_xlfn.XLOOKUP(1,($B321=DistributionZone)*(P$5=Desc_FixedOrVar)*($G321=Description),valuesFY),0)</f>
        <v>0.51939999999999997</v>
      </c>
      <c r="Q321" s="574">
        <f t="shared" si="162"/>
        <v>2.281101736771864</v>
      </c>
      <c r="R321" s="575">
        <f>IFERROR(Q321/Q327,"")</f>
        <v>3.0182906091441499E-3</v>
      </c>
      <c r="S321" s="575"/>
      <c r="T321" s="612"/>
      <c r="U321" s="603"/>
      <c r="V321" s="575"/>
      <c r="W321" s="575"/>
      <c r="X321" s="575"/>
      <c r="Y321" s="575"/>
      <c r="Z321" s="575"/>
      <c r="AA321" s="575"/>
      <c r="AB321" s="575"/>
      <c r="AC321" s="575"/>
      <c r="AD321" s="575"/>
      <c r="AE321" s="575"/>
      <c r="AF321" s="575"/>
      <c r="AG321" s="575"/>
      <c r="AH321" s="575"/>
      <c r="AI321" s="575"/>
      <c r="AJ321" s="575"/>
    </row>
    <row r="322" spans="2:36" s="570" customFormat="1" x14ac:dyDescent="0.35">
      <c r="B322" s="570" t="str">
        <f t="shared" si="153"/>
        <v>Essential</v>
      </c>
      <c r="C322" s="570" t="str">
        <f t="shared" si="154"/>
        <v>Small business</v>
      </c>
      <c r="D322" s="570" t="str">
        <f t="shared" si="155"/>
        <v>time of use</v>
      </c>
      <c r="E322" s="570" t="s">
        <v>278</v>
      </c>
      <c r="F322" s="485" cm="1">
        <f t="array" ref="F322">_xlfn.XLOOKUP(1,($B322=DistributionZone)*($C322=CustomerType)*($D322=tariffL2)*($F$5=Description),valuesPY)*_xlfn.XLOOKUP(1,($B322=DistributionZone)*($C322=CustomerType)*($D322=tariffL2)*($E322=tariffType)*("Usage proportion"=Description),valuesFY)</f>
        <v>4391.8015725295809</v>
      </c>
      <c r="G322" s="570" t="s">
        <v>71</v>
      </c>
      <c r="H322" s="574"/>
      <c r="I322" s="574" cm="1">
        <f t="array" ref="I322">IFERROR(_xlfn.XLOOKUP(1,($B322=DistributionZone)*(I$5=Desc_FixedOrVar)*($G322=Description),valuesPY),0)</f>
        <v>5.2786233739509421E-2</v>
      </c>
      <c r="J322" s="574">
        <f t="shared" si="160"/>
        <v>0.2318266643450915</v>
      </c>
      <c r="K322" s="575" t="str">
        <f>IFERROR(J322/J327,"")</f>
        <v/>
      </c>
      <c r="L322" s="575"/>
      <c r="M322" s="575">
        <f t="shared" si="161"/>
        <v>1.4130175372851865</v>
      </c>
      <c r="N322" s="576"/>
      <c r="O322" s="574"/>
      <c r="P322" s="574" cm="1">
        <f t="array" ref="P322">IFERROR(_xlfn.XLOOKUP(1,($B322=DistributionZone)*(P$5=Desc_FixedOrVar)*($G322=Description),valuesFY),0)</f>
        <v>0.12737410774067126</v>
      </c>
      <c r="Q322" s="574">
        <f t="shared" si="162"/>
        <v>0.55940180667503225</v>
      </c>
      <c r="R322" s="575">
        <f>IFERROR(Q322/Q327,"")</f>
        <v>7.4018496966073014E-4</v>
      </c>
      <c r="S322" s="575"/>
      <c r="T322" s="612"/>
      <c r="U322" s="575"/>
      <c r="V322" s="575"/>
      <c r="W322" s="575"/>
      <c r="X322" s="575"/>
      <c r="Y322" s="575"/>
      <c r="Z322" s="575"/>
      <c r="AA322" s="575"/>
      <c r="AB322" s="575"/>
      <c r="AC322" s="575"/>
      <c r="AD322" s="575"/>
      <c r="AE322" s="575"/>
      <c r="AF322" s="575"/>
      <c r="AG322" s="575"/>
      <c r="AH322" s="575"/>
      <c r="AI322" s="575"/>
      <c r="AJ322" s="575"/>
    </row>
    <row r="323" spans="2:36" s="570" customFormat="1" x14ac:dyDescent="0.35">
      <c r="B323" s="570" t="str">
        <f t="shared" si="153"/>
        <v>Essential</v>
      </c>
      <c r="C323" s="570" t="str">
        <f t="shared" si="154"/>
        <v>Small business</v>
      </c>
      <c r="D323" s="570" t="str">
        <f t="shared" si="155"/>
        <v>time of use</v>
      </c>
      <c r="E323" s="570" t="s">
        <v>278</v>
      </c>
      <c r="F323" s="485" cm="1">
        <f t="array" ref="F323">_xlfn.XLOOKUP(1,($B323=DistributionZone)*($C323=CustomerType)*($D323=tariffL2)*($F$5=Description),valuesPY)*_xlfn.XLOOKUP(1,($B323=DistributionZone)*($C323=CustomerType)*($D323=tariffL2)*($E323=tariffType)*("Usage proportion"=Description),valuesFY)</f>
        <v>4391.8015725295809</v>
      </c>
      <c r="G323" s="570" t="s">
        <v>173</v>
      </c>
      <c r="H323" s="574"/>
      <c r="I323" s="574" cm="1">
        <f t="array" ref="I323">IFERROR(_xlfn.XLOOKUP(1,($B323=DistributionZone)*(I$5=Desc_FixedOrVar)*($G323=Description),valuesPY),0)</f>
        <v>0.11507709849820914</v>
      </c>
      <c r="J323" s="574">
        <f t="shared" si="160"/>
        <v>0.50539578214657643</v>
      </c>
      <c r="K323" s="575" t="str">
        <f>IFERROR(J323/J327,"")</f>
        <v/>
      </c>
      <c r="L323" s="575"/>
      <c r="M323" s="575">
        <f t="shared" si="161"/>
        <v>-1</v>
      </c>
      <c r="N323" s="576"/>
      <c r="O323" s="574"/>
      <c r="P323" s="574" cm="1">
        <f t="array" ref="P323">IFERROR(_xlfn.XLOOKUP(1,($B323=DistributionZone)*(P$5=Desc_FixedOrVar)*($G323=Description),valuesFY),0)</f>
        <v>0</v>
      </c>
      <c r="Q323" s="574">
        <f t="shared" si="162"/>
        <v>0</v>
      </c>
      <c r="R323" s="575">
        <f>IFERROR(Q323/Q327,"")</f>
        <v>0</v>
      </c>
      <c r="S323" s="575"/>
      <c r="T323" s="612"/>
      <c r="U323" s="575"/>
      <c r="V323" s="575"/>
      <c r="W323" s="575"/>
      <c r="X323" s="575"/>
      <c r="Y323" s="575"/>
      <c r="Z323" s="575"/>
      <c r="AA323" s="575"/>
      <c r="AB323" s="575"/>
      <c r="AC323" s="575"/>
      <c r="AD323" s="575"/>
      <c r="AE323" s="575"/>
      <c r="AF323" s="575"/>
      <c r="AG323" s="575"/>
      <c r="AH323" s="575"/>
      <c r="AI323" s="575"/>
      <c r="AJ323" s="575"/>
    </row>
    <row r="324" spans="2:36" s="570" customFormat="1" x14ac:dyDescent="0.35">
      <c r="B324" s="570" t="str">
        <f t="shared" si="153"/>
        <v>Essential</v>
      </c>
      <c r="C324" s="570" t="str">
        <f t="shared" si="154"/>
        <v>Small business</v>
      </c>
      <c r="D324" s="570" t="str">
        <f t="shared" si="155"/>
        <v>time of use</v>
      </c>
      <c r="E324" s="570" t="s">
        <v>278</v>
      </c>
      <c r="F324" s="485" cm="1">
        <f t="array" ref="F324">_xlfn.XLOOKUP(1,($B324=DistributionZone)*($C324=CustomerType)*($D324=tariffL2)*($F$5=Description),valuesPY)*_xlfn.XLOOKUP(1,($B324=DistributionZone)*($C324=CustomerType)*($D324=tariffL2)*($E324=tariffType)*("Usage proportion"=Description),valuesFY)</f>
        <v>4391.8015725295809</v>
      </c>
      <c r="G324" s="570" t="s">
        <v>130</v>
      </c>
      <c r="H324" s="574"/>
      <c r="I324" s="574" cm="1">
        <f t="array" ref="I324">IFERROR(_xlfn.XLOOKUP(1,($B324=DistributionZone)*(I$5=Desc_FixedOrVar)*($G324=Description),valuesPY),0)</f>
        <v>2.8459749804305119</v>
      </c>
      <c r="J324" s="574">
        <f t="shared" si="160"/>
        <v>12.498957394434564</v>
      </c>
      <c r="K324" s="575" t="str">
        <f>IFERROR(J324/J327,"")</f>
        <v/>
      </c>
      <c r="L324" s="575"/>
      <c r="M324" s="575">
        <f t="shared" si="161"/>
        <v>-7.9260751472302382E-2</v>
      </c>
      <c r="N324" s="576"/>
      <c r="O324" s="574"/>
      <c r="P324" s="574" cm="1">
        <f t="array" ref="P324">IFERROR(_xlfn.XLOOKUP(1,($B324=DistributionZone)*(P$5=Desc_FixedOrVar)*($G324=Description),valuesFY),0)</f>
        <v>2.6204008648102182</v>
      </c>
      <c r="Q324" s="574">
        <f t="shared" si="162"/>
        <v>11.508280638731391</v>
      </c>
      <c r="R324" s="575">
        <f>IFERROR(Q324/Q327,"")</f>
        <v>1.5227438048613576E-2</v>
      </c>
      <c r="S324" s="575"/>
      <c r="T324" s="612"/>
      <c r="U324" s="575"/>
      <c r="V324" s="575"/>
      <c r="W324" s="575"/>
      <c r="X324" s="575"/>
      <c r="Y324" s="575"/>
      <c r="Z324" s="575"/>
      <c r="AA324" s="575"/>
      <c r="AB324" s="575"/>
      <c r="AC324" s="575"/>
      <c r="AD324" s="575"/>
      <c r="AE324" s="575"/>
      <c r="AF324" s="575"/>
      <c r="AG324" s="575"/>
      <c r="AH324" s="575"/>
      <c r="AI324" s="575"/>
      <c r="AJ324" s="575"/>
    </row>
    <row r="325" spans="2:36" s="570" customFormat="1" x14ac:dyDescent="0.35">
      <c r="B325" s="570" t="str">
        <f t="shared" si="153"/>
        <v>Essential</v>
      </c>
      <c r="C325" s="570" t="str">
        <f t="shared" si="154"/>
        <v>Small business</v>
      </c>
      <c r="D325" s="570" t="str">
        <f t="shared" si="155"/>
        <v>time of use</v>
      </c>
      <c r="E325" s="570" t="s">
        <v>278</v>
      </c>
      <c r="F325" s="485" cm="1">
        <f t="array" ref="F325">_xlfn.XLOOKUP(1,($B325=DistributionZone)*($C325=CustomerType)*($D325=tariffL2)*($F$5=Description),valuesPY)*_xlfn.XLOOKUP(1,($B325=DistributionZone)*($C325=CustomerType)*($D325=tariffL2)*($E325=tariffType)*("Usage proportion"=Description),valuesFY)</f>
        <v>4391.8015725295809</v>
      </c>
      <c r="G325" s="570" t="s">
        <v>302</v>
      </c>
      <c r="H325" s="574"/>
      <c r="I325" s="574"/>
      <c r="J325" s="574"/>
      <c r="K325" s="575"/>
      <c r="L325" s="575"/>
      <c r="M325" s="575"/>
      <c r="N325" s="576"/>
      <c r="O325" s="574"/>
      <c r="P325" s="574" cm="1">
        <f t="array" ref="P325">IFERROR(_xlfn.XLOOKUP(1,($B325=DistributionZone)*($D325=tariffL2)*($G325=Description),valuesFY),0)</f>
        <v>1.5680000000000007</v>
      </c>
      <c r="Q325" s="574">
        <f t="shared" ref="Q325" si="163">O325+P325*$F325/1000</f>
        <v>6.8863448657263859</v>
      </c>
      <c r="R325" s="575">
        <f>IFERROR(Q325/Q327,"")</f>
        <v>9.1118207068502689E-3</v>
      </c>
      <c r="S325" s="575"/>
      <c r="T325" s="612"/>
      <c r="U325" s="575"/>
      <c r="V325" s="575"/>
      <c r="W325" s="575"/>
      <c r="X325" s="575"/>
      <c r="Y325" s="575"/>
      <c r="Z325" s="575"/>
      <c r="AA325" s="575"/>
      <c r="AB325" s="575"/>
      <c r="AC325" s="575"/>
      <c r="AD325" s="575"/>
      <c r="AE325" s="575"/>
      <c r="AF325" s="575"/>
      <c r="AG325" s="575"/>
      <c r="AH325" s="575"/>
      <c r="AI325" s="575"/>
      <c r="AJ325" s="575"/>
    </row>
    <row r="326" spans="2:36" s="570" customFormat="1" x14ac:dyDescent="0.35">
      <c r="B326" s="570" t="str">
        <f>B324</f>
        <v>Essential</v>
      </c>
      <c r="C326" s="570" t="str">
        <f>C324</f>
        <v>Small business</v>
      </c>
      <c r="D326" s="570" t="str">
        <f>D324</f>
        <v>time of use</v>
      </c>
      <c r="E326" s="570" t="s">
        <v>278</v>
      </c>
      <c r="F326" s="485" cm="1">
        <f t="array" ref="F326">_xlfn.XLOOKUP(1,($B326=DistributionZone)*($C326=CustomerType)*($D326=tariffL2)*($F$5=Description),valuesPY)*_xlfn.XLOOKUP(1,($B326=DistributionZone)*($C326=CustomerType)*($D326=tariffL2)*($E326=tariffType)*("Usage proportion"=Description),valuesFY)</f>
        <v>4391.8015725295809</v>
      </c>
      <c r="G326" s="570" t="s">
        <v>72</v>
      </c>
      <c r="H326" s="574"/>
      <c r="I326" s="574" cm="1">
        <f t="array" ref="I326">IFERROR(_xlfn.XLOOKUP(1,($B326=DistributionZone)*($C326=CustomerType)*($G326=Description),valuesPY),0)*SUM(I319:I324)</f>
        <v>0</v>
      </c>
      <c r="J326" s="574">
        <f t="shared" si="160"/>
        <v>0</v>
      </c>
      <c r="K326" s="575" t="str">
        <f>IFERROR(J326/J327,"")</f>
        <v/>
      </c>
      <c r="L326" s="575"/>
      <c r="M326" s="575" t="str">
        <f t="shared" si="161"/>
        <v/>
      </c>
      <c r="N326" s="576"/>
      <c r="O326" s="574"/>
      <c r="P326" s="574" cm="1">
        <f t="array" ref="P326">IFERROR(_xlfn.XLOOKUP(1,($B326=DistributionZone)*($C326=CustomerType)*("Losses"=Description)*($D326=tariffType)*($P$5=Desc_FixedOrVar),valuesFY),0)*SUM(P319:P325)</f>
        <v>7.4728945451492761</v>
      </c>
      <c r="Q326" s="574">
        <f t="shared" si="162"/>
        <v>32.819470014734314</v>
      </c>
      <c r="R326" s="575">
        <f>IFERROR(Q326/Q327,"")</f>
        <v>4.3425813301402778E-2</v>
      </c>
      <c r="S326" s="575"/>
      <c r="T326" s="612"/>
      <c r="U326" s="575"/>
      <c r="V326" s="575"/>
      <c r="W326" s="575"/>
      <c r="X326" s="575"/>
      <c r="Y326" s="575"/>
      <c r="Z326" s="575"/>
      <c r="AA326" s="575"/>
      <c r="AB326" s="575"/>
      <c r="AC326" s="575"/>
      <c r="AD326" s="575"/>
      <c r="AE326" s="575"/>
      <c r="AF326" s="575"/>
      <c r="AG326" s="575"/>
      <c r="AH326" s="575"/>
      <c r="AI326" s="575"/>
      <c r="AJ326" s="575"/>
    </row>
    <row r="327" spans="2:36" s="571" customFormat="1" x14ac:dyDescent="0.35">
      <c r="B327" s="570" t="str">
        <f t="shared" si="153"/>
        <v>Essential</v>
      </c>
      <c r="C327" s="570" t="str">
        <f t="shared" si="154"/>
        <v>Small business</v>
      </c>
      <c r="D327" s="570" t="str">
        <f t="shared" si="155"/>
        <v>time of use</v>
      </c>
      <c r="E327" s="570" t="s">
        <v>278</v>
      </c>
      <c r="F327" s="584"/>
      <c r="G327" s="571" t="s">
        <v>55</v>
      </c>
      <c r="H327" s="577"/>
      <c r="I327" s="577">
        <f>IF($H$3=PY,0,SUM(I319:I326))</f>
        <v>0</v>
      </c>
      <c r="J327" s="577">
        <f>IF($H$3=PY,0,SUM(J319:J326))</f>
        <v>0</v>
      </c>
      <c r="K327" s="578"/>
      <c r="L327" s="578"/>
      <c r="M327" s="578"/>
      <c r="N327" s="624"/>
      <c r="O327" s="577"/>
      <c r="P327" s="577">
        <f>SUM(P319:P326)</f>
        <v>172.08415863814989</v>
      </c>
      <c r="Q327" s="577">
        <f>SUM(Q319:Q326)</f>
        <v>755.75947851445653</v>
      </c>
      <c r="R327" s="578"/>
      <c r="S327" s="578"/>
      <c r="T327" s="621"/>
      <c r="U327" s="578"/>
      <c r="V327" s="578"/>
      <c r="W327" s="578"/>
      <c r="X327" s="578"/>
      <c r="Y327" s="578"/>
      <c r="Z327" s="578"/>
      <c r="AA327" s="578"/>
      <c r="AB327" s="578"/>
      <c r="AC327" s="578"/>
      <c r="AD327" s="578"/>
      <c r="AE327" s="578"/>
      <c r="AF327" s="578"/>
      <c r="AG327" s="578"/>
      <c r="AH327" s="578"/>
      <c r="AI327" s="578"/>
      <c r="AJ327" s="578"/>
    </row>
    <row r="328" spans="2:36" s="570" customFormat="1" x14ac:dyDescent="0.35">
      <c r="B328" s="570" t="str">
        <f t="shared" si="153"/>
        <v>Essential</v>
      </c>
      <c r="C328" s="570" t="str">
        <f t="shared" si="154"/>
        <v>Small business</v>
      </c>
      <c r="D328" s="570" t="str">
        <f t="shared" si="155"/>
        <v>time of use</v>
      </c>
      <c r="E328" s="570" t="s">
        <v>272</v>
      </c>
      <c r="F328" s="485" cm="1">
        <f t="array" ref="F328">_xlfn.XLOOKUP(1,($B328=DistributionZone)*($C328=CustomerType)*($D328=tariffL2)*($F$5=Description),valuesFY)</f>
        <v>10000</v>
      </c>
      <c r="G328" s="571" t="s">
        <v>55</v>
      </c>
      <c r="H328" s="577">
        <f>IF($H$3=PY,0,SUM(#REF!,H319:H326,H310:H317))</f>
        <v>0</v>
      </c>
      <c r="I328" s="577"/>
      <c r="J328" s="577">
        <f>SUM(J318,J327)</f>
        <v>0</v>
      </c>
      <c r="K328" s="578"/>
      <c r="L328" s="579"/>
      <c r="M328" s="578" t="str">
        <f>IF(OR(J328=0,Q328=""),"",Q328/J328-1)</f>
        <v/>
      </c>
      <c r="N328" s="580"/>
      <c r="O328" s="577">
        <f>SUM(O312:O317)</f>
        <v>13.125399999999999</v>
      </c>
      <c r="P328" s="577"/>
      <c r="Q328" s="577">
        <f>SUM(Q318,Q327)</f>
        <v>1524.7571100020609</v>
      </c>
      <c r="R328" s="578"/>
      <c r="S328" s="578"/>
      <c r="T328" s="621"/>
      <c r="U328" s="578"/>
      <c r="V328" s="578"/>
      <c r="W328" s="578"/>
      <c r="X328" s="578"/>
      <c r="Y328" s="578"/>
      <c r="Z328" s="578"/>
      <c r="AA328" s="578"/>
      <c r="AB328" s="578"/>
      <c r="AC328" s="578"/>
      <c r="AD328" s="578"/>
      <c r="AE328" s="578"/>
      <c r="AF328" s="578"/>
      <c r="AG328" s="578"/>
      <c r="AH328" s="578"/>
      <c r="AI328" s="578"/>
      <c r="AJ328" s="578"/>
    </row>
    <row r="329" spans="2:36" s="570" customFormat="1" x14ac:dyDescent="0.35">
      <c r="B329" s="570" t="str">
        <f t="shared" si="153"/>
        <v>Essential</v>
      </c>
      <c r="C329" s="570" t="str">
        <f t="shared" si="154"/>
        <v>Small business</v>
      </c>
      <c r="D329" s="570" t="str">
        <f t="shared" si="155"/>
        <v>time of use</v>
      </c>
      <c r="F329" s="485"/>
      <c r="G329" s="570" t="s">
        <v>38</v>
      </c>
      <c r="H329" s="574"/>
      <c r="I329" s="574"/>
      <c r="J329" s="574">
        <f>J328*GST</f>
        <v>0</v>
      </c>
      <c r="K329" s="575"/>
      <c r="L329" s="581"/>
      <c r="M329" s="575"/>
      <c r="N329" s="582"/>
      <c r="O329" s="574"/>
      <c r="P329" s="574"/>
      <c r="Q329" s="574">
        <f>Q328*GST</f>
        <v>152.4757110002061</v>
      </c>
      <c r="R329" s="578"/>
      <c r="S329" s="578"/>
      <c r="T329" s="621"/>
      <c r="U329" s="578"/>
      <c r="V329" s="578"/>
      <c r="W329" s="578"/>
      <c r="X329" s="578"/>
      <c r="Y329" s="578"/>
      <c r="Z329" s="578"/>
      <c r="AA329" s="578"/>
      <c r="AB329" s="578"/>
      <c r="AC329" s="578"/>
      <c r="AD329" s="578"/>
      <c r="AE329" s="578"/>
      <c r="AF329" s="578"/>
      <c r="AG329" s="578"/>
      <c r="AH329" s="578"/>
      <c r="AI329" s="578"/>
      <c r="AJ329" s="578"/>
    </row>
    <row r="330" spans="2:36" s="570" customFormat="1" x14ac:dyDescent="0.35">
      <c r="B330" s="570" t="str">
        <f t="shared" si="153"/>
        <v>Essential</v>
      </c>
      <c r="C330" s="570" t="str">
        <f t="shared" si="154"/>
        <v>Small business</v>
      </c>
      <c r="D330" s="570" t="str">
        <f t="shared" si="155"/>
        <v>time of use</v>
      </c>
      <c r="E330" s="570" t="s">
        <v>272</v>
      </c>
      <c r="F330" s="485"/>
      <c r="G330" s="571" t="s">
        <v>79</v>
      </c>
      <c r="H330" s="577"/>
      <c r="I330" s="577"/>
      <c r="J330" s="577">
        <f>SUM(J328:J329)</f>
        <v>0</v>
      </c>
      <c r="K330" s="578"/>
      <c r="L330" s="579"/>
      <c r="M330" s="578" t="str">
        <f>IF(OR(J330=0,Q330=""),"",Q330/J330-1)</f>
        <v/>
      </c>
      <c r="N330" s="580"/>
      <c r="O330" s="577"/>
      <c r="P330" s="577"/>
      <c r="Q330" s="577">
        <f>SUM(Q328:Q329)</f>
        <v>1677.232821002267</v>
      </c>
      <c r="R330" s="578"/>
      <c r="S330" s="578"/>
      <c r="T330" s="621"/>
      <c r="U330" s="578"/>
      <c r="V330" s="578"/>
      <c r="W330" s="578"/>
      <c r="X330" s="578"/>
      <c r="Y330" s="578"/>
      <c r="Z330" s="578"/>
      <c r="AA330" s="578"/>
      <c r="AB330" s="578"/>
      <c r="AC330" s="578"/>
      <c r="AD330" s="578"/>
      <c r="AE330" s="578"/>
      <c r="AF330" s="578"/>
      <c r="AG330" s="578"/>
      <c r="AH330" s="578"/>
      <c r="AI330" s="578"/>
      <c r="AJ330" s="578"/>
    </row>
    <row r="331" spans="2:36" x14ac:dyDescent="0.35">
      <c r="F331" s="258"/>
      <c r="H331" s="482"/>
      <c r="I331" s="482"/>
      <c r="J331" s="482"/>
      <c r="K331" s="484"/>
      <c r="L331" s="567"/>
      <c r="M331" s="484"/>
      <c r="N331" s="568"/>
      <c r="O331" s="482"/>
      <c r="P331" s="482"/>
      <c r="Q331" s="482"/>
      <c r="R331" s="484"/>
      <c r="S331" s="484"/>
      <c r="T331" s="607"/>
      <c r="U331" s="484"/>
      <c r="V331" s="484"/>
      <c r="W331" s="484"/>
      <c r="X331" s="484"/>
      <c r="Y331" s="484"/>
      <c r="Z331" s="484"/>
      <c r="AA331" s="484"/>
      <c r="AB331" s="484"/>
      <c r="AC331" s="484"/>
      <c r="AD331" s="484"/>
      <c r="AE331" s="484"/>
      <c r="AF331" s="484"/>
      <c r="AG331" s="484"/>
      <c r="AH331" s="484"/>
      <c r="AI331" s="484"/>
      <c r="AJ331" s="484"/>
    </row>
    <row r="332" spans="2:36" x14ac:dyDescent="0.35">
      <c r="B332" s="64" t="s">
        <v>0</v>
      </c>
      <c r="C332" s="64" t="s">
        <v>6</v>
      </c>
      <c r="D332" s="64" t="s">
        <v>276</v>
      </c>
      <c r="F332" s="258"/>
      <c r="H332" s="482"/>
      <c r="I332" s="482"/>
      <c r="J332" s="482"/>
      <c r="K332" s="484"/>
      <c r="L332" s="567"/>
      <c r="M332" s="484"/>
      <c r="N332" s="568"/>
      <c r="O332" s="482"/>
      <c r="P332" s="482"/>
      <c r="Q332" s="482"/>
      <c r="R332" s="484"/>
      <c r="S332" s="484"/>
      <c r="T332" s="607"/>
      <c r="U332" s="484"/>
      <c r="V332" s="484"/>
      <c r="W332" s="484"/>
      <c r="X332" s="484"/>
      <c r="Y332" s="484"/>
      <c r="Z332" s="484"/>
      <c r="AA332" s="484"/>
      <c r="AB332" s="484"/>
      <c r="AC332" s="484"/>
      <c r="AD332" s="484"/>
      <c r="AE332" s="484"/>
      <c r="AF332" s="484"/>
      <c r="AG332" s="484"/>
      <c r="AH332" s="484"/>
      <c r="AI332" s="484"/>
      <c r="AJ332" s="484"/>
    </row>
    <row r="333" spans="2:36" x14ac:dyDescent="0.35">
      <c r="B333" s="30" t="str">
        <f t="shared" ref="B333:B343" si="164">B332</f>
        <v>Energex</v>
      </c>
      <c r="C333" s="30" t="str">
        <f t="shared" ref="C333:C343" si="165">C332</f>
        <v>Residential</v>
      </c>
      <c r="D333" s="30" t="str">
        <f t="shared" ref="D333:D343" si="166">D332</f>
        <v>flat rate</v>
      </c>
      <c r="E333" s="30" t="s">
        <v>19</v>
      </c>
      <c r="F333" s="258" cm="1">
        <f t="array" ref="F333">_xlfn.XLOOKUP(1,($B333=DistributionZone)*($C333=CustomerType)*($D333=tariffL2)*($F$5=Description)*(E333=tariffType),valuesFY)</f>
        <v>4600</v>
      </c>
      <c r="G333" s="30" t="s">
        <v>69</v>
      </c>
      <c r="H333" s="482"/>
      <c r="I333" s="482" cm="1">
        <f t="array" ref="I333">IFERROR(_xlfn.XLOOKUP(1,($B333=DistributionZone)*($C333=CustomerType)*($E333=tariffType)*($G333=Description),valuesPY),0)</f>
        <v>150.63</v>
      </c>
      <c r="J333" s="482">
        <f t="shared" ref="J333:J340" si="167">H333+I333*F333/1000</f>
        <v>692.89800000000002</v>
      </c>
      <c r="K333" s="484">
        <f>IFERROR(J333/J341,"")</f>
        <v>0.89986014004964199</v>
      </c>
      <c r="L333" s="484"/>
      <c r="M333" s="484">
        <f t="shared" ref="M333:M341" si="168">IF(OR(J333=0,Q333=""),"",Q333/J333-1)</f>
        <v>-0.14970457412202087</v>
      </c>
      <c r="N333" s="563"/>
      <c r="O333" s="482"/>
      <c r="P333" s="482" cm="1">
        <f t="array" ref="P333">IFERROR(_xlfn.XLOOKUP(1,($B333=DistributionZone)*($C333=CustomerType)*($E333=tariffType)*($G333=Description),valuesFY),0)</f>
        <v>128.08000000000001</v>
      </c>
      <c r="Q333" s="482">
        <f t="shared" ref="Q333:Q340" si="169">O333+P333*$F333/1000</f>
        <v>589.16800000000001</v>
      </c>
      <c r="R333" s="484">
        <f>IFERROR(Q333/Q341,"")</f>
        <v>0.89384349993661771</v>
      </c>
      <c r="S333" s="484"/>
      <c r="T333" s="608"/>
      <c r="U333" s="484"/>
      <c r="V333" s="484"/>
      <c r="W333" s="484"/>
      <c r="X333" s="484"/>
      <c r="Y333" s="484"/>
      <c r="Z333" s="484"/>
      <c r="AA333" s="484"/>
      <c r="AB333" s="484"/>
      <c r="AC333" s="484"/>
      <c r="AD333" s="484"/>
      <c r="AE333" s="484"/>
      <c r="AF333" s="484"/>
      <c r="AG333" s="484"/>
      <c r="AH333" s="484"/>
      <c r="AI333" s="484"/>
      <c r="AJ333" s="484"/>
    </row>
    <row r="334" spans="2:36" x14ac:dyDescent="0.35">
      <c r="B334" s="30" t="str">
        <f t="shared" si="164"/>
        <v>Energex</v>
      </c>
      <c r="C334" s="30" t="str">
        <f t="shared" si="165"/>
        <v>Residential</v>
      </c>
      <c r="D334" s="30" t="str">
        <f t="shared" si="166"/>
        <v>flat rate</v>
      </c>
      <c r="E334" s="30" t="s">
        <v>19</v>
      </c>
      <c r="F334" s="258">
        <f t="shared" ref="F334:F341" si="170">F333</f>
        <v>4600</v>
      </c>
      <c r="G334" s="30" t="s">
        <v>70</v>
      </c>
      <c r="H334" s="482"/>
      <c r="I334" s="482" cm="1">
        <f t="array" ref="I334">IFERROR(_xlfn.XLOOKUP(1,($B334=DistributionZone)*(I$5=Desc_FixedOrVar)*($G334=Description),valuesPY),0)</f>
        <v>0.73511316732430898</v>
      </c>
      <c r="J334" s="482">
        <f t="shared" si="167"/>
        <v>3.3815205696918214</v>
      </c>
      <c r="K334" s="484">
        <f>IFERROR(J334/J341,"")</f>
        <v>4.3915490785420477E-3</v>
      </c>
      <c r="L334" s="484"/>
      <c r="M334" s="484">
        <f t="shared" si="168"/>
        <v>-0.43323547155862818</v>
      </c>
      <c r="N334" s="563"/>
      <c r="O334" s="482"/>
      <c r="P334" s="482" cm="1">
        <f t="array" ref="P334">IFERROR(_xlfn.XLOOKUP(1,($B334=DistributionZone)*(P$5=Desc_FixedOrVar)*($G334=Description),valuesFY),0)</f>
        <v>0.4166360676296052</v>
      </c>
      <c r="Q334" s="482">
        <f t="shared" si="169"/>
        <v>1.9165259110961841</v>
      </c>
      <c r="R334" s="484">
        <f>IFERROR(Q334/Q341,"")</f>
        <v>2.9076158720321341E-3</v>
      </c>
      <c r="S334" s="484"/>
      <c r="T334" s="607"/>
      <c r="U334" s="484"/>
      <c r="V334" s="484"/>
      <c r="W334" s="484"/>
      <c r="X334" s="484"/>
      <c r="Y334" s="484"/>
      <c r="Z334" s="484"/>
      <c r="AA334" s="484"/>
      <c r="AB334" s="484"/>
      <c r="AC334" s="484"/>
      <c r="AD334" s="484"/>
      <c r="AE334" s="484"/>
      <c r="AF334" s="484"/>
      <c r="AG334" s="484"/>
      <c r="AH334" s="484"/>
      <c r="AI334" s="484"/>
      <c r="AJ334" s="484"/>
    </row>
    <row r="335" spans="2:36" x14ac:dyDescent="0.35">
      <c r="B335" s="30" t="str">
        <f t="shared" si="164"/>
        <v>Energex</v>
      </c>
      <c r="C335" s="30" t="str">
        <f t="shared" si="165"/>
        <v>Residential</v>
      </c>
      <c r="D335" s="30" t="str">
        <f t="shared" si="166"/>
        <v>flat rate</v>
      </c>
      <c r="E335" s="30" t="s">
        <v>19</v>
      </c>
      <c r="F335" s="258">
        <f t="shared" si="170"/>
        <v>4600</v>
      </c>
      <c r="G335" s="30" t="s">
        <v>77</v>
      </c>
      <c r="H335" s="482" cm="1">
        <f t="array" ref="H335">IFERROR(_xlfn.XLOOKUP(1,($B335=DistributionZone)*(H$5=Desc_FixedOrVar)*($G335=Description),valuesPY),0)*Days/7</f>
        <v>13.835244134497829</v>
      </c>
      <c r="I335" s="482" cm="1">
        <f t="array" ref="I335">IFERROR(_xlfn.XLOOKUP(1,($B335=DistributionZone)*(I$5=Desc_FixedOrVar)*($G335=Description),valuesPY),0)</f>
        <v>0.57443</v>
      </c>
      <c r="J335" s="482">
        <f t="shared" si="167"/>
        <v>16.477622134497828</v>
      </c>
      <c r="K335" s="484">
        <f>IFERROR(J335/J341,"")</f>
        <v>2.139933346846765E-2</v>
      </c>
      <c r="L335" s="484"/>
      <c r="M335" s="484">
        <f t="shared" si="168"/>
        <v>-5.8441814397583114E-2</v>
      </c>
      <c r="N335" s="563"/>
      <c r="O335" s="482" cm="1">
        <f t="array" ref="O335">IFERROR(_xlfn.XLOOKUP(1,($B335=DistributionZone)*(O$5=Desc_FixedOrVar)*($G335=Description),valuesFY),0)*Days/7</f>
        <v>13.125399999999999</v>
      </c>
      <c r="P335" s="482" cm="1">
        <f t="array" ref="P335">IFERROR(_xlfn.XLOOKUP(1,($B335=DistributionZone)*(P$5=Desc_FixedOrVar)*($G335=Description),valuesFY),0)</f>
        <v>0.51939999999999997</v>
      </c>
      <c r="Q335" s="482">
        <f t="shared" si="169"/>
        <v>15.514639999999998</v>
      </c>
      <c r="R335" s="484">
        <f>IFERROR(Q335/Q341,"")</f>
        <v>2.3537700821933041E-2</v>
      </c>
      <c r="S335" s="484"/>
      <c r="T335" s="607"/>
      <c r="U335" s="484"/>
      <c r="V335" s="484"/>
      <c r="W335" s="484"/>
      <c r="X335" s="484"/>
      <c r="Y335" s="484"/>
      <c r="Z335" s="484"/>
      <c r="AA335" s="484"/>
      <c r="AB335" s="484"/>
      <c r="AC335" s="484"/>
      <c r="AD335" s="484"/>
      <c r="AE335" s="484"/>
      <c r="AF335" s="484"/>
      <c r="AG335" s="484"/>
      <c r="AH335" s="484"/>
      <c r="AI335" s="484"/>
      <c r="AJ335" s="484"/>
    </row>
    <row r="336" spans="2:36" x14ac:dyDescent="0.35">
      <c r="B336" s="30" t="str">
        <f t="shared" si="164"/>
        <v>Energex</v>
      </c>
      <c r="C336" s="30" t="str">
        <f t="shared" si="165"/>
        <v>Residential</v>
      </c>
      <c r="D336" s="30" t="str">
        <f t="shared" si="166"/>
        <v>flat rate</v>
      </c>
      <c r="E336" s="30" t="s">
        <v>19</v>
      </c>
      <c r="F336" s="258">
        <f t="shared" si="170"/>
        <v>4600</v>
      </c>
      <c r="G336" s="30" t="s">
        <v>71</v>
      </c>
      <c r="H336" s="482"/>
      <c r="I336" s="482" cm="1">
        <f t="array" ref="I336">IFERROR(_xlfn.XLOOKUP(1,($B336=DistributionZone)*(I$5=Desc_FixedOrVar)*($G336=Description),valuesPY),0)</f>
        <v>0</v>
      </c>
      <c r="J336" s="482">
        <f t="shared" si="167"/>
        <v>0</v>
      </c>
      <c r="K336" s="484">
        <f>IFERROR(J336/J341,"")</f>
        <v>0</v>
      </c>
      <c r="L336" s="484"/>
      <c r="M336" s="484" t="str">
        <f t="shared" si="168"/>
        <v/>
      </c>
      <c r="N336" s="563"/>
      <c r="O336" s="482"/>
      <c r="P336" s="482" cm="1">
        <f t="array" ref="P336">IFERROR(_xlfn.XLOOKUP(1,($B336=DistributionZone)*(P$5=Desc_FixedOrVar)*($G336=Description),valuesFY),0)</f>
        <v>0</v>
      </c>
      <c r="Q336" s="482">
        <f t="shared" si="169"/>
        <v>0</v>
      </c>
      <c r="R336" s="484">
        <f>IFERROR(Q336/Q341,"")</f>
        <v>0</v>
      </c>
      <c r="S336" s="484"/>
      <c r="T336" s="607"/>
      <c r="U336" s="484"/>
      <c r="V336" s="484"/>
      <c r="W336" s="484"/>
      <c r="X336" s="484"/>
      <c r="Y336" s="484"/>
      <c r="Z336" s="484"/>
      <c r="AA336" s="484"/>
      <c r="AB336" s="484"/>
      <c r="AC336" s="484"/>
      <c r="AD336" s="484"/>
      <c r="AE336" s="484"/>
      <c r="AF336" s="484"/>
      <c r="AG336" s="484"/>
      <c r="AH336" s="484"/>
      <c r="AI336" s="484"/>
      <c r="AJ336" s="484"/>
    </row>
    <row r="337" spans="2:36" x14ac:dyDescent="0.35">
      <c r="B337" s="30" t="str">
        <f t="shared" si="164"/>
        <v>Energex</v>
      </c>
      <c r="C337" s="30" t="str">
        <f t="shared" si="165"/>
        <v>Residential</v>
      </c>
      <c r="D337" s="30" t="str">
        <f t="shared" si="166"/>
        <v>flat rate</v>
      </c>
      <c r="E337" s="30" t="s">
        <v>19</v>
      </c>
      <c r="F337" s="258">
        <f t="shared" si="170"/>
        <v>4600</v>
      </c>
      <c r="G337" s="30" t="s">
        <v>173</v>
      </c>
      <c r="H337" s="482"/>
      <c r="I337" s="482" cm="1">
        <f t="array" ref="I337">IFERROR(_xlfn.XLOOKUP(1,($B337=DistributionZone)*(I$5=Desc_FixedOrVar)*($G337=Description),valuesPY),0)</f>
        <v>0</v>
      </c>
      <c r="J337" s="482">
        <f t="shared" si="167"/>
        <v>0</v>
      </c>
      <c r="K337" s="484">
        <f>IFERROR(J337/J342,"")</f>
        <v>0</v>
      </c>
      <c r="L337" s="484"/>
      <c r="M337" s="484" t="str">
        <f t="shared" si="168"/>
        <v/>
      </c>
      <c r="N337" s="563"/>
      <c r="O337" s="482"/>
      <c r="P337" s="482" cm="1">
        <f t="array" ref="P337">IFERROR(_xlfn.XLOOKUP(1,($B337=DistributionZone)*(P$5=Desc_FixedOrVar)*($G337=Description),valuesFY),0)</f>
        <v>0</v>
      </c>
      <c r="Q337" s="482">
        <f t="shared" si="169"/>
        <v>0</v>
      </c>
      <c r="R337" s="484">
        <f>IFERROR(Q337/Q341,"")</f>
        <v>0</v>
      </c>
      <c r="S337" s="484"/>
      <c r="T337" s="607"/>
      <c r="U337" s="484"/>
      <c r="V337" s="484"/>
      <c r="W337" s="484"/>
      <c r="X337" s="484"/>
      <c r="Y337" s="484"/>
      <c r="Z337" s="484"/>
      <c r="AA337" s="484"/>
      <c r="AB337" s="484"/>
      <c r="AC337" s="484"/>
      <c r="AD337" s="484"/>
      <c r="AE337" s="484"/>
      <c r="AF337" s="484"/>
      <c r="AG337" s="484"/>
      <c r="AH337" s="484"/>
      <c r="AI337" s="484"/>
      <c r="AJ337" s="484"/>
    </row>
    <row r="338" spans="2:36" x14ac:dyDescent="0.35">
      <c r="B338" s="30" t="str">
        <f t="shared" si="164"/>
        <v>Energex</v>
      </c>
      <c r="C338" s="30" t="str">
        <f t="shared" si="165"/>
        <v>Residential</v>
      </c>
      <c r="D338" s="30" t="str">
        <f t="shared" si="166"/>
        <v>flat rate</v>
      </c>
      <c r="E338" s="30" t="s">
        <v>19</v>
      </c>
      <c r="F338" s="258">
        <f t="shared" si="170"/>
        <v>4600</v>
      </c>
      <c r="G338" s="30" t="s">
        <v>130</v>
      </c>
      <c r="H338" s="482"/>
      <c r="I338" s="482" cm="1">
        <f t="array" ref="I338">IFERROR(_xlfn.XLOOKUP(1,($B338=DistributionZone)*(I$5=Desc_FixedOrVar)*($G338=Description),valuesPY),0)</f>
        <v>3.27335932679709</v>
      </c>
      <c r="J338" s="482">
        <f t="shared" si="167"/>
        <v>15.057452903266615</v>
      </c>
      <c r="K338" s="484">
        <f>IFERROR(J338/J341,"")</f>
        <v>1.9554972995050331E-2</v>
      </c>
      <c r="L338" s="484"/>
      <c r="M338" s="484">
        <f t="shared" si="168"/>
        <v>-0.17833877323131719</v>
      </c>
      <c r="N338" s="563"/>
      <c r="O338" s="482"/>
      <c r="P338" s="482" cm="1">
        <f t="array" ref="P338">IFERROR(_xlfn.XLOOKUP(1,($B338=DistributionZone)*(P$5=Desc_FixedOrVar)*($G338=Description),valuesFY),0)</f>
        <v>2.6895924401108067</v>
      </c>
      <c r="Q338" s="482">
        <f t="shared" si="169"/>
        <v>12.372125224509711</v>
      </c>
      <c r="R338" s="484">
        <f>IFERROR(Q338/Q341,"")</f>
        <v>1.8770102436537411E-2</v>
      </c>
      <c r="S338" s="484"/>
      <c r="T338" s="607"/>
      <c r="U338" s="484"/>
      <c r="V338" s="484"/>
      <c r="W338" s="484"/>
      <c r="X338" s="484"/>
      <c r="Y338" s="484"/>
      <c r="Z338" s="484"/>
      <c r="AA338" s="484"/>
      <c r="AB338" s="484"/>
      <c r="AC338" s="484"/>
      <c r="AD338" s="484"/>
      <c r="AE338" s="484"/>
      <c r="AF338" s="484"/>
      <c r="AG338" s="484"/>
      <c r="AH338" s="484"/>
      <c r="AI338" s="484"/>
      <c r="AJ338" s="484"/>
    </row>
    <row r="339" spans="2:36" x14ac:dyDescent="0.35">
      <c r="B339" s="30" t="str">
        <f t="shared" si="164"/>
        <v>Energex</v>
      </c>
      <c r="C339" s="30" t="str">
        <f t="shared" si="165"/>
        <v>Residential</v>
      </c>
      <c r="D339" s="30" t="str">
        <f t="shared" si="166"/>
        <v>flat rate</v>
      </c>
      <c r="E339" s="30" t="s">
        <v>19</v>
      </c>
      <c r="F339" s="258">
        <f t="shared" si="170"/>
        <v>4600</v>
      </c>
      <c r="G339" s="30" t="s">
        <v>302</v>
      </c>
      <c r="H339" s="482"/>
      <c r="I339" s="482"/>
      <c r="J339" s="482"/>
      <c r="K339" s="484"/>
      <c r="L339" s="484"/>
      <c r="M339" s="484"/>
      <c r="N339" s="563"/>
      <c r="O339" s="482"/>
      <c r="P339" s="482" cm="1">
        <f t="array" ref="P339">IFERROR(_xlfn.XLOOKUP(1,($B339=DistributionZone)*(P$5=Desc_FixedOrVar)*($G339=Description)*($E339=tariffType),valuesFY),0)</f>
        <v>0.99299999999999788</v>
      </c>
      <c r="Q339" s="482">
        <f t="shared" ref="Q339" si="171">O339+P339*$F339/1000</f>
        <v>4.5677999999999903</v>
      </c>
      <c r="R339" s="484">
        <f>IFERROR(Q339/Q341,"")</f>
        <v>6.9299390649364421E-3</v>
      </c>
      <c r="S339" s="484"/>
      <c r="T339" s="607"/>
      <c r="U339" s="484"/>
      <c r="V339" s="484"/>
      <c r="W339" s="484"/>
      <c r="X339" s="484"/>
      <c r="Y339" s="484"/>
      <c r="Z339" s="484"/>
      <c r="AA339" s="484"/>
      <c r="AB339" s="484"/>
      <c r="AC339" s="484"/>
      <c r="AD339" s="484"/>
      <c r="AE339" s="484"/>
      <c r="AF339" s="484"/>
      <c r="AG339" s="484"/>
      <c r="AH339" s="484"/>
      <c r="AI339" s="484"/>
      <c r="AJ339" s="484"/>
    </row>
    <row r="340" spans="2:36" x14ac:dyDescent="0.35">
      <c r="B340" s="30" t="str">
        <f>B338</f>
        <v>Energex</v>
      </c>
      <c r="C340" s="30" t="str">
        <f>C338</f>
        <v>Residential</v>
      </c>
      <c r="D340" s="30" t="str">
        <f>D338</f>
        <v>flat rate</v>
      </c>
      <c r="E340" s="30" t="s">
        <v>19</v>
      </c>
      <c r="F340" s="258">
        <f>F338</f>
        <v>4600</v>
      </c>
      <c r="G340" s="30" t="s">
        <v>72</v>
      </c>
      <c r="H340" s="482"/>
      <c r="I340" s="482" cm="1">
        <f t="array" ref="I340">IFERROR(_xlfn.XLOOKUP(1,($B340=DistributionZone)*($C340=CustomerType)*($E340=tariffType)*($G340=Description),valuesPY),0)*SUM(I333:I338)</f>
        <v>9.1721152173343405</v>
      </c>
      <c r="J340" s="482">
        <f t="shared" si="167"/>
        <v>42.191729999737966</v>
      </c>
      <c r="K340" s="484">
        <f>IFERROR(J340/J341,"")</f>
        <v>5.4794004408298028E-2</v>
      </c>
      <c r="L340" s="484"/>
      <c r="M340" s="484">
        <f t="shared" si="168"/>
        <v>-0.15621132918162861</v>
      </c>
      <c r="N340" s="563"/>
      <c r="O340" s="482"/>
      <c r="P340" s="482" cm="1">
        <f t="array" ref="P340">IFERROR(_xlfn.XLOOKUP(1,($B340=DistributionZone)*($C340=CustomerType)*($E340=tariffType)*($G340=Description),valuesFY),0)*SUM(P333:P339)</f>
        <v>7.7393269078275004</v>
      </c>
      <c r="Q340" s="482">
        <f t="shared" si="169"/>
        <v>35.600903776006504</v>
      </c>
      <c r="R340" s="484">
        <f>IFERROR(Q340/Q341,"")</f>
        <v>5.4011141867943278E-2</v>
      </c>
      <c r="S340" s="484"/>
      <c r="T340" s="607"/>
      <c r="U340" s="484"/>
      <c r="V340" s="484"/>
      <c r="W340" s="484"/>
      <c r="X340" s="484"/>
      <c r="Y340" s="484"/>
      <c r="Z340" s="484"/>
      <c r="AA340" s="484"/>
      <c r="AB340" s="484"/>
      <c r="AC340" s="484"/>
      <c r="AD340" s="484"/>
      <c r="AE340" s="484"/>
      <c r="AF340" s="484"/>
      <c r="AG340" s="484"/>
      <c r="AH340" s="484"/>
      <c r="AI340" s="484"/>
      <c r="AJ340" s="484"/>
    </row>
    <row r="341" spans="2:36" x14ac:dyDescent="0.35">
      <c r="B341" s="30" t="str">
        <f t="shared" si="164"/>
        <v>Energex</v>
      </c>
      <c r="C341" s="30" t="str">
        <f t="shared" si="165"/>
        <v>Residential</v>
      </c>
      <c r="D341" s="30" t="str">
        <f t="shared" si="166"/>
        <v>flat rate</v>
      </c>
      <c r="E341" s="30" t="s">
        <v>19</v>
      </c>
      <c r="F341" s="258">
        <f t="shared" si="170"/>
        <v>4600</v>
      </c>
      <c r="G341" s="64" t="s">
        <v>55</v>
      </c>
      <c r="H341" s="487">
        <f>SUM(H333:H340)</f>
        <v>13.835244134497829</v>
      </c>
      <c r="I341" s="487">
        <f>SUM(I333:I340)</f>
        <v>164.38501771145573</v>
      </c>
      <c r="J341" s="487">
        <f>SUM(J333:J340)</f>
        <v>770.00632560719419</v>
      </c>
      <c r="K341" s="564"/>
      <c r="L341" s="565"/>
      <c r="M341" s="564">
        <f t="shared" si="168"/>
        <v>-0.14398106484145745</v>
      </c>
      <c r="N341" s="566"/>
      <c r="O341" s="487">
        <f>SUM(O335:O340)</f>
        <v>13.125399999999999</v>
      </c>
      <c r="P341" s="487">
        <f>SUM(P333:P340)</f>
        <v>140.4379554155679</v>
      </c>
      <c r="Q341" s="487">
        <f>SUM(Q333:Q340)</f>
        <v>659.13999491161235</v>
      </c>
      <c r="R341" s="564"/>
      <c r="S341" s="564"/>
      <c r="T341" s="611"/>
      <c r="U341" s="564"/>
      <c r="V341" s="564"/>
      <c r="W341" s="564"/>
      <c r="X341" s="564"/>
      <c r="Y341" s="564"/>
      <c r="Z341" s="564"/>
      <c r="AA341" s="564"/>
      <c r="AB341" s="564"/>
      <c r="AC341" s="564"/>
      <c r="AD341" s="564"/>
      <c r="AE341" s="564"/>
      <c r="AF341" s="564"/>
      <c r="AG341" s="564"/>
      <c r="AH341" s="564"/>
      <c r="AI341" s="564"/>
      <c r="AJ341" s="564"/>
    </row>
    <row r="342" spans="2:36" x14ac:dyDescent="0.35">
      <c r="B342" s="30" t="str">
        <f t="shared" si="164"/>
        <v>Energex</v>
      </c>
      <c r="C342" s="30" t="str">
        <f t="shared" si="165"/>
        <v>Residential</v>
      </c>
      <c r="D342" s="30" t="str">
        <f t="shared" si="166"/>
        <v>flat rate</v>
      </c>
      <c r="F342" s="258"/>
      <c r="G342" s="30" t="s">
        <v>38</v>
      </c>
      <c r="H342" s="482"/>
      <c r="I342" s="482"/>
      <c r="J342" s="482">
        <f>J341*GST</f>
        <v>77.000632560719424</v>
      </c>
      <c r="K342" s="484"/>
      <c r="L342" s="567"/>
      <c r="M342" s="484"/>
      <c r="N342" s="568"/>
      <c r="O342" s="482"/>
      <c r="P342" s="482"/>
      <c r="Q342" s="482">
        <f>Q341*GST</f>
        <v>65.913999491161235</v>
      </c>
      <c r="R342" s="564"/>
      <c r="S342" s="564"/>
      <c r="T342" s="611"/>
      <c r="U342" s="564"/>
      <c r="V342" s="564"/>
      <c r="W342" s="564"/>
      <c r="X342" s="564"/>
      <c r="Y342" s="564"/>
      <c r="Z342" s="564"/>
      <c r="AA342" s="564"/>
      <c r="AB342" s="564"/>
      <c r="AC342" s="564"/>
      <c r="AD342" s="564"/>
      <c r="AE342" s="564"/>
      <c r="AF342" s="564"/>
      <c r="AG342" s="564"/>
      <c r="AH342" s="564"/>
      <c r="AI342" s="564"/>
      <c r="AJ342" s="564"/>
    </row>
    <row r="343" spans="2:36" x14ac:dyDescent="0.35">
      <c r="B343" s="30" t="str">
        <f t="shared" si="164"/>
        <v>Energex</v>
      </c>
      <c r="C343" s="30" t="str">
        <f t="shared" si="165"/>
        <v>Residential</v>
      </c>
      <c r="D343" s="30" t="str">
        <f t="shared" si="166"/>
        <v>flat rate</v>
      </c>
      <c r="E343" s="30" t="s">
        <v>19</v>
      </c>
      <c r="F343" s="258"/>
      <c r="G343" s="64" t="s">
        <v>79</v>
      </c>
      <c r="H343" s="487"/>
      <c r="I343" s="487"/>
      <c r="J343" s="487">
        <f>SUM(J341:J342)</f>
        <v>847.00695816791358</v>
      </c>
      <c r="K343" s="564"/>
      <c r="L343" s="565"/>
      <c r="M343" s="564">
        <f>IF(OR(J343=0,Q343=""),"",Q343/J343-1)</f>
        <v>-0.14398106484145745</v>
      </c>
      <c r="N343" s="566"/>
      <c r="O343" s="487"/>
      <c r="P343" s="487"/>
      <c r="Q343" s="487">
        <f>SUM(Q341:Q342)</f>
        <v>725.05399440277358</v>
      </c>
      <c r="R343" s="564"/>
      <c r="S343" s="564"/>
      <c r="T343" s="611"/>
      <c r="U343" s="596"/>
      <c r="V343" s="564"/>
      <c r="W343" s="564"/>
      <c r="X343" s="564"/>
      <c r="Y343" s="564"/>
      <c r="Z343" s="564"/>
      <c r="AA343" s="564"/>
      <c r="AB343" s="564"/>
      <c r="AC343" s="564"/>
      <c r="AD343" s="564"/>
      <c r="AE343" s="564"/>
      <c r="AF343" s="564"/>
      <c r="AG343" s="564"/>
      <c r="AH343" s="564"/>
      <c r="AI343" s="564"/>
      <c r="AJ343" s="564"/>
    </row>
    <row r="344" spans="2:36" s="597" customFormat="1" x14ac:dyDescent="0.35">
      <c r="F344" s="598"/>
      <c r="H344" s="599"/>
      <c r="I344" s="599"/>
      <c r="J344" s="599"/>
      <c r="K344" s="600"/>
      <c r="L344" s="601"/>
      <c r="M344" s="600"/>
      <c r="N344" s="602"/>
      <c r="O344" s="599"/>
      <c r="P344" s="599"/>
      <c r="Q344" s="599"/>
      <c r="R344" s="600"/>
      <c r="S344" s="600"/>
      <c r="T344" s="623"/>
      <c r="U344" s="600"/>
      <c r="V344" s="600"/>
      <c r="W344" s="600"/>
      <c r="X344" s="600"/>
      <c r="Y344" s="600"/>
      <c r="Z344" s="600"/>
      <c r="AA344" s="600"/>
      <c r="AB344" s="600"/>
      <c r="AC344" s="600"/>
      <c r="AD344" s="600"/>
      <c r="AE344" s="600"/>
      <c r="AF344" s="600"/>
      <c r="AG344" s="600"/>
      <c r="AH344" s="600"/>
      <c r="AI344" s="600"/>
      <c r="AJ344" s="600"/>
    </row>
    <row r="345" spans="2:36" s="570" customFormat="1" x14ac:dyDescent="0.35">
      <c r="B345" s="571" t="s">
        <v>0</v>
      </c>
      <c r="C345" s="571" t="s">
        <v>6</v>
      </c>
      <c r="D345" s="571" t="s">
        <v>272</v>
      </c>
      <c r="F345" s="485"/>
      <c r="H345" s="574"/>
      <c r="I345" s="574"/>
      <c r="J345" s="574"/>
      <c r="K345" s="575"/>
      <c r="L345" s="581"/>
      <c r="M345" s="575"/>
      <c r="N345" s="582"/>
      <c r="O345" s="574"/>
      <c r="P345" s="574"/>
      <c r="Q345" s="574"/>
      <c r="R345" s="575"/>
      <c r="S345" s="575"/>
      <c r="T345" s="612"/>
      <c r="U345" s="575"/>
      <c r="V345" s="575"/>
      <c r="W345" s="575"/>
      <c r="X345" s="575"/>
      <c r="Y345" s="575"/>
      <c r="Z345" s="575"/>
      <c r="AA345" s="575"/>
      <c r="AB345" s="575"/>
      <c r="AC345" s="575"/>
      <c r="AD345" s="575"/>
      <c r="AE345" s="575"/>
      <c r="AF345" s="575"/>
      <c r="AG345" s="575"/>
      <c r="AH345" s="575"/>
      <c r="AI345" s="575"/>
      <c r="AJ345" s="575"/>
    </row>
    <row r="346" spans="2:36" s="570" customFormat="1" x14ac:dyDescent="0.35">
      <c r="B346" s="570" t="str">
        <f t="shared" ref="B346:B375" si="172">B345</f>
        <v>Energex</v>
      </c>
      <c r="C346" s="570" t="str">
        <f t="shared" ref="C346:D375" si="173">C345</f>
        <v>Residential</v>
      </c>
      <c r="D346" s="30" t="str">
        <f>D345</f>
        <v>time of use</v>
      </c>
      <c r="E346" s="570" t="s">
        <v>279</v>
      </c>
      <c r="F346" s="485" cm="1">
        <f t="array" ref="F346">_xlfn.XLOOKUP(1,($B346=DistributionZone)*($C346=CustomerType)*($D346=tariffL2)*($F$5=Description),valuesPY)*_xlfn.XLOOKUP(1,($B346=DistributionZone)*($C346=CustomerType)*($D346=tariffL2)*($E346=tariffType)*("Usage proportion"=Description),valuesFY)</f>
        <v>1085.7113608025084</v>
      </c>
      <c r="G346" s="570" t="s">
        <v>69</v>
      </c>
      <c r="H346" s="574"/>
      <c r="I346" s="574" cm="1">
        <f t="array" ref="I346">IFERROR(_xlfn.XLOOKUP(1,($B346=DistributionZone)*($C346=CustomerType)*($E346=tariffType)*("WEC scale"=Description),valuesPY),0)*$I333</f>
        <v>0</v>
      </c>
      <c r="J346" s="574">
        <f t="shared" ref="J346:J351" si="174">H346+I346*F346/1000</f>
        <v>0</v>
      </c>
      <c r="K346" s="575" t="str">
        <f>IFERROR(J346/J354,"")</f>
        <v/>
      </c>
      <c r="L346" s="575"/>
      <c r="M346" s="575" t="str">
        <f t="shared" ref="M346:M353" si="175">IF(OR(J346=0,Q346=""),"",Q346/J346-1)</f>
        <v/>
      </c>
      <c r="N346" s="576"/>
      <c r="O346" s="574"/>
      <c r="P346" s="574" cm="1">
        <f t="array" ref="P346">IFERROR(_xlfn.XLOOKUP(1,($B346=DistributionZone)*($C346=CustomerType)*($E346=tariffType)*("WEC"=Description),valuesFY),0)</f>
        <v>40.044524801981424</v>
      </c>
      <c r="Q346" s="574">
        <f>O346+P346*F346/1000</f>
        <v>43.476795515449048</v>
      </c>
      <c r="R346" s="575">
        <f>IFERROR(Q346/Q354,"")</f>
        <v>0.67463588936669183</v>
      </c>
      <c r="S346" s="575"/>
      <c r="T346" s="613"/>
      <c r="U346" s="575"/>
      <c r="V346" s="575"/>
      <c r="W346" s="575"/>
      <c r="X346" s="575"/>
      <c r="Y346" s="575"/>
      <c r="Z346" s="575"/>
      <c r="AA346" s="575"/>
      <c r="AB346" s="575"/>
      <c r="AC346" s="575"/>
      <c r="AD346" s="575"/>
      <c r="AE346" s="575"/>
      <c r="AF346" s="575"/>
      <c r="AG346" s="575"/>
      <c r="AH346" s="575"/>
      <c r="AI346" s="575"/>
      <c r="AJ346" s="575"/>
    </row>
    <row r="347" spans="2:36" s="570" customFormat="1" x14ac:dyDescent="0.35">
      <c r="B347" s="570" t="str">
        <f t="shared" si="172"/>
        <v>Energex</v>
      </c>
      <c r="C347" s="570" t="str">
        <f t="shared" si="173"/>
        <v>Residential</v>
      </c>
      <c r="D347" s="30" t="str">
        <f t="shared" si="173"/>
        <v>time of use</v>
      </c>
      <c r="E347" s="570" t="s">
        <v>279</v>
      </c>
      <c r="F347" s="485" cm="1">
        <f t="array" ref="F347">_xlfn.XLOOKUP(1,($B347=DistributionZone)*($C347=CustomerType)*($D347=tariffL2)*($F$5=Description),valuesPY)*_xlfn.XLOOKUP(1,($B347=DistributionZone)*($C347=CustomerType)*($D347=tariffL2)*($E347=tariffType)*("Usage proportion"=Description),valuesFY)</f>
        <v>1085.7113608025084</v>
      </c>
      <c r="G347" s="570" t="s">
        <v>70</v>
      </c>
      <c r="H347" s="574"/>
      <c r="I347" s="574" cm="1">
        <f t="array" ref="I347">IFERROR(_xlfn.XLOOKUP(1,($B347=DistributionZone)*($I$5=Desc_FixedOrVar)*($G347=Description),valuesPY),0)</f>
        <v>0.73511316732430898</v>
      </c>
      <c r="J347" s="574">
        <f t="shared" si="174"/>
        <v>0.7981207172395175</v>
      </c>
      <c r="K347" s="575" t="str">
        <f>IFERROR(J347/J354,"")</f>
        <v/>
      </c>
      <c r="L347" s="575"/>
      <c r="M347" s="575">
        <f t="shared" si="175"/>
        <v>-0.43323547155862829</v>
      </c>
      <c r="N347" s="576"/>
      <c r="O347" s="574"/>
      <c r="P347" s="574" cm="1">
        <f t="array" ref="P347">IFERROR(_xlfn.XLOOKUP(1,($B347=DistributionZone)*($I$5=Desc_FixedOrVar)*($G347=Description),valuesFY),0)</f>
        <v>0.4166360676296052</v>
      </c>
      <c r="Q347" s="574">
        <f t="shared" ref="Q347:Q353" si="176">IF(AND(O347="",P347=""),"",O347+P347*$F347/1000)</f>
        <v>0.45234651194554454</v>
      </c>
      <c r="R347" s="575">
        <f>IFERROR(Q347/Q354,"")</f>
        <v>7.0191279686163737E-3</v>
      </c>
      <c r="S347" s="575"/>
      <c r="T347" s="613"/>
      <c r="U347" s="575"/>
      <c r="V347" s="575"/>
      <c r="W347" s="575"/>
      <c r="X347" s="575"/>
      <c r="Y347" s="575"/>
      <c r="Z347" s="575"/>
      <c r="AA347" s="575"/>
      <c r="AB347" s="575"/>
      <c r="AC347" s="575"/>
      <c r="AD347" s="575"/>
      <c r="AE347" s="575"/>
      <c r="AF347" s="575"/>
      <c r="AG347" s="575"/>
      <c r="AH347" s="575"/>
      <c r="AI347" s="575"/>
      <c r="AJ347" s="575"/>
    </row>
    <row r="348" spans="2:36" s="570" customFormat="1" x14ac:dyDescent="0.35">
      <c r="B348" s="570" t="str">
        <f t="shared" si="172"/>
        <v>Energex</v>
      </c>
      <c r="C348" s="570" t="str">
        <f t="shared" si="173"/>
        <v>Residential</v>
      </c>
      <c r="D348" s="30" t="str">
        <f t="shared" si="173"/>
        <v>time of use</v>
      </c>
      <c r="E348" s="570" t="s">
        <v>279</v>
      </c>
      <c r="F348" s="485" cm="1">
        <f t="array" ref="F348">_xlfn.XLOOKUP(1,($B348=DistributionZone)*($C348=CustomerType)*($D348=tariffL2)*($F$5=Description),valuesPY)*_xlfn.XLOOKUP(1,($B348=DistributionZone)*($C348=CustomerType)*($D348=tariffL2)*($E348=tariffType)*("Usage proportion"=Description),valuesFY)</f>
        <v>1085.7113608025084</v>
      </c>
      <c r="G348" s="570" t="s">
        <v>77</v>
      </c>
      <c r="H348" s="574" cm="1">
        <f t="array" ref="H348">IFERROR(_xlfn.XLOOKUP(1,($B348=DistributionZone)*(H$5=Desc_FixedOrVar)*($G348=Description),valuesPY),0)*Days/7</f>
        <v>13.835244134497829</v>
      </c>
      <c r="I348" s="574" cm="1">
        <f t="array" ref="I348">IFERROR(_xlfn.XLOOKUP(1,($B348=DistributionZone)*($I$5=Desc_FixedOrVar)*($G348=Description),valuesPY),0)</f>
        <v>0.57443</v>
      </c>
      <c r="J348" s="574">
        <f t="shared" si="174"/>
        <v>14.458909311483614</v>
      </c>
      <c r="K348" s="575" t="str">
        <f>IFERROR(J348/J354,"")</f>
        <v/>
      </c>
      <c r="L348" s="575"/>
      <c r="M348" s="575">
        <f t="shared" si="175"/>
        <v>-5.3226063882395702E-2</v>
      </c>
      <c r="N348" s="576"/>
      <c r="O348" s="574" cm="1">
        <f t="array" ref="O348">IFERROR(_xlfn.XLOOKUP(1,($B348=DistributionZone)*(O$5=Desc_FixedOrVar)*($G348=Description),valuesFY),0)*Days/7</f>
        <v>13.125399999999999</v>
      </c>
      <c r="P348" s="574" cm="1">
        <f t="array" ref="P348">IFERROR(_xlfn.XLOOKUP(1,($B348=DistributionZone)*($I$5=Desc_FixedOrVar)*($G348=Description),valuesFY),0)</f>
        <v>0.51939999999999997</v>
      </c>
      <c r="Q348" s="574">
        <f t="shared" si="176"/>
        <v>13.689318480800821</v>
      </c>
      <c r="R348" s="575">
        <f>IFERROR(Q348/Q354,"")</f>
        <v>0.2124191868013198</v>
      </c>
      <c r="S348" s="575"/>
      <c r="T348" s="613"/>
      <c r="U348" s="575"/>
      <c r="V348" s="575"/>
      <c r="W348" s="575"/>
      <c r="X348" s="575"/>
      <c r="Y348" s="575"/>
      <c r="Z348" s="575"/>
      <c r="AA348" s="575"/>
      <c r="AB348" s="575"/>
      <c r="AC348" s="575"/>
      <c r="AD348" s="575"/>
      <c r="AE348" s="575"/>
      <c r="AF348" s="575"/>
      <c r="AG348" s="575"/>
      <c r="AH348" s="575"/>
      <c r="AI348" s="575"/>
      <c r="AJ348" s="575"/>
    </row>
    <row r="349" spans="2:36" s="570" customFormat="1" x14ac:dyDescent="0.35">
      <c r="B349" s="570" t="str">
        <f t="shared" si="172"/>
        <v>Energex</v>
      </c>
      <c r="C349" s="570" t="str">
        <f t="shared" si="173"/>
        <v>Residential</v>
      </c>
      <c r="D349" s="30" t="str">
        <f t="shared" si="173"/>
        <v>time of use</v>
      </c>
      <c r="E349" s="570" t="s">
        <v>279</v>
      </c>
      <c r="F349" s="485" cm="1">
        <f t="array" ref="F349">_xlfn.XLOOKUP(1,($B349=DistributionZone)*($C349=CustomerType)*($D349=tariffL2)*($F$5=Description),valuesPY)*_xlfn.XLOOKUP(1,($B349=DistributionZone)*($C349=CustomerType)*($D349=tariffL2)*($E349=tariffType)*("Usage proportion"=Description),valuesFY)</f>
        <v>1085.7113608025084</v>
      </c>
      <c r="G349" s="570" t="s">
        <v>71</v>
      </c>
      <c r="H349" s="574"/>
      <c r="I349" s="574" cm="1">
        <f t="array" ref="I349">IFERROR(_xlfn.XLOOKUP(1,($B349=DistributionZone)*($I$5=Desc_FixedOrVar)*($G349=Description),valuesPY),0)</f>
        <v>0</v>
      </c>
      <c r="J349" s="574">
        <f t="shared" si="174"/>
        <v>0</v>
      </c>
      <c r="K349" s="575" t="str">
        <f>IFERROR(J349/J354,"")</f>
        <v/>
      </c>
      <c r="L349" s="575"/>
      <c r="M349" s="575" t="str">
        <f t="shared" si="175"/>
        <v/>
      </c>
      <c r="N349" s="576"/>
      <c r="O349" s="574"/>
      <c r="P349" s="574" cm="1">
        <f t="array" ref="P349">IFERROR(_xlfn.XLOOKUP(1,($B349=DistributionZone)*($I$5=Desc_FixedOrVar)*($G349=Description),valuesFY),0)</f>
        <v>0</v>
      </c>
      <c r="Q349" s="574">
        <f t="shared" si="176"/>
        <v>0</v>
      </c>
      <c r="R349" s="575">
        <f>IFERROR(Q349/Q354,"")</f>
        <v>0</v>
      </c>
      <c r="S349" s="575"/>
      <c r="T349" s="612"/>
      <c r="U349" s="575"/>
      <c r="V349" s="575"/>
      <c r="W349" s="575"/>
      <c r="X349" s="575"/>
      <c r="Y349" s="575"/>
      <c r="Z349" s="575"/>
      <c r="AA349" s="575"/>
      <c r="AB349" s="575"/>
      <c r="AC349" s="575"/>
      <c r="AD349" s="575"/>
      <c r="AE349" s="575"/>
      <c r="AF349" s="575"/>
      <c r="AG349" s="575"/>
      <c r="AH349" s="575"/>
      <c r="AI349" s="575"/>
      <c r="AJ349" s="575"/>
    </row>
    <row r="350" spans="2:36" s="570" customFormat="1" x14ac:dyDescent="0.35">
      <c r="B350" s="570" t="str">
        <f t="shared" si="172"/>
        <v>Energex</v>
      </c>
      <c r="C350" s="570" t="str">
        <f t="shared" si="173"/>
        <v>Residential</v>
      </c>
      <c r="D350" s="30" t="str">
        <f t="shared" si="173"/>
        <v>time of use</v>
      </c>
      <c r="E350" s="570" t="s">
        <v>279</v>
      </c>
      <c r="F350" s="485" cm="1">
        <f t="array" ref="F350">_xlfn.XLOOKUP(1,($B350=DistributionZone)*($C350=CustomerType)*($D350=tariffL2)*($F$5=Description),valuesPY)*_xlfn.XLOOKUP(1,($B350=DistributionZone)*($C350=CustomerType)*($D350=tariffL2)*($E350=tariffType)*("Usage proportion"=Description),valuesFY)</f>
        <v>1085.7113608025084</v>
      </c>
      <c r="G350" s="570" t="s">
        <v>173</v>
      </c>
      <c r="H350" s="574"/>
      <c r="I350" s="574" cm="1">
        <f t="array" ref="I350">IFERROR(_xlfn.XLOOKUP(1,($B350=DistributionZone)*($I$5=Desc_FixedOrVar)*($G350=Description),valuesPY),0)</f>
        <v>0</v>
      </c>
      <c r="J350" s="574">
        <f t="shared" si="174"/>
        <v>0</v>
      </c>
      <c r="K350" s="575" t="str">
        <f>IFERROR(J350/J354,"")</f>
        <v/>
      </c>
      <c r="L350" s="575"/>
      <c r="M350" s="575" t="str">
        <f t="shared" si="175"/>
        <v/>
      </c>
      <c r="N350" s="576"/>
      <c r="O350" s="574"/>
      <c r="P350" s="574" cm="1">
        <f t="array" ref="P350">IFERROR(_xlfn.XLOOKUP(1,($B350=DistributionZone)*($I$5=Desc_FixedOrVar)*($G350=Description),valuesFY),0)</f>
        <v>0</v>
      </c>
      <c r="Q350" s="574">
        <f t="shared" si="176"/>
        <v>0</v>
      </c>
      <c r="R350" s="575">
        <f>IFERROR(Q350/Q354,"")</f>
        <v>0</v>
      </c>
      <c r="S350" s="575"/>
      <c r="T350" s="612"/>
      <c r="U350" s="575"/>
      <c r="V350" s="575"/>
      <c r="W350" s="575"/>
      <c r="X350" s="575"/>
      <c r="Y350" s="575"/>
      <c r="Z350" s="575"/>
      <c r="AA350" s="575"/>
      <c r="AB350" s="575"/>
      <c r="AC350" s="575"/>
      <c r="AD350" s="575"/>
      <c r="AE350" s="575"/>
      <c r="AF350" s="575"/>
      <c r="AG350" s="575"/>
      <c r="AH350" s="575"/>
      <c r="AI350" s="575"/>
      <c r="AJ350" s="575"/>
    </row>
    <row r="351" spans="2:36" s="570" customFormat="1" x14ac:dyDescent="0.35">
      <c r="B351" s="570" t="str">
        <f t="shared" si="172"/>
        <v>Energex</v>
      </c>
      <c r="C351" s="570" t="str">
        <f t="shared" si="173"/>
        <v>Residential</v>
      </c>
      <c r="D351" s="30" t="str">
        <f t="shared" si="173"/>
        <v>time of use</v>
      </c>
      <c r="E351" s="570" t="s">
        <v>279</v>
      </c>
      <c r="F351" s="485" cm="1">
        <f t="array" ref="F351">_xlfn.XLOOKUP(1,($B351=DistributionZone)*($C351=CustomerType)*($D351=tariffL2)*($F$5=Description),valuesPY)*_xlfn.XLOOKUP(1,($B351=DistributionZone)*($C351=CustomerType)*($D351=tariffL2)*($E351=tariffType)*("Usage proportion"=Description),valuesFY)</f>
        <v>1085.7113608025084</v>
      </c>
      <c r="G351" s="570" t="s">
        <v>130</v>
      </c>
      <c r="H351" s="574"/>
      <c r="I351" s="574" cm="1">
        <f t="array" ref="I351">IFERROR(_xlfn.XLOOKUP(1,($B351=DistributionZone)*($I$5=Desc_FixedOrVar)*($G351=Description),valuesPY),0)</f>
        <v>3.27335932679709</v>
      </c>
      <c r="J351" s="574">
        <f t="shared" si="174"/>
        <v>3.5539234090924512</v>
      </c>
      <c r="K351" s="575" t="str">
        <f>IFERROR(J351/J354,"")</f>
        <v/>
      </c>
      <c r="L351" s="575"/>
      <c r="M351" s="575">
        <f t="shared" si="175"/>
        <v>-0.17833877323131719</v>
      </c>
      <c r="N351" s="576"/>
      <c r="O351" s="574"/>
      <c r="P351" s="574" cm="1">
        <f t="array" ref="P351">IFERROR(_xlfn.XLOOKUP(1,($B351=DistributionZone)*($I$5=Desc_FixedOrVar)*($G351=Description),valuesFY),0)</f>
        <v>2.6895924401108067</v>
      </c>
      <c r="Q351" s="574">
        <f t="shared" si="176"/>
        <v>2.9201210681568428</v>
      </c>
      <c r="R351" s="575">
        <f>IFERROR(Q351/Q354,"")</f>
        <v>4.5311952054386789E-2</v>
      </c>
      <c r="S351" s="575"/>
      <c r="T351" s="612"/>
      <c r="U351" s="575"/>
      <c r="V351" s="575"/>
      <c r="W351" s="575"/>
      <c r="X351" s="575"/>
      <c r="Y351" s="575"/>
      <c r="Z351" s="575"/>
      <c r="AA351" s="575"/>
      <c r="AB351" s="575"/>
      <c r="AC351" s="575"/>
      <c r="AD351" s="575"/>
      <c r="AE351" s="575"/>
      <c r="AF351" s="575"/>
      <c r="AG351" s="575"/>
      <c r="AH351" s="575"/>
      <c r="AI351" s="575"/>
      <c r="AJ351" s="575"/>
    </row>
    <row r="352" spans="2:36" s="570" customFormat="1" x14ac:dyDescent="0.35">
      <c r="B352" s="570" t="str">
        <f t="shared" si="172"/>
        <v>Energex</v>
      </c>
      <c r="C352" s="570" t="str">
        <f t="shared" si="173"/>
        <v>Residential</v>
      </c>
      <c r="D352" s="30" t="str">
        <f t="shared" si="173"/>
        <v>time of use</v>
      </c>
      <c r="E352" s="570" t="s">
        <v>279</v>
      </c>
      <c r="F352" s="485" cm="1">
        <f t="array" ref="F352">_xlfn.XLOOKUP(1,($B352=DistributionZone)*($C352=CustomerType)*($D352=tariffL2)*($F$5=Description),valuesPY)*_xlfn.XLOOKUP(1,($B352=DistributionZone)*($C352=CustomerType)*($D352=tariffL2)*($E352=tariffType)*("Usage proportion"=Description),valuesFY)</f>
        <v>1085.7113608025084</v>
      </c>
      <c r="G352" s="570" t="s">
        <v>302</v>
      </c>
      <c r="H352" s="574"/>
      <c r="I352" s="574" cm="1">
        <f t="array" ref="I352">IFERROR(_xlfn.XLOOKUP(1,($B352=DistributionZone)*($I$5=Desc_FixedOrVar)*($G352=Description),valuesPY),0)</f>
        <v>0</v>
      </c>
      <c r="J352" s="574">
        <f t="shared" ref="J352" si="177">H352+I352*F352/1000</f>
        <v>0</v>
      </c>
      <c r="K352" s="575" t="str">
        <f>IFERROR(J352/J355,"")</f>
        <v/>
      </c>
      <c r="L352" s="575"/>
      <c r="M352" s="575" t="str">
        <f t="shared" ref="M352" si="178">IF(OR(J352=0,Q352=""),"",Q352/J352-1)</f>
        <v/>
      </c>
      <c r="N352" s="576"/>
      <c r="O352" s="574"/>
      <c r="P352" s="574" cm="1">
        <f t="array" ref="P352">IFERROR(_xlfn.XLOOKUP(1,($B352=DistributionZone)*($D352=tariffL2)*($G352=Description),valuesFY),0)</f>
        <v>0.99299999999999788</v>
      </c>
      <c r="Q352" s="574">
        <f t="shared" ref="Q352" si="179">IF(AND(O352="",P352=""),"",O352+P352*$F352/1000)</f>
        <v>1.0781113812768885</v>
      </c>
      <c r="R352" s="575">
        <f>IFERROR(Q352/Q354,"")</f>
        <v>1.6729214329644786E-2</v>
      </c>
      <c r="S352" s="575"/>
      <c r="T352" s="612"/>
      <c r="U352" s="575"/>
      <c r="V352" s="575"/>
      <c r="W352" s="575"/>
      <c r="X352" s="575"/>
      <c r="Y352" s="575"/>
      <c r="Z352" s="575"/>
      <c r="AA352" s="575"/>
      <c r="AB352" s="575"/>
      <c r="AC352" s="575"/>
      <c r="AD352" s="575"/>
      <c r="AE352" s="575"/>
      <c r="AF352" s="575"/>
      <c r="AG352" s="575"/>
      <c r="AH352" s="575"/>
      <c r="AI352" s="575"/>
      <c r="AJ352" s="575"/>
    </row>
    <row r="353" spans="2:36" s="570" customFormat="1" x14ac:dyDescent="0.35">
      <c r="B353" s="570" t="str">
        <f t="shared" si="172"/>
        <v>Energex</v>
      </c>
      <c r="C353" s="570" t="str">
        <f t="shared" si="173"/>
        <v>Residential</v>
      </c>
      <c r="D353" s="30" t="str">
        <f t="shared" si="173"/>
        <v>time of use</v>
      </c>
      <c r="E353" s="570" t="s">
        <v>279</v>
      </c>
      <c r="F353" s="485" cm="1">
        <f t="array" ref="F353">_xlfn.XLOOKUP(1,($B353=DistributionZone)*($C353=CustomerType)*($D353=tariffL2)*($F$5=Description),valuesPY)*_xlfn.XLOOKUP(1,($B353=DistributionZone)*($C353=CustomerType)*($D353=tariffL2)*($E353=tariffType)*("Usage proportion"=Description),valuesFY)</f>
        <v>1085.7113608025084</v>
      </c>
      <c r="G353" s="570" t="s">
        <v>72</v>
      </c>
      <c r="H353" s="574"/>
      <c r="I353" s="574" cm="1">
        <f t="array" ref="I353">IFERROR(_xlfn.XLOOKUP(1,($B353=DistributionZone)*($C353=CustomerType)*("Losses"=Description),valuesPY),0)*SUM(I346:I351)</f>
        <v>0</v>
      </c>
      <c r="J353" s="574">
        <f>I353*F353/1000</f>
        <v>0</v>
      </c>
      <c r="K353" s="575" t="str">
        <f>IFERROR(J353/J354,"")</f>
        <v/>
      </c>
      <c r="L353" s="575"/>
      <c r="M353" s="575" t="str">
        <f t="shared" si="175"/>
        <v/>
      </c>
      <c r="N353" s="576"/>
      <c r="O353" s="574"/>
      <c r="P353" s="574" cm="1">
        <f t="array" ref="P353">IFERROR(_xlfn.XLOOKUP(1,($B353=DistributionZone)*($C353=CustomerType)*("Losses"=Description)*($D353=tariffType)*($P$5=Desc_FixedOrVar),valuesFY),0)*SUM(P346:P352)</f>
        <v>2.6048705106111347</v>
      </c>
      <c r="Q353" s="574">
        <f t="shared" si="176"/>
        <v>2.8281375067899397</v>
      </c>
      <c r="R353" s="575">
        <f>IFERROR(Q353/Q354,"")</f>
        <v>4.3884629479340395E-2</v>
      </c>
      <c r="S353" s="575"/>
      <c r="T353" s="612"/>
      <c r="U353" s="575"/>
      <c r="V353" s="575"/>
      <c r="W353" s="575"/>
      <c r="X353" s="575"/>
      <c r="Y353" s="575"/>
      <c r="Z353" s="575"/>
      <c r="AA353" s="575"/>
      <c r="AB353" s="575"/>
      <c r="AC353" s="575"/>
      <c r="AD353" s="575"/>
      <c r="AE353" s="575"/>
      <c r="AF353" s="575"/>
      <c r="AG353" s="575"/>
      <c r="AH353" s="575"/>
      <c r="AI353" s="575"/>
      <c r="AJ353" s="575"/>
    </row>
    <row r="354" spans="2:36" s="571" customFormat="1" x14ac:dyDescent="0.35">
      <c r="B354" s="570" t="str">
        <f t="shared" si="172"/>
        <v>Energex</v>
      </c>
      <c r="C354" s="570" t="str">
        <f t="shared" si="173"/>
        <v>Residential</v>
      </c>
      <c r="D354" s="30" t="str">
        <f t="shared" si="173"/>
        <v>time of use</v>
      </c>
      <c r="E354" s="570" t="s">
        <v>279</v>
      </c>
      <c r="F354" s="584"/>
      <c r="G354" s="571" t="s">
        <v>55</v>
      </c>
      <c r="H354" s="577"/>
      <c r="I354" s="577">
        <f>IF($H$3=PY,0,SUM(I346:I353))</f>
        <v>0</v>
      </c>
      <c r="J354" s="577">
        <f>IF($H$3=PY,0,SUM(J346:J353))</f>
        <v>0</v>
      </c>
      <c r="K354" s="578"/>
      <c r="L354" s="578"/>
      <c r="M354" s="578"/>
      <c r="N354" s="624"/>
      <c r="O354" s="577"/>
      <c r="P354" s="577">
        <f>SUM(P346:P353)</f>
        <v>47.268023820332964</v>
      </c>
      <c r="Q354" s="577">
        <f>SUM(Q346:Q353)</f>
        <v>64.444830464419084</v>
      </c>
      <c r="R354" s="578"/>
      <c r="S354" s="578"/>
      <c r="T354" s="621"/>
      <c r="U354" s="578"/>
      <c r="V354" s="578"/>
      <c r="W354" s="578"/>
      <c r="X354" s="578"/>
      <c r="Y354" s="578"/>
      <c r="Z354" s="578"/>
      <c r="AA354" s="578"/>
      <c r="AB354" s="578"/>
      <c r="AC354" s="578"/>
      <c r="AD354" s="578"/>
      <c r="AE354" s="578"/>
      <c r="AF354" s="578"/>
      <c r="AG354" s="578"/>
      <c r="AH354" s="578"/>
      <c r="AI354" s="578"/>
      <c r="AJ354" s="578"/>
    </row>
    <row r="355" spans="2:36" s="570" customFormat="1" x14ac:dyDescent="0.35">
      <c r="B355" s="570" t="str">
        <f t="shared" si="172"/>
        <v>Energex</v>
      </c>
      <c r="C355" s="570" t="str">
        <f t="shared" si="173"/>
        <v>Residential</v>
      </c>
      <c r="D355" s="30" t="str">
        <f t="shared" si="173"/>
        <v>time of use</v>
      </c>
      <c r="E355" s="570" t="s">
        <v>278</v>
      </c>
      <c r="F355" s="485" cm="1">
        <f t="array" ref="F355">_xlfn.XLOOKUP(1,($B355=DistributionZone)*($C355=CustomerType)*($D355=tariffL2)*($F$5=Description),valuesPY)*_xlfn.XLOOKUP(1,($B355=DistributionZone)*($C355=CustomerType)*($D355=tariffL2)*($E355=tariffType)*("Usage proportion"=Description),valuesFY)</f>
        <v>1333.0887059264937</v>
      </c>
      <c r="G355" s="570" t="s">
        <v>69</v>
      </c>
      <c r="H355" s="574"/>
      <c r="I355" s="574" cm="1">
        <f t="array" ref="I355">IFERROR(_xlfn.XLOOKUP(1,($B355=DistributionZone)*($C355=CustomerType)*($E355=tariffType)*("WEC scale"=Description),valuesPY),0)*$I$333</f>
        <v>0</v>
      </c>
      <c r="J355" s="574">
        <f t="shared" ref="J355:J360" si="180">H355+I355*F355/1000</f>
        <v>0</v>
      </c>
      <c r="K355" s="575" t="str">
        <f>IFERROR(J355/J363,"")</f>
        <v/>
      </c>
      <c r="L355" s="575"/>
      <c r="M355" s="575" t="str">
        <f t="shared" ref="M355:M362" si="181">IF(OR(J355=0,Q355=""),"",Q355/J355-1)</f>
        <v/>
      </c>
      <c r="N355" s="576"/>
      <c r="O355" s="574"/>
      <c r="P355" s="574" cm="1">
        <f t="array" ref="P355">IFERROR(_xlfn.XLOOKUP(1,($B355=DistributionZone)*($C355=CustomerType)*($E355=tariffType)*("WEC"=Description),valuesFY),0)</f>
        <v>189.02785719391017</v>
      </c>
      <c r="Q355" s="574">
        <f>O355+P355*F355/1000</f>
        <v>251.99090153068775</v>
      </c>
      <c r="R355" s="575">
        <f>IFERROR(Q355/Q363,"")</f>
        <v>0.92235504506841703</v>
      </c>
      <c r="S355" s="575"/>
      <c r="T355" s="612"/>
      <c r="U355" s="575"/>
      <c r="V355" s="575"/>
      <c r="W355" s="575"/>
      <c r="X355" s="575"/>
      <c r="Y355" s="575"/>
      <c r="Z355" s="575"/>
      <c r="AA355" s="575"/>
      <c r="AB355" s="575"/>
      <c r="AC355" s="575"/>
      <c r="AD355" s="575"/>
      <c r="AE355" s="575"/>
      <c r="AF355" s="575"/>
      <c r="AG355" s="575"/>
      <c r="AH355" s="575"/>
      <c r="AI355" s="575"/>
      <c r="AJ355" s="575"/>
    </row>
    <row r="356" spans="2:36" s="570" customFormat="1" x14ac:dyDescent="0.35">
      <c r="B356" s="570" t="str">
        <f t="shared" si="172"/>
        <v>Energex</v>
      </c>
      <c r="C356" s="570" t="str">
        <f t="shared" si="173"/>
        <v>Residential</v>
      </c>
      <c r="D356" s="30" t="str">
        <f t="shared" si="173"/>
        <v>time of use</v>
      </c>
      <c r="E356" s="570" t="s">
        <v>278</v>
      </c>
      <c r="F356" s="485" cm="1">
        <f t="array" ref="F356">_xlfn.XLOOKUP(1,($B356=DistributionZone)*($C356=CustomerType)*($D356=tariffL2)*($F$5=Description),valuesPY)*_xlfn.XLOOKUP(1,($B356=DistributionZone)*($C356=CustomerType)*($D356=tariffL2)*($E356=tariffType)*("Usage proportion"=Description),valuesFY)</f>
        <v>1333.0887059264937</v>
      </c>
      <c r="G356" s="570" t="s">
        <v>70</v>
      </c>
      <c r="H356" s="574"/>
      <c r="I356" s="574" cm="1">
        <f t="array" ref="I356">IFERROR(_xlfn.XLOOKUP(1,($B356=DistributionZone)*($I$5=Desc_FixedOrVar)*($G356=Description),valuesPY),0)</f>
        <v>0.73511316732430898</v>
      </c>
      <c r="J356" s="574">
        <f t="shared" si="180"/>
        <v>0.9799710609378891</v>
      </c>
      <c r="K356" s="575" t="str">
        <f>IFERROR(J356/J363,"")</f>
        <v/>
      </c>
      <c r="L356" s="575"/>
      <c r="M356" s="575">
        <f t="shared" si="181"/>
        <v>-0.43323547155862818</v>
      </c>
      <c r="N356" s="576"/>
      <c r="O356" s="574"/>
      <c r="P356" s="574" cm="1">
        <f t="array" ref="P356">IFERROR(_xlfn.XLOOKUP(1,($B356=DistributionZone)*($I$5=Desc_FixedOrVar)*($G356=Description),valuesFY),0)</f>
        <v>0.4166360676296052</v>
      </c>
      <c r="Q356" s="574">
        <f t="shared" ref="Q356:Q362" si="182">IF(AND(O356="",P356=""),"",O356+P356*$F356/1000)</f>
        <v>0.55541283623865356</v>
      </c>
      <c r="R356" s="575">
        <f>IFERROR(Q356/Q363,"")</f>
        <v>2.0329616207912715E-3</v>
      </c>
      <c r="S356" s="575"/>
      <c r="T356" s="612"/>
      <c r="U356" s="575"/>
      <c r="V356" s="575"/>
      <c r="W356" s="575"/>
      <c r="X356" s="575"/>
      <c r="Y356" s="575"/>
      <c r="Z356" s="575"/>
      <c r="AA356" s="575"/>
      <c r="AB356" s="575"/>
      <c r="AC356" s="575"/>
      <c r="AD356" s="575"/>
      <c r="AE356" s="575"/>
      <c r="AF356" s="575"/>
      <c r="AG356" s="575"/>
      <c r="AH356" s="575"/>
      <c r="AI356" s="575"/>
      <c r="AJ356" s="575"/>
    </row>
    <row r="357" spans="2:36" s="570" customFormat="1" x14ac:dyDescent="0.35">
      <c r="B357" s="570" t="str">
        <f>B356</f>
        <v>Energex</v>
      </c>
      <c r="C357" s="570" t="str">
        <f t="shared" si="173"/>
        <v>Residential</v>
      </c>
      <c r="D357" s="30" t="str">
        <f t="shared" si="173"/>
        <v>time of use</v>
      </c>
      <c r="E357" s="570" t="s">
        <v>278</v>
      </c>
      <c r="F357" s="485" cm="1">
        <f t="array" ref="F357">_xlfn.XLOOKUP(1,($B357=DistributionZone)*($C357=CustomerType)*($D357=tariffL2)*($F$5=Description),valuesPY)*_xlfn.XLOOKUP(1,($B357=DistributionZone)*($C357=CustomerType)*($D357=tariffL2)*($E357=tariffType)*("Usage proportion"=Description),valuesFY)</f>
        <v>1333.0887059264937</v>
      </c>
      <c r="G357" s="570" t="s">
        <v>77</v>
      </c>
      <c r="H357" s="574"/>
      <c r="I357" s="574" cm="1">
        <f t="array" ref="I357">IFERROR(_xlfn.XLOOKUP(1,($B357=DistributionZone)*($I$5=Desc_FixedOrVar)*($G357=Description),valuesPY),0)</f>
        <v>0.57443</v>
      </c>
      <c r="J357" s="574">
        <f t="shared" si="180"/>
        <v>0.76576614534535581</v>
      </c>
      <c r="K357" s="575" t="str">
        <f>IFERROR(J357/J363,"")</f>
        <v/>
      </c>
      <c r="L357" s="575"/>
      <c r="M357" s="575">
        <f t="shared" si="181"/>
        <v>-9.5799314102675726E-2</v>
      </c>
      <c r="N357" s="576"/>
      <c r="O357" s="574"/>
      <c r="P357" s="574" cm="1">
        <f t="array" ref="P357">IFERROR(_xlfn.XLOOKUP(1,($B357=DistributionZone)*($I$5=Desc_FixedOrVar)*($G357=Description),valuesFY),0)</f>
        <v>0.51939999999999997</v>
      </c>
      <c r="Q357" s="574">
        <f t="shared" si="182"/>
        <v>0.69240627385822084</v>
      </c>
      <c r="R357" s="575">
        <f>IFERROR(Q357/Q363,"")</f>
        <v>2.5343947581074832E-3</v>
      </c>
      <c r="S357" s="575"/>
      <c r="T357" s="612"/>
      <c r="U357" s="575"/>
      <c r="V357" s="575"/>
      <c r="W357" s="575"/>
      <c r="X357" s="575"/>
      <c r="Y357" s="575"/>
      <c r="Z357" s="575"/>
      <c r="AA357" s="575"/>
      <c r="AB357" s="575"/>
      <c r="AC357" s="575"/>
      <c r="AD357" s="575"/>
      <c r="AE357" s="575"/>
      <c r="AF357" s="575"/>
      <c r="AG357" s="575"/>
      <c r="AH357" s="575"/>
      <c r="AI357" s="575"/>
      <c r="AJ357" s="575"/>
    </row>
    <row r="358" spans="2:36" s="570" customFormat="1" x14ac:dyDescent="0.35">
      <c r="B358" s="570" t="str">
        <f t="shared" si="172"/>
        <v>Energex</v>
      </c>
      <c r="C358" s="570" t="str">
        <f t="shared" si="173"/>
        <v>Residential</v>
      </c>
      <c r="D358" s="570" t="str">
        <f t="shared" ref="D358:D375" si="183">D357</f>
        <v>time of use</v>
      </c>
      <c r="E358" s="570" t="s">
        <v>278</v>
      </c>
      <c r="F358" s="485" cm="1">
        <f t="array" ref="F358">_xlfn.XLOOKUP(1,($B358=DistributionZone)*($C358=CustomerType)*($D358=tariffL2)*($F$5=Description),valuesPY)*_xlfn.XLOOKUP(1,($B358=DistributionZone)*($C358=CustomerType)*($D358=tariffL2)*($E358=tariffType)*("Usage proportion"=Description),valuesFY)</f>
        <v>1333.0887059264937</v>
      </c>
      <c r="G358" s="570" t="s">
        <v>71</v>
      </c>
      <c r="H358" s="574"/>
      <c r="I358" s="574" cm="1">
        <f t="array" ref="I358">IFERROR(_xlfn.XLOOKUP(1,($B358=DistributionZone)*($I$5=Desc_FixedOrVar)*($G358=Description),valuesPY),0)</f>
        <v>0</v>
      </c>
      <c r="J358" s="574">
        <f t="shared" si="180"/>
        <v>0</v>
      </c>
      <c r="K358" s="575" t="str">
        <f>IFERROR(J358/J363,"")</f>
        <v/>
      </c>
      <c r="L358" s="575"/>
      <c r="M358" s="575" t="str">
        <f t="shared" si="181"/>
        <v/>
      </c>
      <c r="N358" s="576"/>
      <c r="O358" s="574"/>
      <c r="P358" s="574" cm="1">
        <f t="array" ref="P358">IFERROR(_xlfn.XLOOKUP(1,($B358=DistributionZone)*($I$5=Desc_FixedOrVar)*($G358=Description),valuesFY),0)</f>
        <v>0</v>
      </c>
      <c r="Q358" s="574">
        <f t="shared" si="182"/>
        <v>0</v>
      </c>
      <c r="R358" s="575">
        <f>IFERROR(Q358/Q363,"")</f>
        <v>0</v>
      </c>
      <c r="S358" s="575"/>
      <c r="T358" s="613"/>
      <c r="U358" s="575"/>
      <c r="V358" s="575"/>
      <c r="W358" s="575"/>
      <c r="X358" s="575"/>
      <c r="Y358" s="575"/>
      <c r="Z358" s="575"/>
      <c r="AA358" s="575"/>
      <c r="AB358" s="575"/>
      <c r="AC358" s="575"/>
      <c r="AD358" s="575"/>
      <c r="AE358" s="575"/>
      <c r="AF358" s="575"/>
      <c r="AG358" s="575"/>
      <c r="AH358" s="575"/>
      <c r="AI358" s="575"/>
      <c r="AJ358" s="575"/>
    </row>
    <row r="359" spans="2:36" s="570" customFormat="1" x14ac:dyDescent="0.35">
      <c r="B359" s="570" t="str">
        <f t="shared" si="172"/>
        <v>Energex</v>
      </c>
      <c r="C359" s="570" t="str">
        <f t="shared" si="173"/>
        <v>Residential</v>
      </c>
      <c r="D359" s="570" t="str">
        <f t="shared" si="183"/>
        <v>time of use</v>
      </c>
      <c r="E359" s="570" t="s">
        <v>278</v>
      </c>
      <c r="F359" s="485" cm="1">
        <f t="array" ref="F359">_xlfn.XLOOKUP(1,($B359=DistributionZone)*($C359=CustomerType)*($D359=tariffL2)*($F$5=Description),valuesPY)*_xlfn.XLOOKUP(1,($B359=DistributionZone)*($C359=CustomerType)*($D359=tariffL2)*($E359=tariffType)*("Usage proportion"=Description),valuesFY)</f>
        <v>1333.0887059264937</v>
      </c>
      <c r="G359" s="570" t="s">
        <v>173</v>
      </c>
      <c r="H359" s="574"/>
      <c r="I359" s="574" cm="1">
        <f t="array" ref="I359">IFERROR(_xlfn.XLOOKUP(1,($B359=DistributionZone)*($I$5=Desc_FixedOrVar)*($G359=Description),valuesPY),0)</f>
        <v>0</v>
      </c>
      <c r="J359" s="574">
        <f t="shared" si="180"/>
        <v>0</v>
      </c>
      <c r="K359" s="575" t="str">
        <f>IFERROR(J359/J363,"")</f>
        <v/>
      </c>
      <c r="L359" s="575"/>
      <c r="M359" s="575" t="str">
        <f t="shared" si="181"/>
        <v/>
      </c>
      <c r="N359" s="576"/>
      <c r="O359" s="574"/>
      <c r="P359" s="574" cm="1">
        <f t="array" ref="P359">IFERROR(_xlfn.XLOOKUP(1,($B359=DistributionZone)*($I$5=Desc_FixedOrVar)*($G359=Description),valuesFY),0)</f>
        <v>0</v>
      </c>
      <c r="Q359" s="574">
        <f t="shared" si="182"/>
        <v>0</v>
      </c>
      <c r="R359" s="575">
        <f>IFERROR(Q359/Q363,"")</f>
        <v>0</v>
      </c>
      <c r="S359" s="575"/>
      <c r="T359" s="613"/>
      <c r="U359" s="575"/>
      <c r="V359" s="575"/>
      <c r="W359" s="575"/>
      <c r="X359" s="575"/>
      <c r="Y359" s="575"/>
      <c r="Z359" s="575"/>
      <c r="AA359" s="575"/>
      <c r="AB359" s="575"/>
      <c r="AC359" s="575"/>
      <c r="AD359" s="575"/>
      <c r="AE359" s="575"/>
      <c r="AF359" s="575"/>
      <c r="AG359" s="575"/>
      <c r="AH359" s="575"/>
      <c r="AI359" s="575"/>
      <c r="AJ359" s="575"/>
    </row>
    <row r="360" spans="2:36" s="570" customFormat="1" x14ac:dyDescent="0.35">
      <c r="B360" s="570" t="str">
        <f t="shared" si="172"/>
        <v>Energex</v>
      </c>
      <c r="C360" s="570" t="str">
        <f t="shared" si="173"/>
        <v>Residential</v>
      </c>
      <c r="D360" s="570" t="str">
        <f t="shared" si="183"/>
        <v>time of use</v>
      </c>
      <c r="E360" s="570" t="s">
        <v>278</v>
      </c>
      <c r="F360" s="485" cm="1">
        <f t="array" ref="F360">_xlfn.XLOOKUP(1,($B360=DistributionZone)*($C360=CustomerType)*($D360=tariffL2)*($F$5=Description),valuesPY)*_xlfn.XLOOKUP(1,($B360=DistributionZone)*($C360=CustomerType)*($D360=tariffL2)*($E360=tariffType)*("Usage proportion"=Description),valuesFY)</f>
        <v>1333.0887059264937</v>
      </c>
      <c r="G360" s="570" t="s">
        <v>130</v>
      </c>
      <c r="H360" s="574"/>
      <c r="I360" s="574" cm="1">
        <f t="array" ref="I360">IFERROR(_xlfn.XLOOKUP(1,($B360=DistributionZone)*($I$5=Desc_FixedOrVar)*($G360=Description),valuesPY),0)</f>
        <v>3.27335932679709</v>
      </c>
      <c r="J360" s="574">
        <f t="shared" si="180"/>
        <v>4.3636783489923507</v>
      </c>
      <c r="K360" s="575" t="str">
        <f>IFERROR(J360/J363,"")</f>
        <v/>
      </c>
      <c r="L360" s="575"/>
      <c r="M360" s="575">
        <f t="shared" si="181"/>
        <v>-0.17833877323131708</v>
      </c>
      <c r="N360" s="576"/>
      <c r="O360" s="574"/>
      <c r="P360" s="574" cm="1">
        <f t="array" ref="P360">IFERROR(_xlfn.XLOOKUP(1,($B360=DistributionZone)*($I$5=Desc_FixedOrVar)*($G360=Description),valuesFY),0)</f>
        <v>2.6895924401108067</v>
      </c>
      <c r="Q360" s="574">
        <f t="shared" si="182"/>
        <v>3.5854653054569958</v>
      </c>
      <c r="R360" s="575">
        <f>IFERROR(Q360/Q363,"")</f>
        <v>1.3123775474898621E-2</v>
      </c>
      <c r="S360" s="575"/>
      <c r="T360" s="613"/>
      <c r="U360" s="575"/>
      <c r="V360" s="575"/>
      <c r="W360" s="575"/>
      <c r="X360" s="575"/>
      <c r="Y360" s="575"/>
      <c r="Z360" s="575"/>
      <c r="AA360" s="575"/>
      <c r="AB360" s="575"/>
      <c r="AC360" s="575"/>
      <c r="AD360" s="575"/>
      <c r="AE360" s="575"/>
      <c r="AF360" s="575"/>
      <c r="AG360" s="575"/>
      <c r="AH360" s="575"/>
      <c r="AI360" s="575"/>
      <c r="AJ360" s="575"/>
    </row>
    <row r="361" spans="2:36" s="570" customFormat="1" x14ac:dyDescent="0.35">
      <c r="B361" s="570" t="str">
        <f t="shared" si="172"/>
        <v>Energex</v>
      </c>
      <c r="C361" s="570" t="str">
        <f t="shared" si="173"/>
        <v>Residential</v>
      </c>
      <c r="D361" s="570" t="str">
        <f t="shared" si="183"/>
        <v>time of use</v>
      </c>
      <c r="E361" s="570" t="s">
        <v>278</v>
      </c>
      <c r="F361" s="485" cm="1">
        <f t="array" ref="F361">_xlfn.XLOOKUP(1,($B361=DistributionZone)*($C361=CustomerType)*($D361=tariffL2)*($F$5=Description),valuesPY)*_xlfn.XLOOKUP(1,($B361=DistributionZone)*($C361=CustomerType)*($D361=tariffL2)*($E361=tariffType)*("Usage proportion"=Description),valuesFY)</f>
        <v>1333.0887059264937</v>
      </c>
      <c r="G361" s="570" t="s">
        <v>302</v>
      </c>
      <c r="H361" s="574"/>
      <c r="I361" s="574"/>
      <c r="J361" s="574"/>
      <c r="K361" s="575"/>
      <c r="L361" s="575"/>
      <c r="M361" s="575"/>
      <c r="N361" s="576"/>
      <c r="O361" s="574"/>
      <c r="P361" s="574" cm="1">
        <f t="array" ref="P361">IFERROR(_xlfn.XLOOKUP(1,($B361=DistributionZone)*($D361=tariffL2)*($G361=Description),valuesFY),0)</f>
        <v>0.99299999999999788</v>
      </c>
      <c r="Q361" s="574">
        <f t="shared" ref="Q361" si="184">IF(AND(O361="",P361=""),"",O361+P361*$F361/1000)</f>
        <v>1.3237570849850053</v>
      </c>
      <c r="R361" s="575">
        <f>IFERROR(Q361/Q363,"")</f>
        <v>4.8453099630356667E-3</v>
      </c>
      <c r="S361" s="575"/>
      <c r="T361" s="613"/>
      <c r="U361" s="575"/>
      <c r="V361" s="575"/>
      <c r="W361" s="575"/>
      <c r="X361" s="575"/>
      <c r="Y361" s="575"/>
      <c r="Z361" s="575"/>
      <c r="AA361" s="575"/>
      <c r="AB361" s="575"/>
      <c r="AC361" s="575"/>
      <c r="AD361" s="575"/>
      <c r="AE361" s="575"/>
      <c r="AF361" s="575"/>
      <c r="AG361" s="575"/>
      <c r="AH361" s="575"/>
      <c r="AI361" s="575"/>
      <c r="AJ361" s="575"/>
    </row>
    <row r="362" spans="2:36" s="570" customFormat="1" x14ac:dyDescent="0.35">
      <c r="B362" s="570" t="str">
        <f>B360</f>
        <v>Energex</v>
      </c>
      <c r="C362" s="570" t="str">
        <f>C360</f>
        <v>Residential</v>
      </c>
      <c r="D362" s="570" t="str">
        <f>D360</f>
        <v>time of use</v>
      </c>
      <c r="E362" s="570" t="s">
        <v>278</v>
      </c>
      <c r="F362" s="485" cm="1">
        <f t="array" ref="F362">_xlfn.XLOOKUP(1,($B362=DistributionZone)*($C362=CustomerType)*($D362=tariffL2)*($F$5=Description),valuesPY)*_xlfn.XLOOKUP(1,($B362=DistributionZone)*($C362=CustomerType)*($D362=tariffL2)*($E362=tariffType)*("Usage proportion"=Description),valuesFY)</f>
        <v>1333.0887059264937</v>
      </c>
      <c r="G362" s="570" t="s">
        <v>72</v>
      </c>
      <c r="H362" s="574"/>
      <c r="I362" s="574" cm="1">
        <f t="array" ref="I362">IFERROR(_xlfn.XLOOKUP(1,($B362=DistributionZone)*($C362=CustomerType)*("Losses"=Description),valuesPY),0)*SUM(I355:I360)</f>
        <v>0</v>
      </c>
      <c r="J362" s="574">
        <f>I362*F362/1000</f>
        <v>0</v>
      </c>
      <c r="K362" s="575" t="str">
        <f>IFERROR(J362/J363,"")</f>
        <v/>
      </c>
      <c r="L362" s="575"/>
      <c r="M362" s="575" t="str">
        <f t="shared" si="181"/>
        <v/>
      </c>
      <c r="N362" s="576"/>
      <c r="O362" s="574"/>
      <c r="P362" s="574" cm="1">
        <f t="array" ref="P362">IFERROR(_xlfn.XLOOKUP(1,($B362=DistributionZone)*($C362=CustomerType)*("Losses"=Description)*($D362=tariffType)*($P$5=Desc_FixedOrVar),valuesFY),0)*SUM(P355:P361)</f>
        <v>11.293963428639337</v>
      </c>
      <c r="Q362" s="574">
        <f t="shared" si="182"/>
        <v>15.055855091865959</v>
      </c>
      <c r="R362" s="575">
        <f>IFERROR(Q362/Q363,"")</f>
        <v>5.5108513114750006E-2</v>
      </c>
      <c r="S362" s="575"/>
      <c r="T362" s="612"/>
      <c r="U362" s="575"/>
      <c r="V362" s="575"/>
      <c r="W362" s="575"/>
      <c r="X362" s="575"/>
      <c r="Y362" s="575"/>
      <c r="Z362" s="575"/>
      <c r="AA362" s="575"/>
      <c r="AB362" s="575"/>
      <c r="AC362" s="575"/>
      <c r="AD362" s="575"/>
      <c r="AE362" s="575"/>
      <c r="AF362" s="575"/>
      <c r="AG362" s="575"/>
      <c r="AH362" s="575"/>
      <c r="AI362" s="575"/>
      <c r="AJ362" s="575"/>
    </row>
    <row r="363" spans="2:36" s="571" customFormat="1" x14ac:dyDescent="0.35">
      <c r="B363" s="570" t="str">
        <f t="shared" si="172"/>
        <v>Energex</v>
      </c>
      <c r="C363" s="570" t="str">
        <f t="shared" si="173"/>
        <v>Residential</v>
      </c>
      <c r="D363" s="570" t="str">
        <f t="shared" si="183"/>
        <v>time of use</v>
      </c>
      <c r="E363" s="570" t="s">
        <v>278</v>
      </c>
      <c r="F363" s="584"/>
      <c r="G363" s="571" t="s">
        <v>55</v>
      </c>
      <c r="H363" s="577"/>
      <c r="I363" s="577">
        <f>IF($H$3=PY,0,SUM(I355:I362))</f>
        <v>0</v>
      </c>
      <c r="J363" s="577">
        <f>IF($H$3=PY,0,SUM(J355:J362))</f>
        <v>0</v>
      </c>
      <c r="K363" s="578"/>
      <c r="L363" s="578"/>
      <c r="M363" s="578"/>
      <c r="N363" s="624"/>
      <c r="O363" s="577"/>
      <c r="P363" s="577">
        <f>SUM(P355:P362)</f>
        <v>204.94044913028989</v>
      </c>
      <c r="Q363" s="577">
        <f>SUM(Q355:Q362)</f>
        <v>273.20379812309255</v>
      </c>
      <c r="R363" s="578"/>
      <c r="S363" s="578"/>
      <c r="T363" s="621"/>
      <c r="U363" s="578"/>
      <c r="V363" s="578"/>
      <c r="W363" s="578"/>
      <c r="X363" s="578"/>
      <c r="Y363" s="578"/>
      <c r="Z363" s="578"/>
      <c r="AA363" s="578"/>
      <c r="AB363" s="578"/>
      <c r="AC363" s="578"/>
      <c r="AD363" s="578"/>
      <c r="AE363" s="578"/>
      <c r="AF363" s="578"/>
      <c r="AG363" s="578"/>
      <c r="AH363" s="578"/>
      <c r="AI363" s="578"/>
      <c r="AJ363" s="578"/>
    </row>
    <row r="364" spans="2:36" s="570" customFormat="1" x14ac:dyDescent="0.35">
      <c r="B364" s="570" t="str">
        <f t="shared" si="172"/>
        <v>Energex</v>
      </c>
      <c r="C364" s="570" t="str">
        <f t="shared" si="173"/>
        <v>Residential</v>
      </c>
      <c r="D364" s="570" t="str">
        <f t="shared" si="183"/>
        <v>time of use</v>
      </c>
      <c r="E364" s="570" t="s">
        <v>283</v>
      </c>
      <c r="F364" s="485" cm="1">
        <f t="array" ref="F364">_xlfn.XLOOKUP(1,($B364=DistributionZone)*($C364=CustomerType)*($D364=tariffL2)*($F$5=Description),valuesPY)*_xlfn.XLOOKUP(1,($B364=DistributionZone)*($C364=CustomerType)*($D364=tariffL2)*($E364=tariffType)*("Usage proportion"=Description),valuesFY)</f>
        <v>2181.1999332709984</v>
      </c>
      <c r="G364" s="570" t="s">
        <v>69</v>
      </c>
      <c r="H364" s="574"/>
      <c r="I364" s="574" cm="1">
        <f t="array" ref="I364">IFERROR(_xlfn.XLOOKUP(1,($B364=DistributionZone)*($C364=CustomerType)*($E364=tariffType)*("WEC scale"=Description),valuesPY),0)*$I333</f>
        <v>0</v>
      </c>
      <c r="J364" s="574">
        <f t="shared" ref="J364:J369" si="185">H364+I364*F364/1000</f>
        <v>0</v>
      </c>
      <c r="K364" s="575" t="str">
        <f>IFERROR(J364/J372,"")</f>
        <v/>
      </c>
      <c r="L364" s="575"/>
      <c r="M364" s="575" t="str">
        <f t="shared" ref="M364:M371" si="186">IF(OR(J364=0,Q364=""),"",Q364/J364-1)</f>
        <v/>
      </c>
      <c r="N364" s="576"/>
      <c r="O364" s="574"/>
      <c r="P364" s="574" cm="1">
        <f t="array" ref="P364">IFERROR(_xlfn.XLOOKUP(1,($B364=DistributionZone)*($C364=CustomerType)*($E364=tariffType)*("WEC"=Description),valuesFY),0)</f>
        <v>134.6507940303394</v>
      </c>
      <c r="Q364" s="574">
        <f>O364+P364*F364/1000</f>
        <v>293.70030295386323</v>
      </c>
      <c r="R364" s="575">
        <f>IFERROR(Q364/Q372,"")</f>
        <v>0.91355580186181151</v>
      </c>
      <c r="S364" s="575"/>
      <c r="T364" s="612"/>
      <c r="U364" s="575"/>
      <c r="V364" s="575"/>
      <c r="W364" s="575"/>
      <c r="X364" s="575"/>
      <c r="Y364" s="575"/>
      <c r="Z364" s="575"/>
      <c r="AA364" s="575"/>
      <c r="AB364" s="575"/>
      <c r="AC364" s="575"/>
      <c r="AD364" s="575"/>
      <c r="AE364" s="575"/>
      <c r="AF364" s="575"/>
      <c r="AG364" s="575"/>
      <c r="AH364" s="575"/>
      <c r="AI364" s="575"/>
      <c r="AJ364" s="575"/>
    </row>
    <row r="365" spans="2:36" s="570" customFormat="1" x14ac:dyDescent="0.35">
      <c r="B365" s="570" t="str">
        <f t="shared" si="172"/>
        <v>Energex</v>
      </c>
      <c r="C365" s="570" t="str">
        <f t="shared" si="173"/>
        <v>Residential</v>
      </c>
      <c r="D365" s="570" t="str">
        <f t="shared" si="183"/>
        <v>time of use</v>
      </c>
      <c r="E365" s="570" t="s">
        <v>283</v>
      </c>
      <c r="F365" s="485" cm="1">
        <f t="array" ref="F365">_xlfn.XLOOKUP(1,($B365=DistributionZone)*($C365=CustomerType)*($D365=tariffL2)*($F$5=Description),valuesPY)*_xlfn.XLOOKUP(1,($B365=DistributionZone)*($C365=CustomerType)*($D365=tariffL2)*($E365=tariffType)*("Usage proportion"=Description),valuesFY)</f>
        <v>2181.1999332709984</v>
      </c>
      <c r="G365" s="570" t="s">
        <v>70</v>
      </c>
      <c r="H365" s="574"/>
      <c r="I365" s="574" cm="1">
        <f t="array" ref="I365">IFERROR(_xlfn.XLOOKUP(1,($B365=DistributionZone)*($I$5=Desc_FixedOrVar)*($G365=Description),valuesPY),0)</f>
        <v>0.73511316732430898</v>
      </c>
      <c r="J365" s="574">
        <f t="shared" si="185"/>
        <v>1.603428791514415</v>
      </c>
      <c r="K365" s="575" t="str">
        <f>IFERROR(J365/J372,"")</f>
        <v/>
      </c>
      <c r="L365" s="575"/>
      <c r="M365" s="575">
        <f t="shared" si="186"/>
        <v>-0.43323547155862818</v>
      </c>
      <c r="N365" s="576"/>
      <c r="O365" s="574"/>
      <c r="P365" s="574" cm="1">
        <f t="array" ref="P365">IFERROR(_xlfn.XLOOKUP(1,($B365=DistributionZone)*($I$5=Desc_FixedOrVar)*($G365=Description),valuesFY),0)</f>
        <v>0.4166360676296052</v>
      </c>
      <c r="Q365" s="574">
        <f>O365+P365*F365/1000</f>
        <v>0.9087665629119861</v>
      </c>
      <c r="R365" s="575">
        <f>IFERROR(Q365/Q372,"")</f>
        <v>2.8267215176031929E-3</v>
      </c>
      <c r="S365" s="575"/>
      <c r="T365" s="612"/>
      <c r="U365" s="575"/>
      <c r="V365" s="575"/>
      <c r="W365" s="575"/>
      <c r="X365" s="575"/>
      <c r="Y365" s="575"/>
      <c r="Z365" s="575"/>
      <c r="AA365" s="575"/>
      <c r="AB365" s="575"/>
      <c r="AC365" s="575"/>
      <c r="AD365" s="575"/>
      <c r="AE365" s="575"/>
      <c r="AF365" s="575"/>
      <c r="AG365" s="575"/>
      <c r="AH365" s="575"/>
      <c r="AI365" s="575"/>
      <c r="AJ365" s="575"/>
    </row>
    <row r="366" spans="2:36" s="570" customFormat="1" x14ac:dyDescent="0.35">
      <c r="B366" s="570" t="str">
        <f t="shared" si="172"/>
        <v>Energex</v>
      </c>
      <c r="C366" s="570" t="str">
        <f t="shared" si="173"/>
        <v>Residential</v>
      </c>
      <c r="D366" s="570" t="str">
        <f t="shared" si="183"/>
        <v>time of use</v>
      </c>
      <c r="E366" s="570" t="s">
        <v>283</v>
      </c>
      <c r="F366" s="485" cm="1">
        <f t="array" ref="F366">_xlfn.XLOOKUP(1,($B366=DistributionZone)*($C366=CustomerType)*($D366=tariffL2)*($F$5=Description),valuesPY)*_xlfn.XLOOKUP(1,($B366=DistributionZone)*($C366=CustomerType)*($D366=tariffL2)*($E366=tariffType)*("Usage proportion"=Description),valuesFY)</f>
        <v>2181.1999332709984</v>
      </c>
      <c r="G366" s="570" t="s">
        <v>77</v>
      </c>
      <c r="H366" s="574"/>
      <c r="I366" s="574" cm="1">
        <f t="array" ref="I366">IFERROR(_xlfn.XLOOKUP(1,($B366=DistributionZone)*($I$5=Desc_FixedOrVar)*($G366=Description),valuesPY),0)</f>
        <v>0.57443</v>
      </c>
      <c r="J366" s="574">
        <f t="shared" si="185"/>
        <v>1.2529466776688596</v>
      </c>
      <c r="K366" s="575" t="str">
        <f>IFERROR(J366/J372,"")</f>
        <v/>
      </c>
      <c r="L366" s="575"/>
      <c r="M366" s="575">
        <f t="shared" si="186"/>
        <v>-9.5799314102675726E-2</v>
      </c>
      <c r="N366" s="576"/>
      <c r="O366" s="574"/>
      <c r="P366" s="574" cm="1">
        <f t="array" ref="P366">IFERROR(_xlfn.XLOOKUP(1,($B366=DistributionZone)*($I$5=Desc_FixedOrVar)*($G366=Description),valuesFY),0)</f>
        <v>0.51939999999999997</v>
      </c>
      <c r="Q366" s="574">
        <f t="shared" ref="Q366:Q370" si="187">IF(AND(O366="",P366=""),"",O366+P366*$F366/1000)</f>
        <v>1.1329152453409566</v>
      </c>
      <c r="R366" s="575">
        <f>IFERROR(Q366/Q372,"")</f>
        <v>3.523936764755437E-3</v>
      </c>
      <c r="S366" s="575"/>
      <c r="T366" s="612"/>
      <c r="U366" s="575"/>
      <c r="V366" s="575"/>
      <c r="W366" s="575"/>
      <c r="X366" s="575"/>
      <c r="Y366" s="575"/>
      <c r="Z366" s="575"/>
      <c r="AA366" s="575"/>
      <c r="AB366" s="575"/>
      <c r="AC366" s="575"/>
      <c r="AD366" s="575"/>
      <c r="AE366" s="575"/>
      <c r="AF366" s="575"/>
      <c r="AG366" s="575"/>
      <c r="AH366" s="575"/>
      <c r="AI366" s="575"/>
      <c r="AJ366" s="575"/>
    </row>
    <row r="367" spans="2:36" s="570" customFormat="1" x14ac:dyDescent="0.35">
      <c r="B367" s="570" t="str">
        <f t="shared" si="172"/>
        <v>Energex</v>
      </c>
      <c r="C367" s="570" t="str">
        <f t="shared" si="173"/>
        <v>Residential</v>
      </c>
      <c r="D367" s="570" t="str">
        <f t="shared" si="183"/>
        <v>time of use</v>
      </c>
      <c r="E367" s="570" t="s">
        <v>283</v>
      </c>
      <c r="F367" s="485" cm="1">
        <f t="array" ref="F367">_xlfn.XLOOKUP(1,($B367=DistributionZone)*($C367=CustomerType)*($D367=tariffL2)*($F$5=Description),valuesPY)*_xlfn.XLOOKUP(1,($B367=DistributionZone)*($C367=CustomerType)*($D367=tariffL2)*($E367=tariffType)*("Usage proportion"=Description),valuesFY)</f>
        <v>2181.1999332709984</v>
      </c>
      <c r="G367" s="570" t="s">
        <v>71</v>
      </c>
      <c r="H367" s="574"/>
      <c r="I367" s="574" cm="1">
        <f t="array" ref="I367">IFERROR(_xlfn.XLOOKUP(1,($B367=DistributionZone)*($I$5=Desc_FixedOrVar)*($G367=Description),valuesPY),0)</f>
        <v>0</v>
      </c>
      <c r="J367" s="574">
        <f t="shared" si="185"/>
        <v>0</v>
      </c>
      <c r="K367" s="575" t="str">
        <f>IFERROR(J367/J372,"")</f>
        <v/>
      </c>
      <c r="L367" s="575"/>
      <c r="M367" s="575" t="str">
        <f t="shared" si="186"/>
        <v/>
      </c>
      <c r="N367" s="576"/>
      <c r="O367" s="574"/>
      <c r="P367" s="574" cm="1">
        <f t="array" ref="P367">IFERROR(_xlfn.XLOOKUP(1,($B367=DistributionZone)*($I$5=Desc_FixedOrVar)*($G367=Description),valuesFY),0)</f>
        <v>0</v>
      </c>
      <c r="Q367" s="574">
        <f t="shared" si="187"/>
        <v>0</v>
      </c>
      <c r="R367" s="575">
        <f>IFERROR(Q367/Q372,"")</f>
        <v>0</v>
      </c>
      <c r="S367" s="575"/>
      <c r="T367" s="612"/>
      <c r="U367" s="575"/>
      <c r="V367" s="575"/>
      <c r="W367" s="575"/>
      <c r="X367" s="575"/>
      <c r="Y367" s="575"/>
      <c r="Z367" s="575"/>
      <c r="AA367" s="575"/>
      <c r="AB367" s="575"/>
      <c r="AC367" s="575"/>
      <c r="AD367" s="575"/>
      <c r="AE367" s="575"/>
      <c r="AF367" s="575"/>
      <c r="AG367" s="575"/>
      <c r="AH367" s="575"/>
      <c r="AI367" s="575"/>
      <c r="AJ367" s="575"/>
    </row>
    <row r="368" spans="2:36" s="570" customFormat="1" x14ac:dyDescent="0.35">
      <c r="B368" s="570" t="str">
        <f t="shared" si="172"/>
        <v>Energex</v>
      </c>
      <c r="C368" s="570" t="str">
        <f t="shared" si="173"/>
        <v>Residential</v>
      </c>
      <c r="D368" s="570" t="str">
        <f t="shared" si="183"/>
        <v>time of use</v>
      </c>
      <c r="E368" s="570" t="s">
        <v>283</v>
      </c>
      <c r="F368" s="485" cm="1">
        <f t="array" ref="F368">_xlfn.XLOOKUP(1,($B368=DistributionZone)*($C368=CustomerType)*($D368=tariffL2)*($F$5=Description),valuesPY)*_xlfn.XLOOKUP(1,($B368=DistributionZone)*($C368=CustomerType)*($D368=tariffL2)*($E368=tariffType)*("Usage proportion"=Description),valuesFY)</f>
        <v>2181.1999332709984</v>
      </c>
      <c r="G368" s="570" t="s">
        <v>173</v>
      </c>
      <c r="H368" s="574"/>
      <c r="I368" s="574" cm="1">
        <f t="array" ref="I368">IFERROR(_xlfn.XLOOKUP(1,($B368=DistributionZone)*($I$5=Desc_FixedOrVar)*($G368=Description),valuesPY),0)</f>
        <v>0</v>
      </c>
      <c r="J368" s="574">
        <f t="shared" si="185"/>
        <v>0</v>
      </c>
      <c r="K368" s="575" t="str">
        <f>IFERROR(J368/J372,"")</f>
        <v/>
      </c>
      <c r="L368" s="575"/>
      <c r="M368" s="575" t="str">
        <f t="shared" si="186"/>
        <v/>
      </c>
      <c r="N368" s="576"/>
      <c r="O368" s="574"/>
      <c r="P368" s="574" cm="1">
        <f t="array" ref="P368">IFERROR(_xlfn.XLOOKUP(1,($B368=DistributionZone)*($I$5=Desc_FixedOrVar)*($G368=Description),valuesFY),0)</f>
        <v>0</v>
      </c>
      <c r="Q368" s="574">
        <f t="shared" si="187"/>
        <v>0</v>
      </c>
      <c r="R368" s="575">
        <f>IFERROR(Q368/Q372,"")</f>
        <v>0</v>
      </c>
      <c r="S368" s="575"/>
      <c r="T368" s="612"/>
      <c r="U368" s="575"/>
      <c r="V368" s="575"/>
      <c r="W368" s="575"/>
      <c r="X368" s="575"/>
      <c r="Y368" s="575"/>
      <c r="Z368" s="575"/>
      <c r="AA368" s="575"/>
      <c r="AB368" s="575"/>
      <c r="AC368" s="575"/>
      <c r="AD368" s="575"/>
      <c r="AE368" s="575"/>
      <c r="AF368" s="575"/>
      <c r="AG368" s="575"/>
      <c r="AH368" s="575"/>
      <c r="AI368" s="575"/>
      <c r="AJ368" s="575"/>
    </row>
    <row r="369" spans="2:36" s="570" customFormat="1" x14ac:dyDescent="0.35">
      <c r="B369" s="570" t="str">
        <f t="shared" si="172"/>
        <v>Energex</v>
      </c>
      <c r="C369" s="570" t="str">
        <f t="shared" si="173"/>
        <v>Residential</v>
      </c>
      <c r="D369" s="570" t="str">
        <f t="shared" si="183"/>
        <v>time of use</v>
      </c>
      <c r="E369" s="570" t="s">
        <v>283</v>
      </c>
      <c r="F369" s="485" cm="1">
        <f t="array" ref="F369">_xlfn.XLOOKUP(1,($B369=DistributionZone)*($C369=CustomerType)*($D369=tariffL2)*($F$5=Description),valuesPY)*_xlfn.XLOOKUP(1,($B369=DistributionZone)*($C369=CustomerType)*($D369=tariffL2)*($E369=tariffType)*("Usage proportion"=Description),valuesFY)</f>
        <v>2181.1999332709984</v>
      </c>
      <c r="G369" s="570" t="s">
        <v>130</v>
      </c>
      <c r="H369" s="574"/>
      <c r="I369" s="574" cm="1">
        <f t="array" ref="I369">IFERROR(_xlfn.XLOOKUP(1,($B369=DistributionZone)*($I$5=Desc_FixedOrVar)*($G369=Description),valuesPY),0)</f>
        <v>3.27335932679709</v>
      </c>
      <c r="J369" s="574">
        <f t="shared" si="185"/>
        <v>7.1398511451818134</v>
      </c>
      <c r="K369" s="575" t="str">
        <f>IFERROR(J369/J372,"")</f>
        <v/>
      </c>
      <c r="L369" s="575"/>
      <c r="M369" s="575">
        <f t="shared" si="186"/>
        <v>-0.1783387732313173</v>
      </c>
      <c r="N369" s="576"/>
      <c r="O369" s="574"/>
      <c r="P369" s="574" cm="1">
        <f t="array" ref="P369">IFERROR(_xlfn.XLOOKUP(1,($B369=DistributionZone)*($I$5=Desc_FixedOrVar)*($G369=Description),valuesFY),0)</f>
        <v>2.6895924401108067</v>
      </c>
      <c r="Q369" s="574">
        <f t="shared" si="187"/>
        <v>5.8665388508958731</v>
      </c>
      <c r="R369" s="575">
        <f>IFERROR(Q369/Q372,"")</f>
        <v>1.8247889260521288E-2</v>
      </c>
      <c r="S369" s="575"/>
      <c r="T369" s="612"/>
      <c r="U369" s="575"/>
      <c r="V369" s="575"/>
      <c r="W369" s="575"/>
      <c r="X369" s="575"/>
      <c r="Y369" s="575"/>
      <c r="Z369" s="575"/>
      <c r="AA369" s="575"/>
      <c r="AB369" s="575"/>
      <c r="AC369" s="575"/>
      <c r="AD369" s="575"/>
      <c r="AE369" s="575"/>
      <c r="AF369" s="575"/>
      <c r="AG369" s="575"/>
      <c r="AH369" s="575"/>
      <c r="AI369" s="575"/>
      <c r="AJ369" s="575"/>
    </row>
    <row r="370" spans="2:36" s="570" customFormat="1" x14ac:dyDescent="0.35">
      <c r="B370" s="570" t="str">
        <f t="shared" si="172"/>
        <v>Energex</v>
      </c>
      <c r="C370" s="570" t="str">
        <f t="shared" si="173"/>
        <v>Residential</v>
      </c>
      <c r="D370" s="570" t="str">
        <f t="shared" si="183"/>
        <v>time of use</v>
      </c>
      <c r="E370" s="570" t="s">
        <v>283</v>
      </c>
      <c r="F370" s="485" cm="1">
        <f t="array" ref="F370">_xlfn.XLOOKUP(1,($B370=DistributionZone)*($C370=CustomerType)*($D370=tariffL2)*($F$5=Description),valuesPY)*_xlfn.XLOOKUP(1,($B370=DistributionZone)*($C370=CustomerType)*($D370=tariffL2)*($E370=tariffType)*("Usage proportion"=Description),valuesFY)</f>
        <v>2181.1999332709984</v>
      </c>
      <c r="G370" s="570" t="s">
        <v>302</v>
      </c>
      <c r="H370" s="574"/>
      <c r="I370" s="574"/>
      <c r="J370" s="574"/>
      <c r="K370" s="575"/>
      <c r="L370" s="575"/>
      <c r="M370" s="575"/>
      <c r="N370" s="576"/>
      <c r="O370" s="574"/>
      <c r="P370" s="574" cm="1">
        <f t="array" ref="P370">IFERROR(_xlfn.XLOOKUP(1,($B370=DistributionZone)*($D370=tariffL2)*($G370=Description),valuesFY),0)</f>
        <v>0.99299999999999788</v>
      </c>
      <c r="Q370" s="574">
        <f t="shared" si="187"/>
        <v>2.1659315337380969</v>
      </c>
      <c r="R370" s="575">
        <f>IFERROR(Q370/Q372,"")</f>
        <v>6.7371374805586092E-3</v>
      </c>
      <c r="S370" s="575"/>
      <c r="T370" s="612"/>
      <c r="U370" s="575"/>
      <c r="V370" s="575"/>
      <c r="W370" s="575"/>
      <c r="X370" s="575"/>
      <c r="Y370" s="575"/>
      <c r="Z370" s="575"/>
      <c r="AA370" s="575"/>
      <c r="AB370" s="575"/>
      <c r="AC370" s="575"/>
      <c r="AD370" s="575"/>
      <c r="AE370" s="575"/>
      <c r="AF370" s="575"/>
      <c r="AG370" s="575"/>
      <c r="AH370" s="575"/>
      <c r="AI370" s="575"/>
      <c r="AJ370" s="575"/>
    </row>
    <row r="371" spans="2:36" s="570" customFormat="1" x14ac:dyDescent="0.35">
      <c r="B371" s="570" t="str">
        <f>B369</f>
        <v>Energex</v>
      </c>
      <c r="C371" s="570" t="str">
        <f>C369</f>
        <v>Residential</v>
      </c>
      <c r="D371" s="570" t="str">
        <f>D369</f>
        <v>time of use</v>
      </c>
      <c r="E371" s="570" t="s">
        <v>283</v>
      </c>
      <c r="F371" s="485" cm="1">
        <f t="array" ref="F371">_xlfn.XLOOKUP(1,($B371=DistributionZone)*($C371=CustomerType)*($D371=tariffL2)*($F$5=Description),valuesPY)*_xlfn.XLOOKUP(1,($B371=DistributionZone)*($C371=CustomerType)*($D371=tariffL2)*($E371=tariffType)*("Usage proportion"=Description),valuesFY)</f>
        <v>2181.1999332709984</v>
      </c>
      <c r="G371" s="570" t="s">
        <v>72</v>
      </c>
      <c r="H371" s="574"/>
      <c r="I371" s="574" cm="1">
        <f t="array" ref="I371">IFERROR(_xlfn.XLOOKUP(1,($B371=DistributionZone)*($C371=CustomerType)*("Losses"=Description),valuesPY),0)*SUM(I364:I369)</f>
        <v>0</v>
      </c>
      <c r="J371" s="574">
        <f>I371*F371/1000</f>
        <v>0</v>
      </c>
      <c r="K371" s="575" t="str">
        <f>IFERROR(J371/J372,"")</f>
        <v/>
      </c>
      <c r="L371" s="581"/>
      <c r="M371" s="575" t="str">
        <f t="shared" si="186"/>
        <v/>
      </c>
      <c r="N371" s="582"/>
      <c r="O371" s="574"/>
      <c r="P371" s="574" cm="1">
        <f t="array" ref="P371">IFERROR(_xlfn.XLOOKUP(1,($B371=DistributionZone)*($C371=CustomerType)*("Losses"=Description)*($D371=tariffType)*($P$5=Desc_FixedOrVar),valuesFY),0)*SUM(P364:P370)</f>
        <v>8.1225525946086687</v>
      </c>
      <c r="Q371" s="574">
        <f>IF(AND(O371="",P371=""),"",O371+P371*$F371/1000)</f>
        <v>17.716911177350603</v>
      </c>
      <c r="R371" s="575">
        <f>IFERROR(Q371/Q372,"")</f>
        <v>5.5108513114750006E-2</v>
      </c>
      <c r="S371" s="575"/>
      <c r="T371" s="612"/>
      <c r="U371" s="575"/>
      <c r="V371" s="575"/>
      <c r="W371" s="575"/>
      <c r="X371" s="575"/>
      <c r="Y371" s="575"/>
      <c r="Z371" s="575"/>
      <c r="AA371" s="575"/>
      <c r="AB371" s="575"/>
      <c r="AC371" s="575"/>
      <c r="AD371" s="575"/>
      <c r="AE371" s="575"/>
      <c r="AF371" s="575"/>
      <c r="AG371" s="575"/>
      <c r="AH371" s="575"/>
      <c r="AI371" s="575"/>
      <c r="AJ371" s="575"/>
    </row>
    <row r="372" spans="2:36" s="571" customFormat="1" x14ac:dyDescent="0.35">
      <c r="B372" s="570" t="str">
        <f t="shared" si="172"/>
        <v>Energex</v>
      </c>
      <c r="C372" s="570" t="str">
        <f t="shared" si="173"/>
        <v>Residential</v>
      </c>
      <c r="D372" s="570" t="str">
        <f t="shared" si="183"/>
        <v>time of use</v>
      </c>
      <c r="E372" s="570" t="s">
        <v>283</v>
      </c>
      <c r="F372" s="584"/>
      <c r="G372" s="571" t="s">
        <v>55</v>
      </c>
      <c r="H372" s="577"/>
      <c r="I372" s="577">
        <f>IF($H$3=PY,0,SUM(I364:I371))</f>
        <v>0</v>
      </c>
      <c r="J372" s="577">
        <f>IF($H$3=PY,0,SUM(J364:J371))</f>
        <v>0</v>
      </c>
      <c r="K372" s="578"/>
      <c r="L372" s="579"/>
      <c r="M372" s="578"/>
      <c r="N372" s="580"/>
      <c r="O372" s="577"/>
      <c r="P372" s="577">
        <f>SUM(P364:P371)</f>
        <v>147.39197513268846</v>
      </c>
      <c r="Q372" s="577">
        <f>SUM(Q364:Q371)</f>
        <v>321.49136632410074</v>
      </c>
      <c r="R372" s="578"/>
      <c r="S372" s="578"/>
      <c r="T372" s="621"/>
      <c r="U372" s="578"/>
      <c r="V372" s="578"/>
      <c r="W372" s="578"/>
      <c r="X372" s="578"/>
      <c r="Y372" s="578"/>
      <c r="Z372" s="578"/>
      <c r="AA372" s="578"/>
      <c r="AB372" s="578"/>
      <c r="AC372" s="578"/>
      <c r="AD372" s="578"/>
      <c r="AE372" s="578"/>
      <c r="AF372" s="578"/>
      <c r="AG372" s="578"/>
      <c r="AH372" s="578"/>
      <c r="AI372" s="578"/>
      <c r="AJ372" s="578"/>
    </row>
    <row r="373" spans="2:36" s="570" customFormat="1" x14ac:dyDescent="0.35">
      <c r="B373" s="570" t="str">
        <f t="shared" si="172"/>
        <v>Energex</v>
      </c>
      <c r="C373" s="570" t="str">
        <f t="shared" si="173"/>
        <v>Residential</v>
      </c>
      <c r="D373" s="570" t="str">
        <f t="shared" si="183"/>
        <v>time of use</v>
      </c>
      <c r="E373" s="570" t="s">
        <v>272</v>
      </c>
      <c r="F373" s="485" cm="1">
        <f t="array" ref="F373">_xlfn.XLOOKUP(1,($B373=DistributionZone)*($C373=CustomerType)*($D373=tariffL2)*($F$5=Description),valuesPY)</f>
        <v>4600</v>
      </c>
      <c r="G373" s="571" t="s">
        <v>55</v>
      </c>
      <c r="H373" s="577">
        <f>IF($H$3=PY,0,SUM(H364:H371,H355:H362,H346:H353))</f>
        <v>0</v>
      </c>
      <c r="I373" s="577"/>
      <c r="J373" s="577">
        <f>SUM(J372,J363,J354)</f>
        <v>0</v>
      </c>
      <c r="K373" s="578"/>
      <c r="L373" s="579"/>
      <c r="M373" s="578" t="str">
        <f>IF(OR(J373=0,Q373=""),"",Q373/J373-1)</f>
        <v/>
      </c>
      <c r="N373" s="580"/>
      <c r="O373" s="577">
        <f>SUM(O346:O372)</f>
        <v>13.125399999999999</v>
      </c>
      <c r="P373" s="577"/>
      <c r="Q373" s="577">
        <f>SUM(Q354,Q363,Q372)</f>
        <v>659.13999491161235</v>
      </c>
      <c r="R373" s="578"/>
      <c r="S373" s="578"/>
      <c r="T373" s="621"/>
      <c r="U373" s="578"/>
      <c r="V373" s="578"/>
      <c r="W373" s="578"/>
      <c r="X373" s="578"/>
      <c r="Y373" s="578"/>
      <c r="Z373" s="578"/>
      <c r="AA373" s="578"/>
      <c r="AB373" s="578"/>
      <c r="AC373" s="578"/>
      <c r="AD373" s="578"/>
      <c r="AE373" s="578"/>
      <c r="AF373" s="578"/>
      <c r="AG373" s="578"/>
      <c r="AH373" s="578"/>
      <c r="AI373" s="578"/>
      <c r="AJ373" s="578"/>
    </row>
    <row r="374" spans="2:36" s="570" customFormat="1" x14ac:dyDescent="0.35">
      <c r="B374" s="570" t="str">
        <f t="shared" si="172"/>
        <v>Energex</v>
      </c>
      <c r="C374" s="570" t="str">
        <f t="shared" si="173"/>
        <v>Residential</v>
      </c>
      <c r="D374" s="570" t="str">
        <f t="shared" si="183"/>
        <v>time of use</v>
      </c>
      <c r="F374" s="485"/>
      <c r="G374" s="570" t="s">
        <v>38</v>
      </c>
      <c r="H374" s="574"/>
      <c r="I374" s="574"/>
      <c r="J374" s="574">
        <f>J373*GST</f>
        <v>0</v>
      </c>
      <c r="K374" s="575"/>
      <c r="L374" s="581"/>
      <c r="M374" s="575"/>
      <c r="N374" s="582"/>
      <c r="O374" s="574"/>
      <c r="P374" s="574"/>
      <c r="Q374" s="574">
        <f>Q373*GST</f>
        <v>65.913999491161235</v>
      </c>
      <c r="R374" s="578"/>
      <c r="S374" s="578"/>
      <c r="T374" s="621"/>
      <c r="U374" s="578"/>
      <c r="V374" s="578"/>
      <c r="W374" s="578"/>
      <c r="X374" s="578"/>
      <c r="Y374" s="578"/>
      <c r="Z374" s="578"/>
      <c r="AA374" s="578"/>
      <c r="AB374" s="578"/>
      <c r="AC374" s="578"/>
      <c r="AD374" s="578"/>
      <c r="AE374" s="578"/>
      <c r="AF374" s="578"/>
      <c r="AG374" s="578"/>
      <c r="AH374" s="578"/>
      <c r="AI374" s="578"/>
      <c r="AJ374" s="578"/>
    </row>
    <row r="375" spans="2:36" s="570" customFormat="1" x14ac:dyDescent="0.35">
      <c r="B375" s="570" t="str">
        <f t="shared" si="172"/>
        <v>Energex</v>
      </c>
      <c r="C375" s="570" t="str">
        <f t="shared" si="173"/>
        <v>Residential</v>
      </c>
      <c r="D375" s="570" t="str">
        <f t="shared" si="183"/>
        <v>time of use</v>
      </c>
      <c r="E375" s="570" t="s">
        <v>272</v>
      </c>
      <c r="F375" s="485"/>
      <c r="G375" s="571" t="s">
        <v>79</v>
      </c>
      <c r="H375" s="577"/>
      <c r="I375" s="577"/>
      <c r="J375" s="577">
        <f>SUM(J373:J374)</f>
        <v>0</v>
      </c>
      <c r="K375" s="578"/>
      <c r="L375" s="579"/>
      <c r="M375" s="578" t="str">
        <f>IF(OR(J375=0,Q375=""),"",Q375/J375-1)</f>
        <v/>
      </c>
      <c r="N375" s="580"/>
      <c r="O375" s="577"/>
      <c r="P375" s="577"/>
      <c r="Q375" s="577">
        <f>SUM(Q373:Q374)</f>
        <v>725.05399440277358</v>
      </c>
      <c r="R375" s="575"/>
      <c r="S375" s="575"/>
      <c r="T375" s="612"/>
      <c r="U375" s="575"/>
      <c r="V375" s="575"/>
      <c r="W375" s="575"/>
      <c r="X375" s="575"/>
      <c r="Y375" s="575"/>
      <c r="Z375" s="575"/>
      <c r="AA375" s="575"/>
      <c r="AB375" s="575"/>
      <c r="AC375" s="575"/>
      <c r="AD375" s="575"/>
      <c r="AE375" s="575"/>
      <c r="AF375" s="575"/>
      <c r="AG375" s="575"/>
      <c r="AH375" s="575"/>
      <c r="AI375" s="575"/>
      <c r="AJ375" s="575"/>
    </row>
    <row r="376" spans="2:36" x14ac:dyDescent="0.35">
      <c r="F376" s="258"/>
      <c r="H376" s="482"/>
      <c r="I376" s="482"/>
      <c r="J376" s="482"/>
      <c r="K376" s="484"/>
      <c r="L376" s="567"/>
      <c r="M376" s="484"/>
      <c r="N376" s="568"/>
      <c r="O376" s="482"/>
      <c r="P376" s="482"/>
      <c r="Q376" s="482"/>
      <c r="R376" s="484"/>
      <c r="S376" s="484"/>
      <c r="T376" s="607"/>
      <c r="U376" s="484"/>
      <c r="V376" s="484"/>
      <c r="W376" s="484"/>
      <c r="X376" s="484"/>
      <c r="Y376" s="484"/>
      <c r="Z376" s="484"/>
      <c r="AA376" s="484"/>
      <c r="AB376" s="484"/>
      <c r="AC376" s="484"/>
      <c r="AD376" s="484"/>
      <c r="AE376" s="484"/>
      <c r="AF376" s="484"/>
      <c r="AG376" s="484"/>
      <c r="AH376" s="484"/>
      <c r="AI376" s="484"/>
      <c r="AJ376" s="484"/>
    </row>
    <row r="377" spans="2:36" x14ac:dyDescent="0.35">
      <c r="B377" s="64" t="s">
        <v>0</v>
      </c>
      <c r="C377" s="64"/>
      <c r="D377" s="64" t="s">
        <v>285</v>
      </c>
      <c r="F377" s="258"/>
      <c r="H377" s="482"/>
      <c r="I377" s="482"/>
      <c r="J377" s="482"/>
      <c r="K377" s="484"/>
      <c r="L377" s="567"/>
      <c r="M377" s="484"/>
      <c r="N377" s="568"/>
      <c r="O377" s="482"/>
      <c r="P377" s="482"/>
      <c r="Q377" s="482"/>
      <c r="R377" s="484"/>
      <c r="S377" s="484"/>
      <c r="T377" s="607"/>
      <c r="U377" s="484"/>
      <c r="V377" s="484"/>
      <c r="W377" s="484"/>
      <c r="X377" s="484"/>
      <c r="Y377" s="484"/>
      <c r="Z377" s="484"/>
      <c r="AA377" s="484"/>
      <c r="AB377" s="484"/>
      <c r="AC377" s="484"/>
      <c r="AD377" s="484"/>
      <c r="AE377" s="484"/>
      <c r="AF377" s="484"/>
      <c r="AG377" s="484"/>
      <c r="AH377" s="484"/>
      <c r="AI377" s="484"/>
      <c r="AJ377" s="484"/>
    </row>
    <row r="378" spans="2:36" x14ac:dyDescent="0.35">
      <c r="B378" s="30" t="str">
        <f>B377</f>
        <v>Energex</v>
      </c>
      <c r="D378" s="30" t="str">
        <f>D377</f>
        <v>controlled load</v>
      </c>
      <c r="F378" s="258"/>
      <c r="G378" s="64"/>
      <c r="H378" s="487"/>
      <c r="I378" s="487"/>
      <c r="J378" s="487"/>
      <c r="K378" s="564"/>
      <c r="L378" s="565"/>
      <c r="M378" s="564"/>
      <c r="N378" s="566"/>
      <c r="O378" s="487"/>
      <c r="P378" s="487"/>
      <c r="Q378" s="487"/>
      <c r="R378" s="564"/>
      <c r="S378" s="564"/>
      <c r="T378" s="608"/>
      <c r="U378" s="564"/>
      <c r="V378" s="564"/>
      <c r="W378" s="564"/>
      <c r="X378" s="564"/>
      <c r="Y378" s="564"/>
      <c r="Z378" s="564"/>
      <c r="AA378" s="564"/>
      <c r="AB378" s="564"/>
      <c r="AC378" s="564"/>
      <c r="AD378" s="564"/>
      <c r="AE378" s="564"/>
      <c r="AF378" s="564"/>
      <c r="AG378" s="564"/>
      <c r="AH378" s="564"/>
      <c r="AI378" s="564"/>
      <c r="AJ378" s="564"/>
    </row>
    <row r="379" spans="2:36" x14ac:dyDescent="0.35">
      <c r="B379" s="30" t="str">
        <f t="shared" ref="B379:B399" si="188">B378</f>
        <v>Energex</v>
      </c>
      <c r="D379" s="30" t="str">
        <f t="shared" ref="D379:D399" si="189">D378</f>
        <v>controlled load</v>
      </c>
      <c r="E379" s="30" t="s">
        <v>14</v>
      </c>
      <c r="F379" s="258" cm="1">
        <f t="array" ref="F379">_xlfn.XLOOKUP(1,($B379=DistributionZone)*($C379=CustomerType)*($D379=tariffL2)*($F$5=Description)*(E379=tariffType),valuesFY)</f>
        <v>551</v>
      </c>
      <c r="G379" s="30" t="s">
        <v>69</v>
      </c>
      <c r="H379" s="482"/>
      <c r="I379" s="482" cm="1">
        <f t="array" ref="I379">IFERROR(_xlfn.XLOOKUP(1,($B379=DistributionZone)*($C379=CustomerType)*($E379=tariffType)*($G379=Description),valuesPY),0)</f>
        <v>102.21</v>
      </c>
      <c r="J379" s="482">
        <f t="shared" ref="J379:J386" si="190">H379+I379*F379/1000</f>
        <v>56.317709999999998</v>
      </c>
      <c r="K379" s="484">
        <f>IFERROR(J379/J387,"")</f>
        <v>0.9036839845341641</v>
      </c>
      <c r="L379" s="484"/>
      <c r="M379" s="484">
        <f t="shared" ref="M379:M397" si="191">IF(OR(J379=0,Q379=""),"",Q379/J379-1)</f>
        <v>-7.1910771940123297E-2</v>
      </c>
      <c r="N379" s="563"/>
      <c r="O379" s="482"/>
      <c r="P379" s="482" cm="1">
        <f t="array" ref="P379">IFERROR(_xlfn.XLOOKUP(1,($B379=DistributionZone)*($C379=CustomerType)*($E379=tariffType)*($G379=Description),valuesFY),0)</f>
        <v>94.86</v>
      </c>
      <c r="Q379" s="482">
        <f t="shared" ref="Q379:Q396" si="192">IF(AND(O379="",P379=""),"",O379+P379*$F379/1000)</f>
        <v>52.267859999999999</v>
      </c>
      <c r="R379" s="484">
        <f>IFERROR(Q379/Q387,"")</f>
        <v>0.89837569844799137</v>
      </c>
      <c r="S379" s="484"/>
      <c r="T379" s="608"/>
      <c r="U379" s="484"/>
      <c r="V379" s="484"/>
      <c r="W379" s="484"/>
      <c r="X379" s="484"/>
      <c r="Y379" s="484"/>
      <c r="Z379" s="484"/>
      <c r="AA379" s="484"/>
      <c r="AB379" s="484"/>
      <c r="AC379" s="484"/>
      <c r="AD379" s="484"/>
      <c r="AE379" s="484"/>
      <c r="AF379" s="484"/>
      <c r="AG379" s="484"/>
      <c r="AH379" s="484"/>
      <c r="AI379" s="484"/>
      <c r="AJ379" s="484"/>
    </row>
    <row r="380" spans="2:36" x14ac:dyDescent="0.35">
      <c r="B380" s="30" t="str">
        <f t="shared" si="188"/>
        <v>Energex</v>
      </c>
      <c r="D380" s="30" t="str">
        <f t="shared" si="189"/>
        <v>controlled load</v>
      </c>
      <c r="E380" s="30" t="s">
        <v>14</v>
      </c>
      <c r="F380" s="258">
        <f t="shared" ref="F380:F387" si="193">F379</f>
        <v>551</v>
      </c>
      <c r="G380" s="30" t="s">
        <v>70</v>
      </c>
      <c r="H380" s="482"/>
      <c r="I380" s="482" cm="1">
        <f t="array" ref="I380">IFERROR(_xlfn.XLOOKUP(1,($B380=DistributionZone)*(I$5=Desc_FixedOrVar)*($G380=Description),valuesPY),0)</f>
        <v>0.73511316732430898</v>
      </c>
      <c r="J380" s="482">
        <f t="shared" si="190"/>
        <v>0.40504735519569424</v>
      </c>
      <c r="K380" s="484">
        <f>IFERROR(J380/J387,"")</f>
        <v>6.4994618543308992E-3</v>
      </c>
      <c r="L380" s="484"/>
      <c r="M380" s="484">
        <f t="shared" si="191"/>
        <v>-0.43323547155862818</v>
      </c>
      <c r="N380" s="563"/>
      <c r="O380" s="482"/>
      <c r="P380" s="482" cm="1">
        <f t="array" ref="P380">IFERROR(_xlfn.XLOOKUP(1,($B380=DistributionZone)*(P$5=Desc_FixedOrVar)*($G380=Description),valuesFY),0)</f>
        <v>0.4166360676296052</v>
      </c>
      <c r="Q380" s="482">
        <f t="shared" si="192"/>
        <v>0.22956647326391247</v>
      </c>
      <c r="R380" s="484">
        <f>IFERROR(Q380/Q387,"")</f>
        <v>3.9457697475792867E-3</v>
      </c>
      <c r="S380" s="484"/>
      <c r="T380" s="607"/>
      <c r="U380" s="484"/>
      <c r="V380" s="484"/>
      <c r="W380" s="484"/>
      <c r="X380" s="484"/>
      <c r="Y380" s="484"/>
      <c r="Z380" s="484"/>
      <c r="AA380" s="484"/>
      <c r="AB380" s="484"/>
      <c r="AC380" s="484"/>
      <c r="AD380" s="484"/>
      <c r="AE380" s="484"/>
      <c r="AF380" s="484"/>
      <c r="AG380" s="484"/>
      <c r="AH380" s="484"/>
      <c r="AI380" s="484"/>
      <c r="AJ380" s="484"/>
    </row>
    <row r="381" spans="2:36" x14ac:dyDescent="0.35">
      <c r="B381" s="30" t="str">
        <f t="shared" si="188"/>
        <v>Energex</v>
      </c>
      <c r="D381" s="30" t="str">
        <f t="shared" si="189"/>
        <v>controlled load</v>
      </c>
      <c r="E381" s="30" t="s">
        <v>14</v>
      </c>
      <c r="F381" s="258">
        <f t="shared" si="193"/>
        <v>551</v>
      </c>
      <c r="G381" s="30" t="s">
        <v>77</v>
      </c>
      <c r="H381" s="482"/>
      <c r="I381" s="482" cm="1">
        <f t="array" ref="I381">IFERROR(_xlfn.XLOOKUP(1,($B381=DistributionZone)*(I$5=Desc_FixedOrVar)*($G381=Description),valuesPY),0)</f>
        <v>0.57443</v>
      </c>
      <c r="J381" s="482">
        <f t="shared" si="190"/>
        <v>0.31651092999999997</v>
      </c>
      <c r="K381" s="484">
        <f>IFERROR(J381/J387,"")</f>
        <v>5.0787906392325589E-3</v>
      </c>
      <c r="L381" s="484"/>
      <c r="M381" s="484">
        <f t="shared" si="191"/>
        <v>-9.5799314102675615E-2</v>
      </c>
      <c r="N381" s="563"/>
      <c r="O381" s="482"/>
      <c r="P381" s="482" cm="1">
        <f t="array" ref="P381">IFERROR(_xlfn.XLOOKUP(1,($B381=DistributionZone)*(P$5=Desc_FixedOrVar)*($G381=Description),valuesFY),0)</f>
        <v>0.51939999999999997</v>
      </c>
      <c r="Q381" s="482">
        <f t="shared" si="192"/>
        <v>0.28618939999999998</v>
      </c>
      <c r="R381" s="484">
        <f>IFERROR(Q381/Q387,"")</f>
        <v>4.918999976532645E-3</v>
      </c>
      <c r="S381" s="484"/>
      <c r="T381" s="607"/>
      <c r="U381" s="484"/>
      <c r="V381" s="484"/>
      <c r="W381" s="484"/>
      <c r="X381" s="484"/>
      <c r="Y381" s="484"/>
      <c r="Z381" s="484"/>
      <c r="AA381" s="484"/>
      <c r="AB381" s="484"/>
      <c r="AC381" s="484"/>
      <c r="AD381" s="484"/>
      <c r="AE381" s="484"/>
      <c r="AF381" s="484"/>
      <c r="AG381" s="484"/>
      <c r="AH381" s="484"/>
      <c r="AI381" s="484"/>
      <c r="AJ381" s="484"/>
    </row>
    <row r="382" spans="2:36" x14ac:dyDescent="0.35">
      <c r="B382" s="30" t="str">
        <f t="shared" si="188"/>
        <v>Energex</v>
      </c>
      <c r="D382" s="30" t="str">
        <f t="shared" si="189"/>
        <v>controlled load</v>
      </c>
      <c r="E382" s="30" t="s">
        <v>14</v>
      </c>
      <c r="F382" s="258">
        <f t="shared" si="193"/>
        <v>551</v>
      </c>
      <c r="G382" s="30" t="s">
        <v>71</v>
      </c>
      <c r="H382" s="482"/>
      <c r="I382" s="482" cm="1">
        <f t="array" ref="I382">IFERROR(_xlfn.XLOOKUP(1,($B382=DistributionZone)*(I$5=Desc_FixedOrVar)*($G382=Description),valuesPY),0)</f>
        <v>0</v>
      </c>
      <c r="J382" s="482">
        <f t="shared" si="190"/>
        <v>0</v>
      </c>
      <c r="K382" s="484">
        <f>IFERROR(J382/J387,"")</f>
        <v>0</v>
      </c>
      <c r="L382" s="484"/>
      <c r="M382" s="484" t="str">
        <f t="shared" si="191"/>
        <v/>
      </c>
      <c r="N382" s="563"/>
      <c r="O382" s="482"/>
      <c r="P382" s="482" cm="1">
        <f t="array" ref="P382">IFERROR(_xlfn.XLOOKUP(1,($B382=DistributionZone)*(P$5=Desc_FixedOrVar)*($G382=Description),valuesFY),0)</f>
        <v>0</v>
      </c>
      <c r="Q382" s="482">
        <f t="shared" si="192"/>
        <v>0</v>
      </c>
      <c r="R382" s="484">
        <f>IFERROR(Q382/Q387,"")</f>
        <v>0</v>
      </c>
      <c r="S382" s="484"/>
      <c r="T382" s="607"/>
      <c r="U382" s="484"/>
      <c r="V382" s="484"/>
      <c r="W382" s="484"/>
      <c r="X382" s="484"/>
      <c r="Y382" s="484"/>
      <c r="Z382" s="484"/>
      <c r="AA382" s="484"/>
      <c r="AB382" s="484"/>
      <c r="AC382" s="484"/>
      <c r="AD382" s="484"/>
      <c r="AE382" s="484"/>
      <c r="AF382" s="484"/>
      <c r="AG382" s="484"/>
      <c r="AH382" s="484"/>
      <c r="AI382" s="484"/>
      <c r="AJ382" s="484"/>
    </row>
    <row r="383" spans="2:36" x14ac:dyDescent="0.35">
      <c r="B383" s="30" t="str">
        <f t="shared" si="188"/>
        <v>Energex</v>
      </c>
      <c r="D383" s="30" t="str">
        <f t="shared" si="189"/>
        <v>controlled load</v>
      </c>
      <c r="E383" s="30" t="s">
        <v>14</v>
      </c>
      <c r="F383" s="258">
        <f t="shared" si="193"/>
        <v>551</v>
      </c>
      <c r="G383" s="30" t="s">
        <v>173</v>
      </c>
      <c r="H383" s="482"/>
      <c r="I383" s="482" cm="1">
        <f t="array" ref="I383">IFERROR(_xlfn.XLOOKUP(1,($B383=DistributionZone)*(I$5=Desc_FixedOrVar)*($G383=Description),valuesPY),0)</f>
        <v>0</v>
      </c>
      <c r="J383" s="482">
        <f t="shared" si="190"/>
        <v>0</v>
      </c>
      <c r="K383" s="484">
        <f>IFERROR(J383/J388,"")</f>
        <v>0</v>
      </c>
      <c r="L383" s="484"/>
      <c r="M383" s="484" t="str">
        <f t="shared" si="191"/>
        <v/>
      </c>
      <c r="N383" s="563"/>
      <c r="O383" s="482"/>
      <c r="P383" s="482" cm="1">
        <f t="array" ref="P383">IFERROR(_xlfn.XLOOKUP(1,($B383=DistributionZone)*(P$5=Desc_FixedOrVar)*($G383=Description),valuesFY),0)</f>
        <v>0</v>
      </c>
      <c r="Q383" s="482">
        <f t="shared" si="192"/>
        <v>0</v>
      </c>
      <c r="R383" s="484">
        <f>IFERROR(Q383/Q388,"")</f>
        <v>0</v>
      </c>
      <c r="S383" s="484"/>
      <c r="T383" s="607"/>
      <c r="U383" s="484"/>
      <c r="V383" s="484"/>
      <c r="W383" s="484"/>
      <c r="X383" s="484"/>
      <c r="Y383" s="484"/>
      <c r="Z383" s="484"/>
      <c r="AA383" s="484"/>
      <c r="AB383" s="484"/>
      <c r="AC383" s="484"/>
      <c r="AD383" s="484"/>
      <c r="AE383" s="484"/>
      <c r="AF383" s="484"/>
      <c r="AG383" s="484"/>
      <c r="AH383" s="484"/>
      <c r="AI383" s="484"/>
      <c r="AJ383" s="484"/>
    </row>
    <row r="384" spans="2:36" x14ac:dyDescent="0.35">
      <c r="B384" s="30" t="str">
        <f t="shared" si="188"/>
        <v>Energex</v>
      </c>
      <c r="D384" s="30" t="str">
        <f t="shared" si="189"/>
        <v>controlled load</v>
      </c>
      <c r="E384" s="30" t="s">
        <v>14</v>
      </c>
      <c r="F384" s="258">
        <f t="shared" si="193"/>
        <v>551</v>
      </c>
      <c r="G384" s="30" t="s">
        <v>130</v>
      </c>
      <c r="H384" s="482"/>
      <c r="I384" s="482" cm="1">
        <f t="array" ref="I384">IFERROR(_xlfn.XLOOKUP(1,($B384=DistributionZone)*(I$5=Desc_FixedOrVar)*($G384=Description),valuesPY),0)</f>
        <v>3.27335932679709</v>
      </c>
      <c r="J384" s="482">
        <f t="shared" si="190"/>
        <v>1.8036209890651966</v>
      </c>
      <c r="K384" s="484">
        <f>IFERROR(J384/J387,"")</f>
        <v>2.8941222964994261E-2</v>
      </c>
      <c r="L384" s="484"/>
      <c r="M384" s="484">
        <f t="shared" si="191"/>
        <v>-0.17833877323131719</v>
      </c>
      <c r="N384" s="563"/>
      <c r="O384" s="482"/>
      <c r="P384" s="482" cm="1">
        <f t="array" ref="P384">IFERROR(_xlfn.XLOOKUP(1,($B384=DistributionZone)*(P$5=Desc_FixedOrVar)*($G384=Description),valuesFY),0)</f>
        <v>2.6895924401108067</v>
      </c>
      <c r="Q384" s="482">
        <f t="shared" si="192"/>
        <v>1.4819654345010544</v>
      </c>
      <c r="R384" s="484">
        <f>IFERROR(Q384/Q387,"")</f>
        <v>2.5471900557927293E-2</v>
      </c>
      <c r="S384" s="484"/>
      <c r="T384" s="607"/>
      <c r="U384" s="484"/>
      <c r="V384" s="484"/>
      <c r="W384" s="484"/>
      <c r="X384" s="484"/>
      <c r="Y384" s="484"/>
      <c r="Z384" s="484"/>
      <c r="AA384" s="484"/>
      <c r="AB384" s="484"/>
      <c r="AC384" s="484"/>
      <c r="AD384" s="484"/>
      <c r="AE384" s="484"/>
      <c r="AF384" s="484"/>
      <c r="AG384" s="484"/>
      <c r="AH384" s="484"/>
      <c r="AI384" s="484"/>
      <c r="AJ384" s="484"/>
    </row>
    <row r="385" spans="2:36" x14ac:dyDescent="0.35">
      <c r="B385" s="30" t="str">
        <f t="shared" si="188"/>
        <v>Energex</v>
      </c>
      <c r="D385" s="30" t="str">
        <f t="shared" si="189"/>
        <v>controlled load</v>
      </c>
      <c r="E385" s="30" t="s">
        <v>14</v>
      </c>
      <c r="F385" s="258">
        <f t="shared" si="193"/>
        <v>551</v>
      </c>
      <c r="G385" s="30" t="s">
        <v>302</v>
      </c>
      <c r="H385" s="482"/>
      <c r="I385" s="482"/>
      <c r="J385" s="482"/>
      <c r="K385" s="484"/>
      <c r="L385" s="484"/>
      <c r="M385" s="484"/>
      <c r="N385" s="563"/>
      <c r="O385" s="482"/>
      <c r="P385" s="482" cm="1">
        <f t="array" ref="P385">IFERROR(_xlfn.XLOOKUP(1,($B385=DistributionZone)*(E385=tariffType)*(P$5=Desc_FixedOrVar)*($G385=Description),valuesFY),0)</f>
        <v>1.286</v>
      </c>
      <c r="Q385" s="482">
        <f t="shared" ref="Q385" si="194">IF(AND(O385="",P385=""),"",O385+P385*$F385/1000)</f>
        <v>0.70858600000000005</v>
      </c>
      <c r="R385" s="484">
        <f>IFERROR(Q385/Q387,"")</f>
        <v>1.2179118155219449E-2</v>
      </c>
      <c r="S385" s="484"/>
      <c r="T385" s="607"/>
      <c r="U385" s="484"/>
      <c r="V385" s="484"/>
      <c r="W385" s="484"/>
      <c r="X385" s="484"/>
      <c r="Y385" s="484"/>
      <c r="Z385" s="484"/>
      <c r="AA385" s="484"/>
      <c r="AB385" s="484"/>
      <c r="AC385" s="484"/>
      <c r="AD385" s="484"/>
      <c r="AE385" s="484"/>
      <c r="AF385" s="484"/>
      <c r="AG385" s="484"/>
      <c r="AH385" s="484"/>
      <c r="AI385" s="484"/>
      <c r="AJ385" s="484"/>
    </row>
    <row r="386" spans="2:36" x14ac:dyDescent="0.35">
      <c r="B386" s="30" t="str">
        <f>B384</f>
        <v>Energex</v>
      </c>
      <c r="D386" s="30" t="str">
        <f>D384</f>
        <v>controlled load</v>
      </c>
      <c r="E386" s="30" t="s">
        <v>14</v>
      </c>
      <c r="F386" s="258">
        <f>F384</f>
        <v>551</v>
      </c>
      <c r="G386" s="30" t="s">
        <v>72</v>
      </c>
      <c r="H386" s="482"/>
      <c r="I386" s="482" cm="1">
        <f t="array" ref="I386">IFERROR(_xlfn.XLOOKUP(1,($B386=DistributionZone)*($C386=CustomerType)*($E386=tariffType)*($G386=Description),valuesPY),0)*SUM(I379:I384)</f>
        <v>6.3107949811500506</v>
      </c>
      <c r="J386" s="482">
        <f t="shared" si="190"/>
        <v>3.4772480346136776</v>
      </c>
      <c r="K386" s="484">
        <f>IFERROR(J386/J387,"")</f>
        <v>5.5796540007277982E-2</v>
      </c>
      <c r="L386" s="484"/>
      <c r="M386" s="484">
        <f t="shared" si="191"/>
        <v>-7.793880139660625E-2</v>
      </c>
      <c r="N386" s="563"/>
      <c r="O386" s="482"/>
      <c r="P386" s="482" cm="1">
        <f t="array" ref="P386">IFERROR(_xlfn.XLOOKUP(1,($B386=DistributionZone)*($C386=CustomerType)*($E386=tariffType)*($G386=Description),valuesFY),0)*SUM(P379:P385)</f>
        <v>5.8189391844594969</v>
      </c>
      <c r="Q386" s="482">
        <f t="shared" si="192"/>
        <v>3.2062354906371828</v>
      </c>
      <c r="R386" s="484">
        <f>IFERROR(Q386/Q387,"")</f>
        <v>5.5108513114750006E-2</v>
      </c>
      <c r="S386" s="484"/>
      <c r="T386" s="607"/>
      <c r="U386" s="484"/>
      <c r="V386" s="484"/>
      <c r="W386" s="484"/>
      <c r="X386" s="484"/>
      <c r="Y386" s="484"/>
      <c r="Z386" s="484"/>
      <c r="AA386" s="484"/>
      <c r="AB386" s="484"/>
      <c r="AC386" s="484"/>
      <c r="AD386" s="484"/>
      <c r="AE386" s="484"/>
      <c r="AF386" s="484"/>
      <c r="AG386" s="484"/>
      <c r="AH386" s="484"/>
      <c r="AI386" s="484"/>
      <c r="AJ386" s="484"/>
    </row>
    <row r="387" spans="2:36" x14ac:dyDescent="0.35">
      <c r="B387" s="30" t="str">
        <f t="shared" si="188"/>
        <v>Energex</v>
      </c>
      <c r="D387" s="30" t="str">
        <f t="shared" si="189"/>
        <v>controlled load</v>
      </c>
      <c r="E387" s="30" t="s">
        <v>14</v>
      </c>
      <c r="F387" s="258">
        <f t="shared" si="193"/>
        <v>551</v>
      </c>
      <c r="G387" s="64" t="s">
        <v>55</v>
      </c>
      <c r="H387" s="487"/>
      <c r="I387" s="487">
        <f>SUM(I379:I386)</f>
        <v>113.10369747527146</v>
      </c>
      <c r="J387" s="487">
        <f>IF(AND(H387="",I387=""),"",H387+I387*+Usage!H$40/1000)</f>
        <v>62.320137308874578</v>
      </c>
      <c r="K387" s="564"/>
      <c r="L387" s="565"/>
      <c r="M387" s="564">
        <f t="shared" si="191"/>
        <v>-6.6426915748834858E-2</v>
      </c>
      <c r="N387" s="566"/>
      <c r="O387" s="487"/>
      <c r="P387" s="487">
        <f>SUM(P379:P386)</f>
        <v>105.59056769219991</v>
      </c>
      <c r="Q387" s="487">
        <f t="shared" si="192"/>
        <v>58.180402798402149</v>
      </c>
      <c r="R387" s="564"/>
      <c r="S387" s="564"/>
      <c r="T387" s="611"/>
      <c r="U387" s="564"/>
      <c r="V387" s="564"/>
      <c r="W387" s="564"/>
      <c r="X387" s="564"/>
      <c r="Y387" s="564"/>
      <c r="Z387" s="564"/>
      <c r="AA387" s="564"/>
      <c r="AB387" s="564"/>
      <c r="AC387" s="564"/>
      <c r="AD387" s="564"/>
      <c r="AE387" s="564"/>
      <c r="AF387" s="564"/>
      <c r="AG387" s="564"/>
      <c r="AH387" s="564"/>
      <c r="AI387" s="564"/>
      <c r="AJ387" s="564"/>
    </row>
    <row r="388" spans="2:36" x14ac:dyDescent="0.35">
      <c r="B388" s="30" t="str">
        <f t="shared" si="188"/>
        <v>Energex</v>
      </c>
      <c r="D388" s="30" t="str">
        <f t="shared" si="189"/>
        <v>controlled load</v>
      </c>
      <c r="E388" s="30" t="s">
        <v>15</v>
      </c>
      <c r="F388" s="258" cm="1">
        <f t="array" ref="F388">_xlfn.XLOOKUP(1,($B388=DistributionZone)*($C388=CustomerType)*($D388=tariffL2)*($F$5=Description)*(E388=tariffType),valuesFY)</f>
        <v>1349</v>
      </c>
      <c r="G388" s="30" t="s">
        <v>69</v>
      </c>
      <c r="H388" s="482"/>
      <c r="I388" s="482" cm="1">
        <f t="array" ref="I388">IFERROR(_xlfn.XLOOKUP(1,($B388=DistributionZone)*($C388=CustomerType)*($E388=tariffType)*($G388=Description),valuesPY),0)</f>
        <v>108.67250000000001</v>
      </c>
      <c r="J388" s="482">
        <f t="shared" ref="J388:J395" si="195">H388+I388*F388/1000</f>
        <v>146.59920250000002</v>
      </c>
      <c r="K388" s="484">
        <f>IFERROR(J388/J396,"")</f>
        <v>0.90599607830085671</v>
      </c>
      <c r="L388" s="484"/>
      <c r="M388" s="484">
        <f t="shared" si="191"/>
        <v>-0.1010605258920152</v>
      </c>
      <c r="N388" s="563"/>
      <c r="O388" s="482"/>
      <c r="P388" s="482" cm="1">
        <f t="array" ref="P388">IFERROR(_xlfn.XLOOKUP(1,($B388=DistributionZone)*($C388=CustomerType)*($E388=tariffType)*($G388=Description),valuesFY),0)</f>
        <v>97.69</v>
      </c>
      <c r="Q388" s="482">
        <f t="shared" si="192"/>
        <v>131.78380999999999</v>
      </c>
      <c r="R388" s="484">
        <f>IFERROR(Q388/Q396,"")</f>
        <v>0.90233225051581378</v>
      </c>
      <c r="S388" s="484"/>
      <c r="T388" s="608"/>
      <c r="U388" s="484"/>
      <c r="V388" s="484"/>
      <c r="W388" s="484"/>
      <c r="X388" s="484"/>
      <c r="Y388" s="484"/>
      <c r="Z388" s="484"/>
      <c r="AA388" s="484"/>
      <c r="AB388" s="484"/>
      <c r="AC388" s="484"/>
      <c r="AD388" s="484"/>
      <c r="AE388" s="484"/>
      <c r="AF388" s="484"/>
      <c r="AG388" s="484"/>
      <c r="AH388" s="484"/>
      <c r="AI388" s="484"/>
      <c r="AJ388" s="484"/>
    </row>
    <row r="389" spans="2:36" x14ac:dyDescent="0.35">
      <c r="B389" s="30" t="str">
        <f t="shared" si="188"/>
        <v>Energex</v>
      </c>
      <c r="D389" s="30" t="str">
        <f t="shared" si="189"/>
        <v>controlled load</v>
      </c>
      <c r="E389" s="30" t="s">
        <v>15</v>
      </c>
      <c r="F389" s="258">
        <f t="shared" ref="F389:F396" si="196">F388</f>
        <v>1349</v>
      </c>
      <c r="G389" s="30" t="s">
        <v>70</v>
      </c>
      <c r="H389" s="482"/>
      <c r="I389" s="482" cm="1">
        <f t="array" ref="I389">IFERROR(_xlfn.XLOOKUP(1,($B389=DistributionZone)*(I$5=Desc_FixedOrVar)*($G389=Description),valuesPY),0)</f>
        <v>0.73511316732430898</v>
      </c>
      <c r="J389" s="482">
        <f t="shared" si="195"/>
        <v>0.99166766272049278</v>
      </c>
      <c r="K389" s="484">
        <f>IFERROR(J389/J396,"")</f>
        <v>6.1285941402208039E-3</v>
      </c>
      <c r="L389" s="484"/>
      <c r="M389" s="484">
        <f t="shared" si="191"/>
        <v>-0.43323547155862818</v>
      </c>
      <c r="N389" s="563"/>
      <c r="O389" s="482"/>
      <c r="P389" s="482" cm="1">
        <f t="array" ref="P389">IFERROR(_xlfn.XLOOKUP(1,($B389=DistributionZone)*(P$5=Desc_FixedOrVar)*($G389=Description),valuesFY),0)</f>
        <v>0.4166360676296052</v>
      </c>
      <c r="Q389" s="482">
        <f t="shared" si="192"/>
        <v>0.56204205523233741</v>
      </c>
      <c r="R389" s="484">
        <f>IFERROR(Q389/Q396,"")</f>
        <v>3.8483382183466114E-3</v>
      </c>
      <c r="S389" s="484"/>
      <c r="T389" s="607"/>
      <c r="U389" s="484"/>
      <c r="V389" s="484"/>
      <c r="W389" s="484"/>
      <c r="X389" s="484"/>
      <c r="Y389" s="484"/>
      <c r="Z389" s="484"/>
      <c r="AA389" s="484"/>
      <c r="AB389" s="484"/>
      <c r="AC389" s="484"/>
      <c r="AD389" s="484"/>
      <c r="AE389" s="484"/>
      <c r="AF389" s="484"/>
      <c r="AG389" s="484"/>
      <c r="AH389" s="484"/>
      <c r="AI389" s="484"/>
      <c r="AJ389" s="484"/>
    </row>
    <row r="390" spans="2:36" x14ac:dyDescent="0.35">
      <c r="B390" s="30" t="str">
        <f t="shared" si="188"/>
        <v>Energex</v>
      </c>
      <c r="D390" s="30" t="str">
        <f t="shared" si="189"/>
        <v>controlled load</v>
      </c>
      <c r="E390" s="30" t="s">
        <v>15</v>
      </c>
      <c r="F390" s="258">
        <f t="shared" si="196"/>
        <v>1349</v>
      </c>
      <c r="G390" s="30" t="s">
        <v>77</v>
      </c>
      <c r="H390" s="482"/>
      <c r="I390" s="482" cm="1">
        <f t="array" ref="I390">IFERROR(_xlfn.XLOOKUP(1,($B390=DistributionZone)*(I$5=Desc_FixedOrVar)*($G390=Description),valuesPY),0)</f>
        <v>0.57443</v>
      </c>
      <c r="J390" s="482">
        <f t="shared" si="195"/>
        <v>0.77490607</v>
      </c>
      <c r="K390" s="484">
        <f>IFERROR(J390/J396,"")</f>
        <v>4.788988265277426E-3</v>
      </c>
      <c r="L390" s="484"/>
      <c r="M390" s="484">
        <f t="shared" si="191"/>
        <v>-9.5799314102675837E-2</v>
      </c>
      <c r="N390" s="563"/>
      <c r="O390" s="482"/>
      <c r="P390" s="482" cm="1">
        <f t="array" ref="P390">IFERROR(_xlfn.XLOOKUP(1,($B390=DistributionZone)*(P$5=Desc_FixedOrVar)*($G390=Description),valuesFY),0)</f>
        <v>0.51939999999999997</v>
      </c>
      <c r="Q390" s="482">
        <f t="shared" si="192"/>
        <v>0.70067059999999992</v>
      </c>
      <c r="R390" s="484">
        <f>IFERROR(Q390/Q396,"")</f>
        <v>4.7975368094780799E-3</v>
      </c>
      <c r="S390" s="484"/>
      <c r="T390" s="607"/>
      <c r="U390" s="484"/>
      <c r="V390" s="484"/>
      <c r="W390" s="484"/>
      <c r="X390" s="484"/>
      <c r="Y390" s="484"/>
      <c r="Z390" s="484"/>
      <c r="AA390" s="484"/>
      <c r="AB390" s="484"/>
      <c r="AC390" s="484"/>
      <c r="AD390" s="484"/>
      <c r="AE390" s="484"/>
      <c r="AF390" s="484"/>
      <c r="AG390" s="484"/>
      <c r="AH390" s="484"/>
      <c r="AI390" s="484"/>
      <c r="AJ390" s="484"/>
    </row>
    <row r="391" spans="2:36" x14ac:dyDescent="0.35">
      <c r="B391" s="30" t="str">
        <f t="shared" si="188"/>
        <v>Energex</v>
      </c>
      <c r="D391" s="30" t="str">
        <f t="shared" si="189"/>
        <v>controlled load</v>
      </c>
      <c r="E391" s="30" t="s">
        <v>15</v>
      </c>
      <c r="F391" s="258">
        <f t="shared" si="196"/>
        <v>1349</v>
      </c>
      <c r="G391" s="30" t="s">
        <v>71</v>
      </c>
      <c r="H391" s="482"/>
      <c r="I391" s="482" cm="1">
        <f t="array" ref="I391">IFERROR(_xlfn.XLOOKUP(1,($B391=DistributionZone)*(I$5=Desc_FixedOrVar)*($G391=Description),valuesPY),0)</f>
        <v>0</v>
      </c>
      <c r="J391" s="482">
        <f t="shared" si="195"/>
        <v>0</v>
      </c>
      <c r="K391" s="484">
        <f>IFERROR(J391/J396,"")</f>
        <v>0</v>
      </c>
      <c r="L391" s="484"/>
      <c r="M391" s="484" t="str">
        <f t="shared" si="191"/>
        <v/>
      </c>
      <c r="N391" s="563"/>
      <c r="O391" s="482"/>
      <c r="P391" s="482" cm="1">
        <f t="array" ref="P391">IFERROR(_xlfn.XLOOKUP(1,($B391=DistributionZone)*(P$5=Desc_FixedOrVar)*($G391=Description),valuesFY),0)</f>
        <v>0</v>
      </c>
      <c r="Q391" s="482">
        <f t="shared" si="192"/>
        <v>0</v>
      </c>
      <c r="R391" s="484">
        <f>IFERROR(Q391/Q396,"")</f>
        <v>0</v>
      </c>
      <c r="S391" s="484"/>
      <c r="T391" s="607"/>
      <c r="U391" s="484"/>
      <c r="V391" s="484"/>
      <c r="W391" s="484"/>
      <c r="X391" s="484"/>
      <c r="Y391" s="484"/>
      <c r="Z391" s="484"/>
      <c r="AA391" s="484"/>
      <c r="AB391" s="484"/>
      <c r="AC391" s="484"/>
      <c r="AD391" s="484"/>
      <c r="AE391" s="484"/>
      <c r="AF391" s="484"/>
      <c r="AG391" s="484"/>
      <c r="AH391" s="484"/>
      <c r="AI391" s="484"/>
      <c r="AJ391" s="484"/>
    </row>
    <row r="392" spans="2:36" x14ac:dyDescent="0.35">
      <c r="B392" s="30" t="str">
        <f t="shared" si="188"/>
        <v>Energex</v>
      </c>
      <c r="D392" s="30" t="str">
        <f t="shared" si="189"/>
        <v>controlled load</v>
      </c>
      <c r="E392" s="30" t="s">
        <v>15</v>
      </c>
      <c r="F392" s="258">
        <f t="shared" si="196"/>
        <v>1349</v>
      </c>
      <c r="G392" s="30" t="s">
        <v>173</v>
      </c>
      <c r="H392" s="482"/>
      <c r="I392" s="482" cm="1">
        <f t="array" ref="I392">IFERROR(_xlfn.XLOOKUP(1,($B392=DistributionZone)*(I$5=Desc_FixedOrVar)*($G392=Description),valuesPY),0)</f>
        <v>0</v>
      </c>
      <c r="J392" s="482">
        <f t="shared" si="195"/>
        <v>0</v>
      </c>
      <c r="K392" s="484">
        <f>IFERROR(J392/J397,"")</f>
        <v>0</v>
      </c>
      <c r="L392" s="484"/>
      <c r="M392" s="484" t="str">
        <f t="shared" si="191"/>
        <v/>
      </c>
      <c r="N392" s="563"/>
      <c r="O392" s="482"/>
      <c r="P392" s="482" cm="1">
        <f t="array" ref="P392">IFERROR(_xlfn.XLOOKUP(1,($B392=DistributionZone)*(P$5=Desc_FixedOrVar)*($G392=Description),valuesFY),0)</f>
        <v>0</v>
      </c>
      <c r="Q392" s="482">
        <f t="shared" si="192"/>
        <v>0</v>
      </c>
      <c r="R392" s="484">
        <f>IFERROR(Q392/Q397,"")</f>
        <v>0</v>
      </c>
      <c r="S392" s="484"/>
      <c r="T392" s="607"/>
      <c r="U392" s="484"/>
      <c r="V392" s="484"/>
      <c r="W392" s="484"/>
      <c r="X392" s="484"/>
      <c r="Y392" s="484"/>
      <c r="Z392" s="484"/>
      <c r="AA392" s="484"/>
      <c r="AB392" s="484"/>
      <c r="AC392" s="484"/>
      <c r="AD392" s="484"/>
      <c r="AE392" s="484"/>
      <c r="AF392" s="484"/>
      <c r="AG392" s="484"/>
      <c r="AH392" s="484"/>
      <c r="AI392" s="484"/>
      <c r="AJ392" s="484"/>
    </row>
    <row r="393" spans="2:36" x14ac:dyDescent="0.35">
      <c r="B393" s="30" t="str">
        <f t="shared" si="188"/>
        <v>Energex</v>
      </c>
      <c r="D393" s="30" t="str">
        <f t="shared" si="189"/>
        <v>controlled load</v>
      </c>
      <c r="E393" s="30" t="s">
        <v>15</v>
      </c>
      <c r="F393" s="258">
        <f t="shared" si="196"/>
        <v>1349</v>
      </c>
      <c r="G393" s="30" t="s">
        <v>130</v>
      </c>
      <c r="H393" s="482"/>
      <c r="I393" s="482" cm="1">
        <f t="array" ref="I393">IFERROR(_xlfn.XLOOKUP(1,($B393=DistributionZone)*(I$5=Desc_FixedOrVar)*($G393=Description),valuesPY),0)</f>
        <v>3.27335932679709</v>
      </c>
      <c r="J393" s="482">
        <f t="shared" si="195"/>
        <v>4.4157617318492743</v>
      </c>
      <c r="K393" s="484">
        <f>IFERROR(J393/J396,"")</f>
        <v>2.7289799286366795E-2</v>
      </c>
      <c r="L393" s="484"/>
      <c r="M393" s="484">
        <f t="shared" si="191"/>
        <v>-0.17833877323131719</v>
      </c>
      <c r="N393" s="563"/>
      <c r="O393" s="482"/>
      <c r="P393" s="482" cm="1">
        <f t="array" ref="P393">IFERROR(_xlfn.XLOOKUP(1,($B393=DistributionZone)*(P$5=Desc_FixedOrVar)*($G393=Description),valuesFY),0)</f>
        <v>2.6895924401108067</v>
      </c>
      <c r="Q393" s="482">
        <f t="shared" si="192"/>
        <v>3.628260201709478</v>
      </c>
      <c r="R393" s="484">
        <f>IFERROR(Q393/Q396,"")</f>
        <v>2.484293171722288E-2</v>
      </c>
      <c r="S393" s="484"/>
      <c r="T393" s="607"/>
      <c r="U393" s="484"/>
      <c r="V393" s="484"/>
      <c r="W393" s="484"/>
      <c r="X393" s="484"/>
      <c r="Y393" s="484"/>
      <c r="Z393" s="484"/>
      <c r="AA393" s="484"/>
      <c r="AB393" s="484"/>
      <c r="AC393" s="484"/>
      <c r="AD393" s="484"/>
      <c r="AE393" s="484"/>
      <c r="AF393" s="484"/>
      <c r="AG393" s="484"/>
      <c r="AH393" s="484"/>
      <c r="AI393" s="484"/>
      <c r="AJ393" s="484"/>
    </row>
    <row r="394" spans="2:36" x14ac:dyDescent="0.35">
      <c r="B394" s="30" t="str">
        <f t="shared" si="188"/>
        <v>Energex</v>
      </c>
      <c r="D394" s="30" t="str">
        <f t="shared" si="189"/>
        <v>controlled load</v>
      </c>
      <c r="E394" s="30" t="s">
        <v>15</v>
      </c>
      <c r="F394" s="258">
        <f t="shared" si="196"/>
        <v>1349</v>
      </c>
      <c r="G394" s="30" t="s">
        <v>302</v>
      </c>
      <c r="H394" s="482"/>
      <c r="I394" s="482"/>
      <c r="J394" s="482"/>
      <c r="K394" s="484"/>
      <c r="L394" s="484"/>
      <c r="M394" s="484"/>
      <c r="N394" s="563"/>
      <c r="O394" s="482"/>
      <c r="P394" s="482" cm="1">
        <f t="array" ref="P394">IFERROR(_xlfn.XLOOKUP(1,($B394=DistributionZone)*(E394=tariffType)*(P$5=Desc_FixedOrVar)*($G394=Description),valuesFY),0)</f>
        <v>0.98200000000000076</v>
      </c>
      <c r="Q394" s="482">
        <f t="shared" ref="Q394" si="197">IF(AND(O394="",P394=""),"",O394+P394*$F394/1000)</f>
        <v>1.324718000000001</v>
      </c>
      <c r="R394" s="484">
        <f>IFERROR(Q394/Q396,"")</f>
        <v>9.0704296243886758E-3</v>
      </c>
      <c r="S394" s="484"/>
      <c r="T394" s="607"/>
      <c r="U394" s="484"/>
      <c r="V394" s="484"/>
      <c r="W394" s="484"/>
      <c r="X394" s="484"/>
      <c r="Y394" s="484"/>
      <c r="Z394" s="484"/>
      <c r="AA394" s="484"/>
      <c r="AB394" s="484"/>
      <c r="AC394" s="484"/>
      <c r="AD394" s="484"/>
      <c r="AE394" s="484"/>
      <c r="AF394" s="484"/>
      <c r="AG394" s="484"/>
      <c r="AH394" s="484"/>
      <c r="AI394" s="484"/>
      <c r="AJ394" s="484"/>
    </row>
    <row r="395" spans="2:36" x14ac:dyDescent="0.35">
      <c r="B395" s="30" t="str">
        <f>B393</f>
        <v>Energex</v>
      </c>
      <c r="D395" s="30" t="str">
        <f>D393</f>
        <v>controlled load</v>
      </c>
      <c r="E395" s="30" t="s">
        <v>15</v>
      </c>
      <c r="F395" s="258">
        <f>F393</f>
        <v>1349</v>
      </c>
      <c r="G395" s="30" t="s">
        <v>72</v>
      </c>
      <c r="H395" s="482"/>
      <c r="I395" s="482" cm="1">
        <f t="array" ref="I395">IFERROR(_xlfn.XLOOKUP(1,($B395=DistributionZone)*($C395=CustomerType)*($E395=tariffType)*($G395=Description),valuesPY),0)*SUM(I388:I393)</f>
        <v>6.6926884554652313</v>
      </c>
      <c r="J395" s="482">
        <f t="shared" si="195"/>
        <v>9.028436726422596</v>
      </c>
      <c r="K395" s="484">
        <f>IFERROR(J395/J396,"")</f>
        <v>5.5796540007277982E-2</v>
      </c>
      <c r="L395" s="484"/>
      <c r="M395" s="484">
        <f t="shared" si="191"/>
        <v>-0.10854030165240036</v>
      </c>
      <c r="N395" s="563"/>
      <c r="O395" s="482"/>
      <c r="P395" s="482" cm="1">
        <f t="array" ref="P395">IFERROR(_xlfn.XLOOKUP(1,($B395=DistributionZone)*($C395=CustomerType)*($E395=tariffType)*($G395=Description),valuesFY),0)*SUM(P388:P394)</f>
        <v>5.9662620316434971</v>
      </c>
      <c r="Q395" s="482">
        <f t="shared" si="192"/>
        <v>8.0484874806870774</v>
      </c>
      <c r="R395" s="484">
        <f>IFERROR(Q395/Q396,"")</f>
        <v>5.5108513114750006E-2</v>
      </c>
      <c r="S395" s="484"/>
      <c r="T395" s="607"/>
      <c r="U395" s="484"/>
      <c r="V395" s="484"/>
      <c r="W395" s="484"/>
      <c r="X395" s="484"/>
      <c r="Y395" s="484"/>
      <c r="Z395" s="484"/>
      <c r="AA395" s="484"/>
      <c r="AB395" s="484"/>
      <c r="AC395" s="484"/>
      <c r="AD395" s="484"/>
      <c r="AE395" s="484"/>
      <c r="AF395" s="484"/>
      <c r="AG395" s="484"/>
      <c r="AH395" s="484"/>
      <c r="AI395" s="484"/>
      <c r="AJ395" s="484"/>
    </row>
    <row r="396" spans="2:36" x14ac:dyDescent="0.35">
      <c r="B396" s="30" t="str">
        <f t="shared" si="188"/>
        <v>Energex</v>
      </c>
      <c r="D396" s="30" t="str">
        <f t="shared" si="189"/>
        <v>controlled load</v>
      </c>
      <c r="E396" s="30" t="s">
        <v>15</v>
      </c>
      <c r="F396" s="258">
        <f t="shared" si="196"/>
        <v>1349</v>
      </c>
      <c r="G396" s="64" t="s">
        <v>55</v>
      </c>
      <c r="H396" s="487"/>
      <c r="I396" s="487">
        <f>SUM(I388:I395)</f>
        <v>119.94809094958666</v>
      </c>
      <c r="J396" s="487">
        <f>IF(AND(H396="",I396=""),"",H396+I396*+Usage!I$40/1000)</f>
        <v>161.80997469099242</v>
      </c>
      <c r="K396" s="564"/>
      <c r="L396" s="565"/>
      <c r="M396" s="564">
        <f t="shared" si="191"/>
        <v>-9.7410474128459157E-2</v>
      </c>
      <c r="N396" s="566"/>
      <c r="O396" s="487"/>
      <c r="P396" s="487">
        <f>SUM(P388:P395)</f>
        <v>108.26389053938391</v>
      </c>
      <c r="Q396" s="487">
        <f t="shared" si="192"/>
        <v>146.04798833762888</v>
      </c>
      <c r="R396" s="564"/>
      <c r="S396" s="564"/>
      <c r="T396" s="611"/>
      <c r="U396" s="564"/>
      <c r="V396" s="564"/>
      <c r="W396" s="564"/>
      <c r="X396" s="564"/>
      <c r="Y396" s="564"/>
      <c r="Z396" s="564"/>
      <c r="AA396" s="564"/>
      <c r="AB396" s="564"/>
      <c r="AC396" s="564"/>
      <c r="AD396" s="564"/>
      <c r="AE396" s="564"/>
      <c r="AF396" s="564"/>
      <c r="AG396" s="564"/>
      <c r="AH396" s="564"/>
      <c r="AI396" s="564"/>
      <c r="AJ396" s="564"/>
    </row>
    <row r="397" spans="2:36" x14ac:dyDescent="0.35">
      <c r="B397" s="30" t="str">
        <f t="shared" si="188"/>
        <v>Energex</v>
      </c>
      <c r="D397" s="30" t="str">
        <f t="shared" si="189"/>
        <v>controlled load</v>
      </c>
      <c r="E397" s="30" t="s">
        <v>55</v>
      </c>
      <c r="F397" s="258">
        <f>SUM(F378,F379,F388)</f>
        <v>1900</v>
      </c>
      <c r="G397" s="64" t="s">
        <v>55</v>
      </c>
      <c r="H397" s="487"/>
      <c r="I397" s="487"/>
      <c r="J397" s="487">
        <f>J378+J387+J396</f>
        <v>224.13011199986698</v>
      </c>
      <c r="K397" s="564"/>
      <c r="L397" s="565"/>
      <c r="M397" s="564">
        <f t="shared" si="191"/>
        <v>-8.8795390705233568E-2</v>
      </c>
      <c r="N397" s="566"/>
      <c r="O397" s="487"/>
      <c r="P397" s="487"/>
      <c r="Q397" s="487">
        <f>Q378+Q387+Q396</f>
        <v>204.22839113603104</v>
      </c>
      <c r="R397" s="564"/>
      <c r="S397" s="564"/>
      <c r="T397" s="611"/>
      <c r="U397" s="564"/>
      <c r="V397" s="564"/>
      <c r="W397" s="564"/>
      <c r="X397" s="564"/>
      <c r="Y397" s="564"/>
      <c r="Z397" s="564"/>
      <c r="AA397" s="564"/>
      <c r="AB397" s="564"/>
      <c r="AC397" s="564"/>
      <c r="AD397" s="564"/>
      <c r="AE397" s="564"/>
      <c r="AF397" s="564"/>
      <c r="AG397" s="564"/>
      <c r="AH397" s="564"/>
      <c r="AI397" s="564"/>
      <c r="AJ397" s="564"/>
    </row>
    <row r="398" spans="2:36" x14ac:dyDescent="0.35">
      <c r="B398" s="30" t="str">
        <f t="shared" si="188"/>
        <v>Energex</v>
      </c>
      <c r="D398" s="30" t="str">
        <f t="shared" si="189"/>
        <v>controlled load</v>
      </c>
      <c r="F398" s="258"/>
      <c r="G398" s="30" t="s">
        <v>38</v>
      </c>
      <c r="H398" s="482"/>
      <c r="I398" s="482"/>
      <c r="J398" s="482">
        <f>J397*GST</f>
        <v>22.413011199986698</v>
      </c>
      <c r="K398" s="484"/>
      <c r="L398" s="567"/>
      <c r="M398" s="484"/>
      <c r="N398" s="568"/>
      <c r="O398" s="482"/>
      <c r="P398" s="482"/>
      <c r="Q398" s="482">
        <f>Q397*GST</f>
        <v>20.422839113603104</v>
      </c>
      <c r="R398" s="564"/>
      <c r="S398" s="564"/>
      <c r="T398" s="611"/>
      <c r="U398" s="564"/>
      <c r="V398" s="564"/>
      <c r="W398" s="564"/>
      <c r="X398" s="564"/>
      <c r="Y398" s="564"/>
      <c r="Z398" s="564"/>
      <c r="AA398" s="564"/>
      <c r="AB398" s="564"/>
      <c r="AC398" s="564"/>
      <c r="AD398" s="564"/>
      <c r="AE398" s="564"/>
      <c r="AF398" s="564"/>
      <c r="AG398" s="564"/>
      <c r="AH398" s="564"/>
      <c r="AI398" s="564"/>
      <c r="AJ398" s="564"/>
    </row>
    <row r="399" spans="2:36" x14ac:dyDescent="0.35">
      <c r="B399" s="30" t="str">
        <f t="shared" si="188"/>
        <v>Energex</v>
      </c>
      <c r="D399" s="30" t="str">
        <f t="shared" si="189"/>
        <v>controlled load</v>
      </c>
      <c r="F399" s="258"/>
      <c r="G399" s="64" t="s">
        <v>79</v>
      </c>
      <c r="H399" s="487"/>
      <c r="I399" s="487"/>
      <c r="J399" s="487">
        <f>SUM(J397:J398)</f>
        <v>246.54312319985368</v>
      </c>
      <c r="K399" s="564"/>
      <c r="L399" s="565"/>
      <c r="M399" s="564">
        <f>IF(OR(J399=0,Q399=""),"",Q399/J399-1)</f>
        <v>-8.8795390705233679E-2</v>
      </c>
      <c r="N399" s="566"/>
      <c r="O399" s="487"/>
      <c r="P399" s="487"/>
      <c r="Q399" s="487">
        <f>SUM(Q397:Q398)</f>
        <v>224.65123024963412</v>
      </c>
      <c r="R399" s="564"/>
      <c r="S399" s="564"/>
      <c r="T399" s="611"/>
      <c r="U399" s="564"/>
      <c r="V399" s="564"/>
      <c r="W399" s="564"/>
      <c r="X399" s="564"/>
      <c r="Y399" s="564"/>
      <c r="Z399" s="564"/>
      <c r="AA399" s="564"/>
      <c r="AB399" s="564"/>
      <c r="AC399" s="564"/>
      <c r="AD399" s="564"/>
      <c r="AE399" s="564"/>
      <c r="AF399" s="564"/>
      <c r="AG399" s="564"/>
      <c r="AH399" s="564"/>
      <c r="AI399" s="564"/>
      <c r="AJ399" s="564"/>
    </row>
    <row r="400" spans="2:36" x14ac:dyDescent="0.35">
      <c r="F400" s="258"/>
      <c r="H400" s="482"/>
      <c r="I400" s="482"/>
      <c r="J400" s="482"/>
      <c r="K400" s="484"/>
      <c r="L400" s="567"/>
      <c r="M400" s="484"/>
      <c r="N400" s="568"/>
      <c r="O400" s="482"/>
      <c r="P400" s="482"/>
      <c r="Q400" s="482"/>
      <c r="R400" s="484"/>
      <c r="S400" s="484"/>
      <c r="T400" s="607"/>
      <c r="U400" s="484"/>
      <c r="V400" s="484"/>
      <c r="W400" s="484"/>
      <c r="X400" s="484"/>
      <c r="Y400" s="484"/>
      <c r="Z400" s="484"/>
      <c r="AA400" s="484"/>
      <c r="AB400" s="484"/>
      <c r="AC400" s="484"/>
      <c r="AD400" s="484"/>
      <c r="AE400" s="484"/>
      <c r="AF400" s="484"/>
      <c r="AG400" s="484"/>
      <c r="AH400" s="484"/>
      <c r="AI400" s="484"/>
      <c r="AJ400" s="484"/>
    </row>
    <row r="401" spans="2:36" x14ac:dyDescent="0.35">
      <c r="B401" s="64" t="s">
        <v>0</v>
      </c>
      <c r="C401" s="64" t="s">
        <v>13</v>
      </c>
      <c r="D401" s="64" t="s">
        <v>276</v>
      </c>
      <c r="F401" s="258"/>
      <c r="H401" s="482"/>
      <c r="I401" s="482"/>
      <c r="J401" s="482"/>
      <c r="K401" s="484"/>
      <c r="L401" s="567"/>
      <c r="M401" s="484"/>
      <c r="N401" s="568"/>
      <c r="O401" s="482"/>
      <c r="P401" s="482"/>
      <c r="Q401" s="482"/>
      <c r="R401" s="484"/>
      <c r="S401" s="484"/>
      <c r="T401" s="607"/>
      <c r="U401" s="484"/>
      <c r="V401" s="484"/>
      <c r="W401" s="484"/>
      <c r="X401" s="484"/>
      <c r="Y401" s="484"/>
      <c r="Z401" s="484"/>
      <c r="AA401" s="484"/>
      <c r="AB401" s="484"/>
      <c r="AC401" s="484"/>
      <c r="AD401" s="484"/>
      <c r="AE401" s="484"/>
      <c r="AF401" s="484"/>
      <c r="AG401" s="484"/>
      <c r="AH401" s="484"/>
      <c r="AI401" s="484"/>
      <c r="AJ401" s="484"/>
    </row>
    <row r="402" spans="2:36" x14ac:dyDescent="0.35">
      <c r="B402" s="30" t="str">
        <f t="shared" ref="B402:B412" si="198">B401</f>
        <v>Energex</v>
      </c>
      <c r="C402" s="30" t="str">
        <f t="shared" ref="C402:C412" si="199">C401</f>
        <v>Small business</v>
      </c>
      <c r="D402" s="30" t="str">
        <f t="shared" ref="D402:D412" si="200">D401</f>
        <v>flat rate</v>
      </c>
      <c r="E402" s="30" t="s">
        <v>19</v>
      </c>
      <c r="F402" s="258" cm="1">
        <f t="array" ref="F402">_xlfn.XLOOKUP(1,($B402=DistributionZone)*($C402=CustomerType)*($D402=tariffL2)*($F$5=Description)*(E402=tariffType),valuesFY)</f>
        <v>10000</v>
      </c>
      <c r="G402" s="30" t="s">
        <v>69</v>
      </c>
      <c r="H402" s="482"/>
      <c r="I402" s="482" cm="1">
        <f t="array" ref="I402">IFERROR(_xlfn.XLOOKUP(1,($B402=DistributionZone)*($C402=CustomerType)*($E402=tariffType)*($G402=Description),valuesPY),0)</f>
        <v>150.63</v>
      </c>
      <c r="J402" s="482">
        <f t="shared" ref="J402:J409" si="201">H402+I402*F402/1000</f>
        <v>1506.3</v>
      </c>
      <c r="K402" s="484">
        <f>IFERROR(J402/J410,"")</f>
        <v>0.90867662868447785</v>
      </c>
      <c r="L402" s="484"/>
      <c r="M402" s="484">
        <f t="shared" ref="M402:M410" si="202">IF(OR(J402=0,Q402=""),"",Q402/J402-1)</f>
        <v>-0.14970457412202065</v>
      </c>
      <c r="N402" s="563"/>
      <c r="O402" s="482"/>
      <c r="P402" s="482" cm="1">
        <f t="array" ref="P402">IFERROR(_xlfn.XLOOKUP(1,($B402=DistributionZone)*($C402=CustomerType)*($E402=tariffType)*($G402=Description),valuesFY),0)</f>
        <v>128.08000000000001</v>
      </c>
      <c r="Q402" s="482">
        <f t="shared" ref="Q402:Q409" si="203">O402+P402*$F402/1000</f>
        <v>1280.8000000000002</v>
      </c>
      <c r="R402" s="484">
        <f>IFERROR(Q402/Q410,"")</f>
        <v>0.903559452293339</v>
      </c>
      <c r="S402" s="484"/>
      <c r="T402" s="608"/>
      <c r="U402" s="484"/>
      <c r="V402" s="484"/>
      <c r="W402" s="484"/>
      <c r="X402" s="484"/>
      <c r="Y402" s="484"/>
      <c r="Z402" s="484"/>
      <c r="AA402" s="484"/>
      <c r="AB402" s="484"/>
      <c r="AC402" s="484"/>
      <c r="AD402" s="484"/>
      <c r="AE402" s="484"/>
      <c r="AF402" s="484"/>
      <c r="AG402" s="484"/>
      <c r="AH402" s="484"/>
      <c r="AI402" s="484"/>
      <c r="AJ402" s="484"/>
    </row>
    <row r="403" spans="2:36" x14ac:dyDescent="0.35">
      <c r="B403" s="30" t="str">
        <f t="shared" si="198"/>
        <v>Energex</v>
      </c>
      <c r="C403" s="30" t="str">
        <f t="shared" si="199"/>
        <v>Small business</v>
      </c>
      <c r="D403" s="30" t="str">
        <f t="shared" si="200"/>
        <v>flat rate</v>
      </c>
      <c r="E403" s="30" t="s">
        <v>19</v>
      </c>
      <c r="F403" s="258">
        <f>F402</f>
        <v>10000</v>
      </c>
      <c r="G403" s="30" t="s">
        <v>70</v>
      </c>
      <c r="H403" s="482"/>
      <c r="I403" s="482" cm="1">
        <f t="array" ref="I403">IFERROR(_xlfn.XLOOKUP(1,($B403=DistributionZone)*(I$5=Desc_FixedOrVar)*($G403=Description),valuesPY),0)</f>
        <v>0.73511316732430898</v>
      </c>
      <c r="J403" s="482">
        <f t="shared" si="201"/>
        <v>7.3511316732430894</v>
      </c>
      <c r="K403" s="484">
        <f>IFERROR(J403/J410,"")</f>
        <v>4.4345758121610672E-3</v>
      </c>
      <c r="L403" s="484"/>
      <c r="M403" s="484">
        <f t="shared" si="202"/>
        <v>-0.43323547155862818</v>
      </c>
      <c r="N403" s="563"/>
      <c r="O403" s="482"/>
      <c r="P403" s="482" cm="1">
        <f t="array" ref="P403">IFERROR(_xlfn.XLOOKUP(1,($B403=DistributionZone)*(P$5=Desc_FixedOrVar)*($G403=Description),valuesFY),0)</f>
        <v>0.4166360676296052</v>
      </c>
      <c r="Q403" s="482">
        <f t="shared" si="203"/>
        <v>4.1663606762960521</v>
      </c>
      <c r="R403" s="484">
        <f>IFERROR(Q403/Q410,"")</f>
        <v>2.9392212451050635E-3</v>
      </c>
      <c r="S403" s="484"/>
      <c r="T403" s="607"/>
      <c r="U403" s="484"/>
      <c r="V403" s="484"/>
      <c r="W403" s="484"/>
      <c r="X403" s="484"/>
      <c r="Y403" s="484"/>
      <c r="Z403" s="484"/>
      <c r="AA403" s="484"/>
      <c r="AB403" s="484"/>
      <c r="AC403" s="484"/>
      <c r="AD403" s="484"/>
      <c r="AE403" s="484"/>
      <c r="AF403" s="484"/>
      <c r="AG403" s="484"/>
      <c r="AH403" s="484"/>
      <c r="AI403" s="484"/>
      <c r="AJ403" s="484"/>
    </row>
    <row r="404" spans="2:36" x14ac:dyDescent="0.35">
      <c r="B404" s="30" t="str">
        <f t="shared" si="198"/>
        <v>Energex</v>
      </c>
      <c r="C404" s="30" t="str">
        <f t="shared" si="199"/>
        <v>Small business</v>
      </c>
      <c r="D404" s="30" t="str">
        <f t="shared" si="200"/>
        <v>flat rate</v>
      </c>
      <c r="E404" s="30" t="s">
        <v>19</v>
      </c>
      <c r="F404" s="258">
        <f t="shared" ref="F404:F410" si="204">F403</f>
        <v>10000</v>
      </c>
      <c r="G404" s="30" t="s">
        <v>77</v>
      </c>
      <c r="H404" s="482" cm="1">
        <f t="array" ref="H404">IFERROR(_xlfn.XLOOKUP(1,($B404=DistributionZone)*(H$5=Desc_FixedOrVar)*($G404=Description),valuesPY),0)*Days/7</f>
        <v>13.835244134497829</v>
      </c>
      <c r="I404" s="482" cm="1">
        <f t="array" ref="I404">IFERROR(_xlfn.XLOOKUP(1,($B404=DistributionZone)*(I$5=Desc_FixedOrVar)*($G404=Description),valuesPY),0)</f>
        <v>0.57443</v>
      </c>
      <c r="J404" s="482">
        <f t="shared" si="201"/>
        <v>19.57954413449783</v>
      </c>
      <c r="K404" s="484">
        <f>IFERROR(J404/J410,"")</f>
        <v>1.1811374995229655E-2</v>
      </c>
      <c r="L404" s="484"/>
      <c r="M404" s="484">
        <f t="shared" si="202"/>
        <v>-6.4360238718609519E-2</v>
      </c>
      <c r="N404" s="563"/>
      <c r="O404" s="482" cm="1">
        <f t="array" ref="O404">IFERROR(_xlfn.XLOOKUP(1,($B404=DistributionZone)*(O$5=Desc_FixedOrVar)*($G404=Description),valuesFY),0)*Days/7</f>
        <v>13.125399999999999</v>
      </c>
      <c r="P404" s="482" cm="1">
        <f t="array" ref="P404">IFERROR(_xlfn.XLOOKUP(1,($B404=DistributionZone)*(P$5=Desc_FixedOrVar)*($G404=Description),valuesFY),0)</f>
        <v>0.51939999999999997</v>
      </c>
      <c r="Q404" s="482">
        <f t="shared" si="203"/>
        <v>18.319399999999998</v>
      </c>
      <c r="R404" s="484">
        <f>IFERROR(Q404/Q410,"")</f>
        <v>1.2923693808824632E-2</v>
      </c>
      <c r="S404" s="484"/>
      <c r="T404" s="607"/>
      <c r="U404" s="484"/>
      <c r="V404" s="484"/>
      <c r="W404" s="484"/>
      <c r="X404" s="484"/>
      <c r="Y404" s="484"/>
      <c r="Z404" s="484"/>
      <c r="AA404" s="484"/>
      <c r="AB404" s="484"/>
      <c r="AC404" s="484"/>
      <c r="AD404" s="484"/>
      <c r="AE404" s="484"/>
      <c r="AF404" s="484"/>
      <c r="AG404" s="484"/>
      <c r="AH404" s="484"/>
      <c r="AI404" s="484"/>
      <c r="AJ404" s="484"/>
    </row>
    <row r="405" spans="2:36" x14ac:dyDescent="0.35">
      <c r="B405" s="30" t="str">
        <f t="shared" si="198"/>
        <v>Energex</v>
      </c>
      <c r="C405" s="30" t="str">
        <f t="shared" si="199"/>
        <v>Small business</v>
      </c>
      <c r="D405" s="30" t="str">
        <f t="shared" si="200"/>
        <v>flat rate</v>
      </c>
      <c r="E405" s="30" t="s">
        <v>19</v>
      </c>
      <c r="F405" s="258">
        <f t="shared" si="204"/>
        <v>10000</v>
      </c>
      <c r="G405" s="30" t="s">
        <v>71</v>
      </c>
      <c r="H405" s="482"/>
      <c r="I405" s="482" cm="1">
        <f t="array" ref="I405">IFERROR(_xlfn.XLOOKUP(1,($B405=DistributionZone)*(I$5=Desc_FixedOrVar)*($G405=Description),valuesPY),0)</f>
        <v>0</v>
      </c>
      <c r="J405" s="482">
        <f t="shared" si="201"/>
        <v>0</v>
      </c>
      <c r="K405" s="484">
        <f>IFERROR(J405/J410,"")</f>
        <v>0</v>
      </c>
      <c r="L405" s="484"/>
      <c r="M405" s="484" t="str">
        <f t="shared" si="202"/>
        <v/>
      </c>
      <c r="N405" s="563"/>
      <c r="O405" s="482"/>
      <c r="P405" s="482" cm="1">
        <f t="array" ref="P405">IFERROR(_xlfn.XLOOKUP(1,($B405=DistributionZone)*(P$5=Desc_FixedOrVar)*($G405=Description),valuesFY),0)</f>
        <v>0</v>
      </c>
      <c r="Q405" s="482">
        <f t="shared" si="203"/>
        <v>0</v>
      </c>
      <c r="R405" s="484">
        <f>IFERROR(Q405/Q410,"")</f>
        <v>0</v>
      </c>
      <c r="S405" s="484"/>
      <c r="T405" s="607"/>
      <c r="U405" s="484"/>
      <c r="V405" s="484"/>
      <c r="W405" s="484"/>
      <c r="X405" s="484"/>
      <c r="Y405" s="484"/>
      <c r="Z405" s="484"/>
      <c r="AA405" s="484"/>
      <c r="AB405" s="484"/>
      <c r="AC405" s="484"/>
      <c r="AD405" s="484"/>
      <c r="AE405" s="484"/>
      <c r="AF405" s="484"/>
      <c r="AG405" s="484"/>
      <c r="AH405" s="484"/>
      <c r="AI405" s="484"/>
      <c r="AJ405" s="484"/>
    </row>
    <row r="406" spans="2:36" x14ac:dyDescent="0.35">
      <c r="B406" s="30" t="str">
        <f t="shared" si="198"/>
        <v>Energex</v>
      </c>
      <c r="C406" s="30" t="str">
        <f t="shared" si="199"/>
        <v>Small business</v>
      </c>
      <c r="D406" s="30" t="str">
        <f t="shared" si="200"/>
        <v>flat rate</v>
      </c>
      <c r="E406" s="30" t="s">
        <v>19</v>
      </c>
      <c r="F406" s="258">
        <f t="shared" si="204"/>
        <v>10000</v>
      </c>
      <c r="G406" s="30" t="s">
        <v>173</v>
      </c>
      <c r="H406" s="482"/>
      <c r="I406" s="482" cm="1">
        <f t="array" ref="I406">IFERROR(_xlfn.XLOOKUP(1,($B406=DistributionZone)*(I$5=Desc_FixedOrVar)*($G406=Description),valuesPY),0)</f>
        <v>0</v>
      </c>
      <c r="J406" s="482">
        <f t="shared" si="201"/>
        <v>0</v>
      </c>
      <c r="K406" s="484">
        <f>IFERROR(J406/J411,"")</f>
        <v>0</v>
      </c>
      <c r="L406" s="484"/>
      <c r="M406" s="484" t="str">
        <f t="shared" si="202"/>
        <v/>
      </c>
      <c r="N406" s="563"/>
      <c r="O406" s="482"/>
      <c r="P406" s="482" cm="1">
        <f t="array" ref="P406">IFERROR(_xlfn.XLOOKUP(1,($B406=DistributionZone)*(P$5=Desc_FixedOrVar)*($G406=Description),valuesFY),0)</f>
        <v>0</v>
      </c>
      <c r="Q406" s="482">
        <f t="shared" si="203"/>
        <v>0</v>
      </c>
      <c r="R406" s="484">
        <f>IFERROR(Q406/Q410,"")</f>
        <v>0</v>
      </c>
      <c r="S406" s="484"/>
      <c r="T406" s="607"/>
      <c r="U406" s="484"/>
      <c r="V406" s="484"/>
      <c r="W406" s="484"/>
      <c r="X406" s="484"/>
      <c r="Y406" s="484"/>
      <c r="Z406" s="484"/>
      <c r="AA406" s="484"/>
      <c r="AB406" s="484"/>
      <c r="AC406" s="484"/>
      <c r="AD406" s="484"/>
      <c r="AE406" s="484"/>
      <c r="AF406" s="484"/>
      <c r="AG406" s="484"/>
      <c r="AH406" s="484"/>
      <c r="AI406" s="484"/>
      <c r="AJ406" s="484"/>
    </row>
    <row r="407" spans="2:36" x14ac:dyDescent="0.35">
      <c r="B407" s="30" t="str">
        <f t="shared" si="198"/>
        <v>Energex</v>
      </c>
      <c r="C407" s="30" t="str">
        <f t="shared" si="199"/>
        <v>Small business</v>
      </c>
      <c r="D407" s="30" t="str">
        <f t="shared" si="200"/>
        <v>flat rate</v>
      </c>
      <c r="E407" s="30" t="s">
        <v>19</v>
      </c>
      <c r="F407" s="258">
        <f t="shared" si="204"/>
        <v>10000</v>
      </c>
      <c r="G407" s="30" t="s">
        <v>130</v>
      </c>
      <c r="H407" s="482"/>
      <c r="I407" s="482" cm="1">
        <f t="array" ref="I407">IFERROR(_xlfn.XLOOKUP(1,($B407=DistributionZone)*(I$5=Desc_FixedOrVar)*($G407=Description),valuesPY),0)</f>
        <v>3.27335932679709</v>
      </c>
      <c r="J407" s="482">
        <f t="shared" si="201"/>
        <v>32.733593267970903</v>
      </c>
      <c r="K407" s="484">
        <f>IFERROR(J407/J410,"")</f>
        <v>1.97465652097648E-2</v>
      </c>
      <c r="L407" s="484"/>
      <c r="M407" s="484">
        <f t="shared" si="202"/>
        <v>-0.1783387732313173</v>
      </c>
      <c r="N407" s="563"/>
      <c r="O407" s="482"/>
      <c r="P407" s="482" cm="1">
        <f t="array" ref="P407">IFERROR(_xlfn.XLOOKUP(1,($B407=DistributionZone)*(P$5=Desc_FixedOrVar)*($G407=Description),valuesFY),0)</f>
        <v>2.6895924401108067</v>
      </c>
      <c r="Q407" s="482">
        <f t="shared" si="203"/>
        <v>26.895924401108065</v>
      </c>
      <c r="R407" s="484">
        <f>IFERROR(Q407/Q410,"")</f>
        <v>1.8974130793869653E-2</v>
      </c>
      <c r="S407" s="484"/>
      <c r="T407" s="607"/>
      <c r="U407" s="484"/>
      <c r="V407" s="484"/>
      <c r="W407" s="484"/>
      <c r="X407" s="484"/>
      <c r="Y407" s="484"/>
      <c r="Z407" s="484"/>
      <c r="AA407" s="484"/>
      <c r="AB407" s="484"/>
      <c r="AC407" s="484"/>
      <c r="AD407" s="484"/>
      <c r="AE407" s="484"/>
      <c r="AF407" s="484"/>
      <c r="AG407" s="484"/>
      <c r="AH407" s="484"/>
      <c r="AI407" s="484"/>
      <c r="AJ407" s="484"/>
    </row>
    <row r="408" spans="2:36" x14ac:dyDescent="0.35">
      <c r="B408" s="30" t="str">
        <f t="shared" si="198"/>
        <v>Energex</v>
      </c>
      <c r="C408" s="30" t="str">
        <f t="shared" si="199"/>
        <v>Small business</v>
      </c>
      <c r="D408" s="30" t="str">
        <f t="shared" si="200"/>
        <v>flat rate</v>
      </c>
      <c r="E408" s="30" t="s">
        <v>19</v>
      </c>
      <c r="F408" s="258">
        <f t="shared" si="204"/>
        <v>10000</v>
      </c>
      <c r="G408" s="30" t="s">
        <v>302</v>
      </c>
      <c r="H408" s="482"/>
      <c r="I408" s="482"/>
      <c r="J408" s="482"/>
      <c r="K408" s="484"/>
      <c r="L408" s="484"/>
      <c r="M408" s="484"/>
      <c r="N408" s="563"/>
      <c r="O408" s="482"/>
      <c r="P408" s="482" cm="1">
        <f t="array" ref="P408">IFERROR(_xlfn.XLOOKUP(1,($B408=DistributionZone)*(P$5=Desc_FixedOrVar)*($G408=Description)*($E408=tariffType),valuesFY),0)</f>
        <v>0.99299999999999788</v>
      </c>
      <c r="Q408" s="482">
        <f t="shared" ref="Q408" si="205">O408+P408*$F408/1000</f>
        <v>9.9299999999999784</v>
      </c>
      <c r="R408" s="484">
        <f>IFERROR(Q408/Q410,"")</f>
        <v>7.0052665219182035E-3</v>
      </c>
      <c r="S408" s="484"/>
      <c r="T408" s="607"/>
      <c r="U408" s="484"/>
      <c r="V408" s="484"/>
      <c r="W408" s="484"/>
      <c r="X408" s="484"/>
      <c r="Y408" s="484"/>
      <c r="Z408" s="484"/>
      <c r="AA408" s="484"/>
      <c r="AB408" s="484"/>
      <c r="AC408" s="484"/>
      <c r="AD408" s="484"/>
      <c r="AE408" s="484"/>
      <c r="AF408" s="484"/>
      <c r="AG408" s="484"/>
      <c r="AH408" s="484"/>
      <c r="AI408" s="484"/>
      <c r="AJ408" s="484"/>
    </row>
    <row r="409" spans="2:36" x14ac:dyDescent="0.35">
      <c r="B409" s="30" t="str">
        <f>B407</f>
        <v>Energex</v>
      </c>
      <c r="C409" s="30" t="str">
        <f>C407</f>
        <v>Small business</v>
      </c>
      <c r="D409" s="30" t="str">
        <f>D407</f>
        <v>flat rate</v>
      </c>
      <c r="E409" s="30" t="s">
        <v>19</v>
      </c>
      <c r="F409" s="258">
        <f>F407</f>
        <v>10000</v>
      </c>
      <c r="G409" s="30" t="s">
        <v>72</v>
      </c>
      <c r="H409" s="482"/>
      <c r="I409" s="482" cm="1">
        <f t="array" ref="I409">IFERROR(_xlfn.XLOOKUP(1,($B409=DistributionZone)*($C409=CustomerType)*($E409=tariffType)*($G409=Description),valuesPY),0)*SUM(I402:I407)</f>
        <v>9.1721152173343405</v>
      </c>
      <c r="J409" s="482">
        <f t="shared" si="201"/>
        <v>91.721152173343413</v>
      </c>
      <c r="K409" s="484">
        <f>IFERROR(J409/J410,"")</f>
        <v>5.5330855298366635E-2</v>
      </c>
      <c r="L409" s="484"/>
      <c r="M409" s="484">
        <f t="shared" si="202"/>
        <v>-0.15621132918162883</v>
      </c>
      <c r="N409" s="563"/>
      <c r="O409" s="482"/>
      <c r="P409" s="482" cm="1">
        <f t="array" ref="P409">IFERROR(_xlfn.XLOOKUP(1,($B409=DistributionZone)*($C409=CustomerType)*($E409=tariffType)*($G409=Description),valuesFY),0)*SUM(P402:P408)</f>
        <v>7.7393269078275004</v>
      </c>
      <c r="Q409" s="482">
        <f t="shared" si="203"/>
        <v>77.393269078274997</v>
      </c>
      <c r="R409" s="484">
        <f>IFERROR(Q409/Q410,"")</f>
        <v>5.4598235336943433E-2</v>
      </c>
      <c r="S409" s="484"/>
      <c r="T409" s="607"/>
      <c r="U409" s="484"/>
      <c r="V409" s="484"/>
      <c r="W409" s="484"/>
      <c r="X409" s="484"/>
      <c r="Y409" s="484"/>
      <c r="Z409" s="484"/>
      <c r="AA409" s="484"/>
      <c r="AB409" s="484"/>
      <c r="AC409" s="484"/>
      <c r="AD409" s="484"/>
      <c r="AE409" s="484"/>
      <c r="AF409" s="484"/>
      <c r="AG409" s="484"/>
      <c r="AH409" s="484"/>
      <c r="AI409" s="484"/>
      <c r="AJ409" s="484"/>
    </row>
    <row r="410" spans="2:36" x14ac:dyDescent="0.35">
      <c r="B410" s="30" t="str">
        <f t="shared" si="198"/>
        <v>Energex</v>
      </c>
      <c r="C410" s="30" t="str">
        <f t="shared" si="199"/>
        <v>Small business</v>
      </c>
      <c r="D410" s="30" t="str">
        <f t="shared" si="200"/>
        <v>flat rate</v>
      </c>
      <c r="E410" s="30" t="s">
        <v>19</v>
      </c>
      <c r="F410" s="258">
        <f t="shared" si="204"/>
        <v>10000</v>
      </c>
      <c r="G410" s="64" t="s">
        <v>55</v>
      </c>
      <c r="H410" s="487">
        <f>SUM(H402:H409)</f>
        <v>13.835244134497829</v>
      </c>
      <c r="I410" s="487">
        <f>SUM(I402:I409)</f>
        <v>164.38501771145573</v>
      </c>
      <c r="J410" s="487">
        <f>SUM(J402:J409)</f>
        <v>1657.6854212490553</v>
      </c>
      <c r="K410" s="564"/>
      <c r="L410" s="565"/>
      <c r="M410" s="564">
        <f t="shared" si="202"/>
        <v>-0.14488905072978286</v>
      </c>
      <c r="N410" s="566"/>
      <c r="O410" s="487">
        <f>SUM(O404:O409)</f>
        <v>13.125399999999999</v>
      </c>
      <c r="P410" s="487">
        <f>SUM(P402:P409)</f>
        <v>140.4379554155679</v>
      </c>
      <c r="Q410" s="487">
        <f>SUM(Q402:Q409)</f>
        <v>1417.5049541556793</v>
      </c>
      <c r="R410" s="564"/>
      <c r="S410" s="564"/>
      <c r="T410" s="611"/>
      <c r="U410" s="564"/>
      <c r="V410" s="564"/>
      <c r="W410" s="564"/>
      <c r="X410" s="564"/>
      <c r="Y410" s="564"/>
      <c r="Z410" s="564"/>
      <c r="AA410" s="564"/>
      <c r="AB410" s="564"/>
      <c r="AC410" s="564"/>
      <c r="AD410" s="564"/>
      <c r="AE410" s="564"/>
      <c r="AF410" s="564"/>
      <c r="AG410" s="564"/>
      <c r="AH410" s="564"/>
      <c r="AI410" s="564"/>
      <c r="AJ410" s="564"/>
    </row>
    <row r="411" spans="2:36" x14ac:dyDescent="0.35">
      <c r="B411" s="30" t="str">
        <f t="shared" si="198"/>
        <v>Energex</v>
      </c>
      <c r="C411" s="30" t="str">
        <f t="shared" si="199"/>
        <v>Small business</v>
      </c>
      <c r="D411" s="30" t="str">
        <f t="shared" si="200"/>
        <v>flat rate</v>
      </c>
      <c r="F411" s="258"/>
      <c r="G411" s="30" t="s">
        <v>38</v>
      </c>
      <c r="H411" s="482"/>
      <c r="I411" s="482"/>
      <c r="J411" s="482">
        <f>J410*GST</f>
        <v>165.76854212490554</v>
      </c>
      <c r="K411" s="484"/>
      <c r="L411" s="567"/>
      <c r="M411" s="484"/>
      <c r="N411" s="568"/>
      <c r="O411" s="482"/>
      <c r="P411" s="482"/>
      <c r="Q411" s="482">
        <f>Q410*GST</f>
        <v>141.75049541556794</v>
      </c>
      <c r="R411" s="564"/>
      <c r="S411" s="564"/>
      <c r="T411" s="611"/>
      <c r="U411" s="564"/>
      <c r="V411" s="564"/>
      <c r="W411" s="564"/>
      <c r="X411" s="564"/>
      <c r="Y411" s="564"/>
      <c r="Z411" s="564"/>
      <c r="AA411" s="564"/>
      <c r="AB411" s="564"/>
      <c r="AC411" s="564"/>
      <c r="AD411" s="564"/>
      <c r="AE411" s="564"/>
      <c r="AF411" s="564"/>
      <c r="AG411" s="564"/>
      <c r="AH411" s="564"/>
      <c r="AI411" s="564"/>
      <c r="AJ411" s="564"/>
    </row>
    <row r="412" spans="2:36" x14ac:dyDescent="0.35">
      <c r="B412" s="30" t="str">
        <f t="shared" si="198"/>
        <v>Energex</v>
      </c>
      <c r="C412" s="30" t="str">
        <f t="shared" si="199"/>
        <v>Small business</v>
      </c>
      <c r="D412" s="30" t="str">
        <f t="shared" si="200"/>
        <v>flat rate</v>
      </c>
      <c r="E412" s="30" t="s">
        <v>19</v>
      </c>
      <c r="F412" s="258"/>
      <c r="G412" s="64" t="s">
        <v>79</v>
      </c>
      <c r="H412" s="487"/>
      <c r="I412" s="487"/>
      <c r="J412" s="487">
        <f>SUM(J410:J411)</f>
        <v>1823.4539633739607</v>
      </c>
      <c r="K412" s="564"/>
      <c r="L412" s="565"/>
      <c r="M412" s="564">
        <f>IF(OR(J412=0,Q412=""),"",Q412/J412-1)</f>
        <v>-0.14488905072978286</v>
      </c>
      <c r="N412" s="566"/>
      <c r="O412" s="487"/>
      <c r="P412" s="487"/>
      <c r="Q412" s="487">
        <f>SUM(Q410:Q411)</f>
        <v>1559.2554495712473</v>
      </c>
      <c r="R412" s="564"/>
      <c r="S412" s="564"/>
      <c r="T412" s="611"/>
      <c r="U412" s="596"/>
      <c r="V412" s="564"/>
      <c r="W412" s="564"/>
      <c r="X412" s="564"/>
      <c r="Y412" s="564"/>
      <c r="Z412" s="564"/>
      <c r="AA412" s="564"/>
      <c r="AB412" s="564"/>
      <c r="AC412" s="564"/>
      <c r="AD412" s="564"/>
      <c r="AE412" s="564"/>
      <c r="AF412" s="564"/>
      <c r="AG412" s="564"/>
      <c r="AH412" s="564"/>
      <c r="AI412" s="564"/>
      <c r="AJ412" s="564"/>
    </row>
    <row r="413" spans="2:36" s="597" customFormat="1" x14ac:dyDescent="0.35">
      <c r="F413" s="598"/>
      <c r="H413" s="599"/>
      <c r="I413" s="599"/>
      <c r="J413" s="599"/>
      <c r="K413" s="600"/>
      <c r="L413" s="601"/>
      <c r="M413" s="600"/>
      <c r="N413" s="602"/>
      <c r="O413" s="599"/>
      <c r="P413" s="599"/>
      <c r="Q413" s="599"/>
      <c r="R413" s="600"/>
      <c r="S413" s="600"/>
      <c r="T413" s="623"/>
      <c r="U413" s="600"/>
      <c r="V413" s="600"/>
      <c r="W413" s="600"/>
      <c r="X413" s="600"/>
      <c r="Y413" s="600"/>
      <c r="Z413" s="600"/>
      <c r="AA413" s="600"/>
      <c r="AB413" s="600"/>
      <c r="AC413" s="600"/>
      <c r="AD413" s="600"/>
      <c r="AE413" s="600"/>
      <c r="AF413" s="600"/>
      <c r="AG413" s="600"/>
      <c r="AH413" s="600"/>
      <c r="AI413" s="600"/>
      <c r="AJ413" s="600"/>
    </row>
    <row r="414" spans="2:36" s="570" customFormat="1" x14ac:dyDescent="0.35">
      <c r="B414" s="571" t="s">
        <v>0</v>
      </c>
      <c r="C414" s="571" t="s">
        <v>13</v>
      </c>
      <c r="D414" s="571" t="s">
        <v>272</v>
      </c>
      <c r="F414" s="485"/>
      <c r="H414" s="574"/>
      <c r="I414" s="574"/>
      <c r="J414" s="574"/>
      <c r="K414" s="575"/>
      <c r="L414" s="581"/>
      <c r="M414" s="575"/>
      <c r="N414" s="582"/>
      <c r="O414" s="574"/>
      <c r="P414" s="574"/>
      <c r="Q414" s="574"/>
      <c r="R414" s="575"/>
      <c r="S414" s="575"/>
      <c r="T414" s="612"/>
      <c r="U414" s="575"/>
      <c r="V414" s="575"/>
      <c r="W414" s="575"/>
      <c r="X414" s="575"/>
      <c r="Y414" s="575"/>
      <c r="Z414" s="575"/>
      <c r="AA414" s="575"/>
      <c r="AB414" s="575"/>
      <c r="AC414" s="575"/>
      <c r="AD414" s="575"/>
      <c r="AE414" s="575"/>
      <c r="AF414" s="575"/>
      <c r="AG414" s="575"/>
      <c r="AH414" s="575"/>
      <c r="AI414" s="575"/>
      <c r="AJ414" s="575"/>
    </row>
    <row r="415" spans="2:36" s="570" customFormat="1" x14ac:dyDescent="0.35">
      <c r="B415" s="570" t="str">
        <f t="shared" ref="B415:B444" si="206">B414</f>
        <v>Energex</v>
      </c>
      <c r="C415" s="570" t="str">
        <f t="shared" ref="C415:C444" si="207">C414</f>
        <v>Small business</v>
      </c>
      <c r="D415" s="570" t="str">
        <f t="shared" ref="D415:D444" si="208">D414</f>
        <v>time of use</v>
      </c>
      <c r="E415" s="570" t="s">
        <v>279</v>
      </c>
      <c r="F415" s="485" cm="1">
        <f t="array" ref="F415">_xlfn.XLOOKUP(1,($B415=DistributionZone)*($C415=CustomerType)*($D415=tariffL2)*($F$5=Description),valuesPY)*_xlfn.XLOOKUP(1,($B415=DistributionZone)*($C415=CustomerType)*($D415=tariffL2)*($E415=tariffType)*("Usage proportion"=Description),valuesFY)</f>
        <v>1251.8730860537928</v>
      </c>
      <c r="G415" s="570" t="s">
        <v>69</v>
      </c>
      <c r="H415" s="574"/>
      <c r="I415" s="574" cm="1">
        <f t="array" ref="I415">IFERROR(_xlfn.XLOOKUP(1,($B415=DistributionZone)*($E415=tariffType)*("WEC scale"=Description),valuesPY),0)*$I402</f>
        <v>0</v>
      </c>
      <c r="J415" s="574">
        <f t="shared" ref="J415:J419" si="209">IF(AND(H415="",I415=""),"",H415+I415*F415/1000)</f>
        <v>0</v>
      </c>
      <c r="K415" s="575" t="str">
        <f>IFERROR(J415/J423,"")</f>
        <v/>
      </c>
      <c r="L415" s="575"/>
      <c r="M415" s="575" t="str">
        <f t="shared" ref="M415:M422" si="210">IF(OR(J415=0,Q415=""),"",Q415/J415-1)</f>
        <v/>
      </c>
      <c r="N415" s="576"/>
      <c r="O415" s="574"/>
      <c r="P415" s="574" cm="1">
        <f t="array" ref="P415">IFERROR(_xlfn.XLOOKUP(1,($B415=DistributionZone)*(C415=CustomerType)*($E415=tariffType)*("WEC"=Description),valuesFY),0)</f>
        <v>42.906265494968743</v>
      </c>
      <c r="Q415" s="574">
        <f t="shared" ref="Q415:Q422" si="211">IF(AND(O415="",P415=""),"",O415+P415*$F415/1000)</f>
        <v>53.713198996229885</v>
      </c>
      <c r="R415" s="575">
        <f>IFERROR(Q415/Q423,"")</f>
        <v>0.70591252886711742</v>
      </c>
      <c r="S415" s="575"/>
      <c r="T415" s="613"/>
      <c r="U415" s="575"/>
      <c r="V415" s="575"/>
      <c r="W415" s="575"/>
      <c r="X415" s="575"/>
      <c r="Y415" s="575"/>
      <c r="Z415" s="575"/>
      <c r="AA415" s="575"/>
      <c r="AB415" s="575"/>
      <c r="AC415" s="575"/>
      <c r="AD415" s="575"/>
      <c r="AE415" s="575"/>
      <c r="AF415" s="575"/>
      <c r="AG415" s="575"/>
      <c r="AH415" s="575"/>
      <c r="AI415" s="575"/>
      <c r="AJ415" s="575"/>
    </row>
    <row r="416" spans="2:36" s="570" customFormat="1" x14ac:dyDescent="0.35">
      <c r="B416" s="570" t="str">
        <f t="shared" si="206"/>
        <v>Energex</v>
      </c>
      <c r="C416" s="570" t="str">
        <f t="shared" si="207"/>
        <v>Small business</v>
      </c>
      <c r="D416" s="570" t="str">
        <f t="shared" si="208"/>
        <v>time of use</v>
      </c>
      <c r="E416" s="570" t="s">
        <v>279</v>
      </c>
      <c r="F416" s="485" cm="1">
        <f t="array" ref="F416">_xlfn.XLOOKUP(1,($B416=DistributionZone)*($C416=CustomerType)*($D416=tariffL2)*($F$5=Description),valuesPY)*_xlfn.XLOOKUP(1,($B416=DistributionZone)*($C416=CustomerType)*($D416=tariffL2)*($E416=tariffType)*("Usage proportion"=Description),valuesFY)</f>
        <v>1251.8730860537928</v>
      </c>
      <c r="G416" s="570" t="s">
        <v>70</v>
      </c>
      <c r="H416" s="574"/>
      <c r="I416" s="574" cm="1">
        <f t="array" ref="I416">IFERROR(_xlfn.XLOOKUP(1,($B416=DistributionZone)*($I$5=Desc_FixedOrVar)*($G416=Description),valuesPY),0)</f>
        <v>0.73511316732430898</v>
      </c>
      <c r="J416" s="574">
        <f t="shared" si="209"/>
        <v>0.9202683893770609</v>
      </c>
      <c r="K416" s="575" t="str">
        <f>IFERROR(J416/J423,"")</f>
        <v/>
      </c>
      <c r="L416" s="575"/>
      <c r="M416" s="575">
        <f t="shared" si="210"/>
        <v>-0.43323547155862818</v>
      </c>
      <c r="N416" s="576"/>
      <c r="O416" s="574"/>
      <c r="P416" s="574" cm="1">
        <f t="array" ref="P416">IFERROR(_xlfn.XLOOKUP(1,($B416=DistributionZone)*($I$5=Desc_FixedOrVar)*($G416=Description),valuesFY),0)</f>
        <v>0.4166360676296052</v>
      </c>
      <c r="Q416" s="574">
        <f t="shared" si="211"/>
        <v>0.52157547974479068</v>
      </c>
      <c r="R416" s="575">
        <f>IFERROR(Q416/Q423,"")</f>
        <v>6.8546776729415818E-3</v>
      </c>
      <c r="S416" s="575"/>
      <c r="T416" s="612"/>
      <c r="U416" s="575"/>
      <c r="V416" s="575"/>
      <c r="W416" s="575"/>
      <c r="X416" s="575"/>
      <c r="Y416" s="575"/>
      <c r="Z416" s="575"/>
      <c r="AA416" s="575"/>
      <c r="AB416" s="575"/>
      <c r="AC416" s="575"/>
      <c r="AD416" s="575"/>
      <c r="AE416" s="575"/>
      <c r="AF416" s="575"/>
      <c r="AG416" s="575"/>
      <c r="AH416" s="575"/>
      <c r="AI416" s="575"/>
      <c r="AJ416" s="575"/>
    </row>
    <row r="417" spans="2:36" s="570" customFormat="1" x14ac:dyDescent="0.35">
      <c r="B417" s="570" t="str">
        <f t="shared" si="206"/>
        <v>Energex</v>
      </c>
      <c r="C417" s="570" t="str">
        <f t="shared" si="207"/>
        <v>Small business</v>
      </c>
      <c r="D417" s="570" t="str">
        <f t="shared" si="208"/>
        <v>time of use</v>
      </c>
      <c r="E417" s="570" t="s">
        <v>279</v>
      </c>
      <c r="F417" s="485" cm="1">
        <f t="array" ref="F417">_xlfn.XLOOKUP(1,($B417=DistributionZone)*($C417=CustomerType)*($D417=tariffL2)*($F$5=Description),valuesPY)*_xlfn.XLOOKUP(1,($B417=DistributionZone)*($C417=CustomerType)*($D417=tariffL2)*($E417=tariffType)*("Usage proportion"=Description),valuesFY)</f>
        <v>1251.8730860537928</v>
      </c>
      <c r="G417" s="570" t="s">
        <v>77</v>
      </c>
      <c r="H417" s="574" cm="1">
        <f t="array" ref="H417">IFERROR(_xlfn.XLOOKUP(1,($B417=DistributionZone)*(H$5=Desc_FixedOrVar)*($G417=Description),valuesPY),0)*Days/7</f>
        <v>13.835244134497829</v>
      </c>
      <c r="I417" s="574" cm="1">
        <f t="array" ref="I417">IFERROR(_xlfn.XLOOKUP(1,($B417=DistributionZone)*($I$5=Desc_FixedOrVar)*($G417=Description),valuesPY),0)</f>
        <v>0.57443</v>
      </c>
      <c r="J417" s="574">
        <f t="shared" si="209"/>
        <v>14.554357591319709</v>
      </c>
      <c r="K417" s="575" t="str">
        <f>IFERROR(J417/J423,"")</f>
        <v/>
      </c>
      <c r="L417" s="575"/>
      <c r="M417" s="575">
        <f t="shared" si="210"/>
        <v>-5.3505261605487187E-2</v>
      </c>
      <c r="N417" s="576"/>
      <c r="O417" s="574" cm="1">
        <f t="array" ref="O417">IFERROR(_xlfn.XLOOKUP(1,($B417=DistributionZone)*(O$5=Desc_FixedOrVar)*($G417=Description),valuesFY),0)*Days/7</f>
        <v>13.125399999999999</v>
      </c>
      <c r="P417" s="574" cm="1">
        <f t="array" ref="P417">IFERROR(_xlfn.XLOOKUP(1,($B417=DistributionZone)*($I$5=Desc_FixedOrVar)*($G417=Description),valuesFY),0)</f>
        <v>0.51939999999999997</v>
      </c>
      <c r="Q417" s="574">
        <f t="shared" si="211"/>
        <v>13.775622880896339</v>
      </c>
      <c r="R417" s="575">
        <f>IFERROR(Q417/Q423,"")</f>
        <v>0.18104274119394401</v>
      </c>
      <c r="S417" s="575"/>
      <c r="T417" s="612"/>
      <c r="U417" s="575"/>
      <c r="V417" s="575"/>
      <c r="W417" s="575"/>
      <c r="X417" s="575"/>
      <c r="Y417" s="575"/>
      <c r="Z417" s="575"/>
      <c r="AA417" s="575"/>
      <c r="AB417" s="575"/>
      <c r="AC417" s="575"/>
      <c r="AD417" s="575"/>
      <c r="AE417" s="575"/>
      <c r="AF417" s="575"/>
      <c r="AG417" s="575"/>
      <c r="AH417" s="575"/>
      <c r="AI417" s="575"/>
      <c r="AJ417" s="575"/>
    </row>
    <row r="418" spans="2:36" s="570" customFormat="1" x14ac:dyDescent="0.35">
      <c r="B418" s="570" t="str">
        <f t="shared" si="206"/>
        <v>Energex</v>
      </c>
      <c r="C418" s="570" t="str">
        <f t="shared" si="207"/>
        <v>Small business</v>
      </c>
      <c r="D418" s="570" t="str">
        <f t="shared" si="208"/>
        <v>time of use</v>
      </c>
      <c r="E418" s="570" t="s">
        <v>279</v>
      </c>
      <c r="F418" s="485" cm="1">
        <f t="array" ref="F418">_xlfn.XLOOKUP(1,($B418=DistributionZone)*($C418=CustomerType)*($D418=tariffL2)*($F$5=Description),valuesPY)*_xlfn.XLOOKUP(1,($B418=DistributionZone)*($C418=CustomerType)*($D418=tariffL2)*($E418=tariffType)*("Usage proportion"=Description),valuesFY)</f>
        <v>1251.8730860537928</v>
      </c>
      <c r="G418" s="570" t="s">
        <v>71</v>
      </c>
      <c r="H418" s="574"/>
      <c r="I418" s="574" cm="1">
        <f t="array" ref="I418">IFERROR(_xlfn.XLOOKUP(1,($B418=DistributionZone)*($I$5=Desc_FixedOrVar)*($G418=Description),valuesPY),0)</f>
        <v>0</v>
      </c>
      <c r="J418" s="574">
        <f t="shared" si="209"/>
        <v>0</v>
      </c>
      <c r="K418" s="575" t="str">
        <f>IFERROR(J418/J423,"")</f>
        <v/>
      </c>
      <c r="L418" s="575"/>
      <c r="M418" s="575" t="str">
        <f t="shared" si="210"/>
        <v/>
      </c>
      <c r="N418" s="576"/>
      <c r="O418" s="574"/>
      <c r="P418" s="574" cm="1">
        <f t="array" ref="P418">IFERROR(_xlfn.XLOOKUP(1,($B418=DistributionZone)*($I$5=Desc_FixedOrVar)*($G418=Description),valuesFY),0)</f>
        <v>0</v>
      </c>
      <c r="Q418" s="574">
        <f t="shared" si="211"/>
        <v>0</v>
      </c>
      <c r="R418" s="575">
        <f>IFERROR(Q418/Q423,"")</f>
        <v>0</v>
      </c>
      <c r="S418" s="575"/>
      <c r="T418" s="612"/>
      <c r="U418" s="575"/>
      <c r="V418" s="575"/>
      <c r="W418" s="575"/>
      <c r="X418" s="575"/>
      <c r="Y418" s="575"/>
      <c r="Z418" s="575"/>
      <c r="AA418" s="575"/>
      <c r="AB418" s="575"/>
      <c r="AC418" s="575"/>
      <c r="AD418" s="575"/>
      <c r="AE418" s="575"/>
      <c r="AF418" s="575"/>
      <c r="AG418" s="575"/>
      <c r="AH418" s="575"/>
      <c r="AI418" s="575"/>
      <c r="AJ418" s="575"/>
    </row>
    <row r="419" spans="2:36" s="570" customFormat="1" x14ac:dyDescent="0.35">
      <c r="B419" s="570" t="str">
        <f t="shared" si="206"/>
        <v>Energex</v>
      </c>
      <c r="C419" s="570" t="str">
        <f t="shared" si="207"/>
        <v>Small business</v>
      </c>
      <c r="D419" s="570" t="str">
        <f t="shared" si="208"/>
        <v>time of use</v>
      </c>
      <c r="E419" s="570" t="s">
        <v>279</v>
      </c>
      <c r="F419" s="485" cm="1">
        <f t="array" ref="F419">_xlfn.XLOOKUP(1,($B419=DistributionZone)*($C419=CustomerType)*($D419=tariffL2)*($F$5=Description),valuesPY)*_xlfn.XLOOKUP(1,($B419=DistributionZone)*($C419=CustomerType)*($D419=tariffL2)*($E419=tariffType)*("Usage proportion"=Description),valuesFY)</f>
        <v>1251.8730860537928</v>
      </c>
      <c r="G419" s="570" t="s">
        <v>173</v>
      </c>
      <c r="H419" s="574"/>
      <c r="I419" s="574" cm="1">
        <f t="array" ref="I419">IFERROR(_xlfn.XLOOKUP(1,($B419=DistributionZone)*($I$5=Desc_FixedOrVar)*($G419=Description),valuesPY),0)</f>
        <v>0</v>
      </c>
      <c r="J419" s="574">
        <f t="shared" si="209"/>
        <v>0</v>
      </c>
      <c r="K419" s="575" t="str">
        <f>IFERROR(J419/J423,"")</f>
        <v/>
      </c>
      <c r="L419" s="575"/>
      <c r="M419" s="575" t="str">
        <f t="shared" si="210"/>
        <v/>
      </c>
      <c r="N419" s="576"/>
      <c r="O419" s="574"/>
      <c r="P419" s="574" cm="1">
        <f t="array" ref="P419">IFERROR(_xlfn.XLOOKUP(1,($B419=DistributionZone)*($I$5=Desc_FixedOrVar)*($G419=Description),valuesFY),0)</f>
        <v>0</v>
      </c>
      <c r="Q419" s="574">
        <f t="shared" si="211"/>
        <v>0</v>
      </c>
      <c r="R419" s="575">
        <f>IFERROR(Q419/Q423,"")</f>
        <v>0</v>
      </c>
      <c r="S419" s="575"/>
      <c r="T419" s="612"/>
      <c r="U419" s="575"/>
      <c r="V419" s="575"/>
      <c r="W419" s="575"/>
      <c r="X419" s="575"/>
      <c r="Y419" s="575"/>
      <c r="Z419" s="575"/>
      <c r="AA419" s="575"/>
      <c r="AB419" s="575"/>
      <c r="AC419" s="575"/>
      <c r="AD419" s="575"/>
      <c r="AE419" s="575"/>
      <c r="AF419" s="575"/>
      <c r="AG419" s="575"/>
      <c r="AH419" s="575"/>
      <c r="AI419" s="575"/>
      <c r="AJ419" s="575"/>
    </row>
    <row r="420" spans="2:36" s="570" customFormat="1" x14ac:dyDescent="0.35">
      <c r="B420" s="570" t="str">
        <f t="shared" si="206"/>
        <v>Energex</v>
      </c>
      <c r="C420" s="570" t="str">
        <f t="shared" si="207"/>
        <v>Small business</v>
      </c>
      <c r="D420" s="570" t="str">
        <f t="shared" si="208"/>
        <v>time of use</v>
      </c>
      <c r="E420" s="570" t="s">
        <v>279</v>
      </c>
      <c r="F420" s="485" cm="1">
        <f t="array" ref="F420">_xlfn.XLOOKUP(1,($B420=DistributionZone)*($C420=CustomerType)*($D420=tariffL2)*($F$5=Description),valuesPY)*_xlfn.XLOOKUP(1,($B420=DistributionZone)*($C420=CustomerType)*($D420=tariffL2)*($E420=tariffType)*("Usage proportion"=Description),valuesFY)</f>
        <v>1251.8730860537928</v>
      </c>
      <c r="G420" s="570" t="s">
        <v>130</v>
      </c>
      <c r="H420" s="574"/>
      <c r="I420" s="574" cm="1">
        <f t="array" ref="I420">IFERROR(_xlfn.XLOOKUP(1,($B420=DistributionZone)*($I$5=Desc_FixedOrVar)*($G420=Description),valuesPY),0)</f>
        <v>3.27335932679709</v>
      </c>
      <c r="J420" s="574">
        <f t="shared" ref="J420" si="212">IF(AND(H420="",I420=""),"",H420+I420*F420/1000)</f>
        <v>4.0978304422004381</v>
      </c>
      <c r="K420" s="575" t="str">
        <f>IFERROR(J420/J424,"")</f>
        <v/>
      </c>
      <c r="L420" s="575"/>
      <c r="M420" s="575">
        <f t="shared" ref="M420" si="213">IF(OR(J420=0,Q420=""),"",Q420/J420-1)</f>
        <v>-0.17833877323131697</v>
      </c>
      <c r="N420" s="576"/>
      <c r="O420" s="574"/>
      <c r="P420" s="574" cm="1">
        <f t="array" ref="P420">IFERROR(_xlfn.XLOOKUP(1,($B420=DistributionZone)*($I$5=Desc_FixedOrVar)*($G420=Description),valuesFY),0)</f>
        <v>2.6895924401108067</v>
      </c>
      <c r="Q420" s="574">
        <f t="shared" si="211"/>
        <v>3.3670283882284666</v>
      </c>
      <c r="R420" s="575">
        <f>IFERROR(Q420/Q423,"")</f>
        <v>4.4250343839482738E-2</v>
      </c>
      <c r="S420" s="575"/>
      <c r="T420" s="612"/>
      <c r="U420" s="575"/>
      <c r="V420" s="575"/>
      <c r="W420" s="575"/>
      <c r="X420" s="575"/>
      <c r="Y420" s="575"/>
      <c r="Z420" s="575"/>
      <c r="AA420" s="575"/>
      <c r="AB420" s="575"/>
      <c r="AC420" s="575"/>
      <c r="AD420" s="575"/>
      <c r="AE420" s="575"/>
      <c r="AF420" s="575"/>
      <c r="AG420" s="575"/>
      <c r="AH420" s="575"/>
      <c r="AI420" s="575"/>
      <c r="AJ420" s="575"/>
    </row>
    <row r="421" spans="2:36" s="570" customFormat="1" x14ac:dyDescent="0.35">
      <c r="B421" s="570" t="str">
        <f t="shared" si="206"/>
        <v>Energex</v>
      </c>
      <c r="C421" s="570" t="str">
        <f t="shared" si="207"/>
        <v>Small business</v>
      </c>
      <c r="D421" s="570" t="str">
        <f t="shared" si="208"/>
        <v>time of use</v>
      </c>
      <c r="E421" s="570" t="s">
        <v>279</v>
      </c>
      <c r="F421" s="485" cm="1">
        <f t="array" ref="F421">_xlfn.XLOOKUP(1,($B421=DistributionZone)*($C421=CustomerType)*($D421=tariffL2)*($F$5=Description),valuesPY)*_xlfn.XLOOKUP(1,($B421=DistributionZone)*($C421=CustomerType)*($D421=tariffL2)*($E421=tariffType)*("Usage proportion"=Description),valuesFY)</f>
        <v>1251.8730860537928</v>
      </c>
      <c r="G421" s="570" t="s">
        <v>302</v>
      </c>
      <c r="H421" s="574"/>
      <c r="I421" s="574"/>
      <c r="J421" s="574"/>
      <c r="K421" s="575"/>
      <c r="L421" s="575"/>
      <c r="M421" s="575"/>
      <c r="N421" s="576"/>
      <c r="O421" s="574"/>
      <c r="P421" s="574" cm="1">
        <f t="array" ref="P421">IFERROR(_xlfn.XLOOKUP(1,($B421=DistributionZone)*($P$5=Desc_FixedOrVar)*($D421=tariffL2)*($G421=Description),valuesFY),0)</f>
        <v>0.99299999999999788</v>
      </c>
      <c r="Q421" s="574">
        <f t="shared" ref="Q421" si="214">IF(AND(O421="",P421=""),"",O421+P421*$F421/1000)</f>
        <v>1.2431099744514136</v>
      </c>
      <c r="R421" s="575">
        <f>IFERROR(Q421/Q423,"")</f>
        <v>1.63372676013307E-2</v>
      </c>
      <c r="S421" s="575"/>
      <c r="T421" s="612"/>
      <c r="U421" s="575"/>
      <c r="V421" s="575"/>
      <c r="W421" s="575"/>
      <c r="X421" s="575"/>
      <c r="Y421" s="575"/>
      <c r="Z421" s="575"/>
      <c r="AA421" s="575"/>
      <c r="AB421" s="575"/>
      <c r="AC421" s="575"/>
      <c r="AD421" s="575"/>
      <c r="AE421" s="575"/>
      <c r="AF421" s="575"/>
      <c r="AG421" s="575"/>
      <c r="AH421" s="575"/>
      <c r="AI421" s="575"/>
      <c r="AJ421" s="575"/>
    </row>
    <row r="422" spans="2:36" s="570" customFormat="1" x14ac:dyDescent="0.35">
      <c r="B422" s="570" t="str">
        <f>B420</f>
        <v>Energex</v>
      </c>
      <c r="C422" s="570" t="str">
        <f>C420</f>
        <v>Small business</v>
      </c>
      <c r="D422" s="570" t="str">
        <f>D420</f>
        <v>time of use</v>
      </c>
      <c r="E422" s="570" t="s">
        <v>279</v>
      </c>
      <c r="F422" s="485" cm="1">
        <f t="array" ref="F422">_xlfn.XLOOKUP(1,($B422=DistributionZone)*($C422=CustomerType)*($D422=tariffL2)*($F$5=Description),valuesPY)*_xlfn.XLOOKUP(1,($B422=DistributionZone)*($C422=CustomerType)*($D422=tariffL2)*($E422=tariffType)*("Usage proportion"=Description),valuesFY)</f>
        <v>1251.8730860537928</v>
      </c>
      <c r="G422" s="570" t="s">
        <v>72</v>
      </c>
      <c r="H422" s="574"/>
      <c r="I422" s="574" cm="1">
        <f t="array" ref="I422">IFERROR(_xlfn.XLOOKUP(1,($B422=DistributionZone)*($C422=CustomerType)*("Losses"=Description),valuesPY),0)*SUM(I415:I420)</f>
        <v>0</v>
      </c>
      <c r="J422" s="574">
        <f>IF(AND(H422="",I422=""),"",H422+I422*F422/1000)</f>
        <v>0</v>
      </c>
      <c r="K422" s="575" t="str">
        <f>IFERROR(J422/J423,"")</f>
        <v/>
      </c>
      <c r="L422" s="575"/>
      <c r="M422" s="575" t="str">
        <f t="shared" si="210"/>
        <v/>
      </c>
      <c r="N422" s="576"/>
      <c r="O422" s="574"/>
      <c r="P422" s="574" cm="1">
        <f t="array" ref="P422">IFERROR(_xlfn.XLOOKUP(1,($B422=DistributionZone)*($C422=CustomerType)*("Losses"=Description)*($D422=tariffType)*($P$5=Desc_FixedOrVar),valuesFY),0)*SUM(P415:P421)</f>
        <v>2.7717746225641062</v>
      </c>
      <c r="Q422" s="574">
        <f t="shared" si="211"/>
        <v>3.4699100505949145</v>
      </c>
      <c r="R422" s="575">
        <f>IFERROR(Q422/Q423,"")</f>
        <v>4.5602440825183582E-2</v>
      </c>
      <c r="S422" s="575"/>
      <c r="T422" s="612"/>
      <c r="U422" s="575"/>
      <c r="V422" s="575"/>
      <c r="W422" s="575"/>
      <c r="X422" s="575"/>
      <c r="Y422" s="575"/>
      <c r="Z422" s="575"/>
      <c r="AA422" s="575"/>
      <c r="AB422" s="575"/>
      <c r="AC422" s="575"/>
      <c r="AD422" s="575"/>
      <c r="AE422" s="575"/>
      <c r="AF422" s="575"/>
      <c r="AG422" s="575"/>
      <c r="AH422" s="575"/>
      <c r="AI422" s="575"/>
      <c r="AJ422" s="575"/>
    </row>
    <row r="423" spans="2:36" s="570" customFormat="1" x14ac:dyDescent="0.35">
      <c r="B423" s="570" t="str">
        <f t="shared" si="206"/>
        <v>Energex</v>
      </c>
      <c r="C423" s="570" t="str">
        <f t="shared" si="207"/>
        <v>Small business</v>
      </c>
      <c r="D423" s="570" t="str">
        <f t="shared" si="208"/>
        <v>time of use</v>
      </c>
      <c r="E423" s="570" t="s">
        <v>279</v>
      </c>
      <c r="F423" s="485"/>
      <c r="G423" s="571" t="s">
        <v>55</v>
      </c>
      <c r="H423" s="574"/>
      <c r="I423" s="577">
        <f>IF($H$3=PY,0,SUM(I415:I422))</f>
        <v>0</v>
      </c>
      <c r="J423" s="577">
        <f>IF($H$3=PY,0,SUM(J415:J422))</f>
        <v>0</v>
      </c>
      <c r="K423" s="578"/>
      <c r="L423" s="578"/>
      <c r="M423" s="578"/>
      <c r="N423" s="624"/>
      <c r="O423" s="577"/>
      <c r="P423" s="577">
        <f>SUM(P415:P422)</f>
        <v>50.296668625273256</v>
      </c>
      <c r="Q423" s="577">
        <f>SUM(Q415:Q422)</f>
        <v>76.090445770145806</v>
      </c>
      <c r="R423" s="575"/>
      <c r="S423" s="575"/>
      <c r="T423" s="612"/>
      <c r="U423" s="575"/>
      <c r="V423" s="575"/>
      <c r="W423" s="575"/>
      <c r="X423" s="575"/>
      <c r="Y423" s="575"/>
      <c r="Z423" s="575"/>
      <c r="AA423" s="575"/>
      <c r="AB423" s="575"/>
      <c r="AC423" s="575"/>
      <c r="AD423" s="575"/>
      <c r="AE423" s="575"/>
      <c r="AF423" s="575"/>
      <c r="AG423" s="575"/>
      <c r="AH423" s="575"/>
      <c r="AI423" s="575"/>
      <c r="AJ423" s="575"/>
    </row>
    <row r="424" spans="2:36" s="570" customFormat="1" x14ac:dyDescent="0.35">
      <c r="B424" s="570" t="str">
        <f t="shared" si="206"/>
        <v>Energex</v>
      </c>
      <c r="C424" s="570" t="str">
        <f t="shared" si="207"/>
        <v>Small business</v>
      </c>
      <c r="D424" s="570" t="str">
        <f t="shared" si="208"/>
        <v>time of use</v>
      </c>
      <c r="E424" s="570" t="s">
        <v>278</v>
      </c>
      <c r="F424" s="485" cm="1">
        <f t="array" ref="F424">_xlfn.XLOOKUP(1,($B424=DistributionZone)*($C424=CustomerType)*($D424=tariffL2)*($F$5=Description),valuesPY)*_xlfn.XLOOKUP(1,($B424=DistributionZone)*($C424=CustomerType)*($D424=tariffL2)*($E424=tariffType)*("Usage proportion"=Description),valuesFY)</f>
        <v>867.04544081915776</v>
      </c>
      <c r="G424" s="570" t="s">
        <v>69</v>
      </c>
      <c r="H424" s="574"/>
      <c r="I424" s="574" cm="1">
        <f t="array" ref="I424">IFERROR(_xlfn.XLOOKUP(1,($B424=DistributionZone)*($E424=tariffType)*("WEC scale"=Description),valuesPY),0)*$I402</f>
        <v>0</v>
      </c>
      <c r="J424" s="574">
        <f t="shared" ref="J424:J429" si="215">IF(AND(H424="",I424=""),"",H424+I424*F424/1000)</f>
        <v>0</v>
      </c>
      <c r="K424" s="575" t="str">
        <f>IFERROR(J424/J432,"")</f>
        <v/>
      </c>
      <c r="L424" s="575"/>
      <c r="M424" s="575" t="str">
        <f t="shared" ref="M424:M431" si="216">IF(OR(J424=0,Q424=""),"",Q424/J424-1)</f>
        <v/>
      </c>
      <c r="N424" s="576"/>
      <c r="O424" s="574"/>
      <c r="P424" s="574" cm="1">
        <f t="array" ref="P424">IFERROR(_xlfn.XLOOKUP(1,($B424=DistributionZone)*(C424=CustomerType)*($E424=tariffType)*("WEC"=Description),valuesFY),0)</f>
        <v>202.01278494604139</v>
      </c>
      <c r="Q424" s="574">
        <f t="shared" ref="Q424:Q431" si="217">IF(AND(O424="",P424=""),"",O424+P424*$F424/1000)</f>
        <v>175.15426417464619</v>
      </c>
      <c r="R424" s="575">
        <f>IFERROR(Q424/Q432,"")</f>
        <v>0.92377125794665449</v>
      </c>
      <c r="S424" s="575"/>
      <c r="T424" s="613"/>
      <c r="U424" s="575"/>
      <c r="V424" s="575"/>
      <c r="W424" s="575"/>
      <c r="X424" s="575"/>
      <c r="Y424" s="575"/>
      <c r="Z424" s="575"/>
      <c r="AA424" s="575"/>
      <c r="AB424" s="575"/>
      <c r="AC424" s="575"/>
      <c r="AD424" s="575"/>
      <c r="AE424" s="575"/>
      <c r="AF424" s="575"/>
      <c r="AG424" s="575"/>
      <c r="AH424" s="575"/>
      <c r="AI424" s="575"/>
      <c r="AJ424" s="575"/>
    </row>
    <row r="425" spans="2:36" s="570" customFormat="1" x14ac:dyDescent="0.35">
      <c r="B425" s="570" t="str">
        <f t="shared" si="206"/>
        <v>Energex</v>
      </c>
      <c r="C425" s="570" t="str">
        <f t="shared" si="207"/>
        <v>Small business</v>
      </c>
      <c r="D425" s="570" t="str">
        <f t="shared" si="208"/>
        <v>time of use</v>
      </c>
      <c r="E425" s="570" t="s">
        <v>278</v>
      </c>
      <c r="F425" s="485" cm="1">
        <f t="array" ref="F425">_xlfn.XLOOKUP(1,($B425=DistributionZone)*($C425=CustomerType)*($D425=tariffL2)*($F$5=Description),valuesPY)*_xlfn.XLOOKUP(1,($B425=DistributionZone)*($C425=CustomerType)*($D425=tariffL2)*($E425=tariffType)*("Usage proportion"=Description),valuesFY)</f>
        <v>867.04544081915776</v>
      </c>
      <c r="G425" s="570" t="s">
        <v>70</v>
      </c>
      <c r="H425" s="574"/>
      <c r="I425" s="574" cm="1">
        <f t="array" ref="I425">IFERROR(_xlfn.XLOOKUP(1,($B425=DistributionZone)*($I$5=Desc_FixedOrVar)*($G425=Description),valuesPY),0)</f>
        <v>0.73511316732430898</v>
      </c>
      <c r="J425" s="574">
        <f t="shared" si="215"/>
        <v>0.63737652021467273</v>
      </c>
      <c r="K425" s="575" t="str">
        <f>IFERROR(J425/J432,"")</f>
        <v/>
      </c>
      <c r="L425" s="575"/>
      <c r="M425" s="575">
        <f t="shared" si="216"/>
        <v>-0.43323547155862818</v>
      </c>
      <c r="N425" s="576"/>
      <c r="O425" s="574"/>
      <c r="P425" s="574" cm="1">
        <f t="array" ref="P425">IFERROR(_xlfn.XLOOKUP(1,($B425=DistributionZone)*($I$5=Desc_FixedOrVar)*($G425=Description),valuesFY),0)</f>
        <v>0.4166360676296052</v>
      </c>
      <c r="Q425" s="574">
        <f t="shared" si="217"/>
        <v>0.3612424029190715</v>
      </c>
      <c r="R425" s="575">
        <f>IFERROR(Q425/Q432,"")</f>
        <v>1.9052082490865626E-3</v>
      </c>
      <c r="S425" s="575"/>
      <c r="T425" s="612"/>
      <c r="U425" s="575"/>
      <c r="V425" s="575"/>
      <c r="W425" s="575"/>
      <c r="X425" s="575"/>
      <c r="Y425" s="575"/>
      <c r="Z425" s="575"/>
      <c r="AA425" s="575"/>
      <c r="AB425" s="575"/>
      <c r="AC425" s="575"/>
      <c r="AD425" s="575"/>
      <c r="AE425" s="575"/>
      <c r="AF425" s="575"/>
      <c r="AG425" s="575"/>
      <c r="AH425" s="575"/>
      <c r="AI425" s="575"/>
      <c r="AJ425" s="575"/>
    </row>
    <row r="426" spans="2:36" s="570" customFormat="1" x14ac:dyDescent="0.35">
      <c r="B426" s="570" t="str">
        <f t="shared" si="206"/>
        <v>Energex</v>
      </c>
      <c r="C426" s="570" t="str">
        <f t="shared" si="207"/>
        <v>Small business</v>
      </c>
      <c r="D426" s="570" t="str">
        <f t="shared" si="208"/>
        <v>time of use</v>
      </c>
      <c r="E426" s="570" t="s">
        <v>278</v>
      </c>
      <c r="F426" s="485" cm="1">
        <f t="array" ref="F426">_xlfn.XLOOKUP(1,($B426=DistributionZone)*($C426=CustomerType)*($D426=tariffL2)*($F$5=Description),valuesPY)*_xlfn.XLOOKUP(1,($B426=DistributionZone)*($C426=CustomerType)*($D426=tariffL2)*($E426=tariffType)*("Usage proportion"=Description),valuesFY)</f>
        <v>867.04544081915776</v>
      </c>
      <c r="G426" s="570" t="s">
        <v>77</v>
      </c>
      <c r="H426" s="574"/>
      <c r="I426" s="574" cm="1">
        <f t="array" ref="I426">IFERROR(_xlfn.XLOOKUP(1,($B426=DistributionZone)*($I$5=Desc_FixedOrVar)*($G426=Description),valuesPY),0)</f>
        <v>0.57443</v>
      </c>
      <c r="J426" s="574">
        <f t="shared" si="215"/>
        <v>0.49805691256974882</v>
      </c>
      <c r="K426" s="575" t="str">
        <f>IFERROR(J426/J432,"")</f>
        <v/>
      </c>
      <c r="L426" s="575"/>
      <c r="M426" s="575">
        <f t="shared" si="216"/>
        <v>-9.5799314102675726E-2</v>
      </c>
      <c r="N426" s="576"/>
      <c r="O426" s="574"/>
      <c r="P426" s="574" cm="1">
        <f t="array" ref="P426">IFERROR(_xlfn.XLOOKUP(1,($B426=DistributionZone)*($I$5=Desc_FixedOrVar)*($G426=Description),valuesFY),0)</f>
        <v>0.51939999999999997</v>
      </c>
      <c r="Q426" s="574">
        <f t="shared" si="217"/>
        <v>0.45034340196147055</v>
      </c>
      <c r="R426" s="575">
        <f>IFERROR(Q426/Q432,"")</f>
        <v>2.375130819099648E-3</v>
      </c>
      <c r="S426" s="575"/>
      <c r="T426" s="612"/>
      <c r="U426" s="575"/>
      <c r="V426" s="575"/>
      <c r="W426" s="575"/>
      <c r="X426" s="575"/>
      <c r="Y426" s="575"/>
      <c r="Z426" s="575"/>
      <c r="AA426" s="575"/>
      <c r="AB426" s="575"/>
      <c r="AC426" s="575"/>
      <c r="AD426" s="575"/>
      <c r="AE426" s="575"/>
      <c r="AF426" s="575"/>
      <c r="AG426" s="575"/>
      <c r="AH426" s="575"/>
      <c r="AI426" s="575"/>
      <c r="AJ426" s="575"/>
    </row>
    <row r="427" spans="2:36" s="570" customFormat="1" x14ac:dyDescent="0.35">
      <c r="B427" s="570" t="str">
        <f t="shared" si="206"/>
        <v>Energex</v>
      </c>
      <c r="C427" s="570" t="str">
        <f t="shared" si="207"/>
        <v>Small business</v>
      </c>
      <c r="D427" s="570" t="str">
        <f t="shared" si="208"/>
        <v>time of use</v>
      </c>
      <c r="E427" s="570" t="s">
        <v>278</v>
      </c>
      <c r="F427" s="485" cm="1">
        <f t="array" ref="F427">_xlfn.XLOOKUP(1,($B427=DistributionZone)*($C427=CustomerType)*($D427=tariffL2)*($F$5=Description),valuesPY)*_xlfn.XLOOKUP(1,($B427=DistributionZone)*($C427=CustomerType)*($D427=tariffL2)*($E427=tariffType)*("Usage proportion"=Description),valuesFY)</f>
        <v>867.04544081915776</v>
      </c>
      <c r="G427" s="570" t="s">
        <v>71</v>
      </c>
      <c r="H427" s="574"/>
      <c r="I427" s="574" cm="1">
        <f t="array" ref="I427">IFERROR(_xlfn.XLOOKUP(1,($B427=DistributionZone)*($I$5=Desc_FixedOrVar)*($G427=Description),valuesPY),0)</f>
        <v>0</v>
      </c>
      <c r="J427" s="574">
        <f t="shared" si="215"/>
        <v>0</v>
      </c>
      <c r="K427" s="575" t="str">
        <f>IFERROR(J427/J432,"")</f>
        <v/>
      </c>
      <c r="L427" s="575"/>
      <c r="M427" s="575" t="str">
        <f t="shared" si="216"/>
        <v/>
      </c>
      <c r="N427" s="576"/>
      <c r="O427" s="574"/>
      <c r="P427" s="574" cm="1">
        <f t="array" ref="P427">IFERROR(_xlfn.XLOOKUP(1,($B427=DistributionZone)*($I$5=Desc_FixedOrVar)*($G427=Description),valuesFY),0)</f>
        <v>0</v>
      </c>
      <c r="Q427" s="574">
        <f t="shared" si="217"/>
        <v>0</v>
      </c>
      <c r="R427" s="575">
        <f>IFERROR(Q427/Q432,"")</f>
        <v>0</v>
      </c>
      <c r="S427" s="575"/>
      <c r="T427" s="612"/>
      <c r="U427" s="575"/>
      <c r="V427" s="575"/>
      <c r="W427" s="575"/>
      <c r="X427" s="575"/>
      <c r="Y427" s="575"/>
      <c r="Z427" s="575"/>
      <c r="AA427" s="575"/>
      <c r="AB427" s="575"/>
      <c r="AC427" s="575"/>
      <c r="AD427" s="575"/>
      <c r="AE427" s="575"/>
      <c r="AF427" s="575"/>
      <c r="AG427" s="575"/>
      <c r="AH427" s="575"/>
      <c r="AI427" s="575"/>
      <c r="AJ427" s="575"/>
    </row>
    <row r="428" spans="2:36" s="570" customFormat="1" x14ac:dyDescent="0.35">
      <c r="B428" s="570" t="str">
        <f t="shared" si="206"/>
        <v>Energex</v>
      </c>
      <c r="C428" s="570" t="str">
        <f t="shared" si="207"/>
        <v>Small business</v>
      </c>
      <c r="D428" s="570" t="str">
        <f t="shared" si="208"/>
        <v>time of use</v>
      </c>
      <c r="E428" s="570" t="s">
        <v>278</v>
      </c>
      <c r="F428" s="485" cm="1">
        <f t="array" ref="F428">_xlfn.XLOOKUP(1,($B428=DistributionZone)*($C428=CustomerType)*($D428=tariffL2)*($F$5=Description),valuesPY)*_xlfn.XLOOKUP(1,($B428=DistributionZone)*($C428=CustomerType)*($D428=tariffL2)*($E428=tariffType)*("Usage proportion"=Description),valuesFY)</f>
        <v>867.04544081915776</v>
      </c>
      <c r="G428" s="570" t="s">
        <v>173</v>
      </c>
      <c r="H428" s="574"/>
      <c r="I428" s="574" cm="1">
        <f t="array" ref="I428">IFERROR(_xlfn.XLOOKUP(1,($B428=DistributionZone)*($I$5=Desc_FixedOrVar)*($G428=Description),valuesPY),0)</f>
        <v>0</v>
      </c>
      <c r="J428" s="574">
        <f t="shared" si="215"/>
        <v>0</v>
      </c>
      <c r="K428" s="575" t="str">
        <f>IFERROR(J428/J432,"")</f>
        <v/>
      </c>
      <c r="L428" s="575"/>
      <c r="M428" s="575" t="str">
        <f t="shared" si="216"/>
        <v/>
      </c>
      <c r="N428" s="576"/>
      <c r="O428" s="574"/>
      <c r="P428" s="574" cm="1">
        <f t="array" ref="P428">IFERROR(_xlfn.XLOOKUP(1,($B428=DistributionZone)*($I$5=Desc_FixedOrVar)*($G428=Description),valuesFY),0)</f>
        <v>0</v>
      </c>
      <c r="Q428" s="574">
        <f t="shared" si="217"/>
        <v>0</v>
      </c>
      <c r="R428" s="575">
        <f>IFERROR(Q428/Q432,"")</f>
        <v>0</v>
      </c>
      <c r="S428" s="575"/>
      <c r="T428" s="612"/>
      <c r="U428" s="575"/>
      <c r="V428" s="575"/>
      <c r="W428" s="575"/>
      <c r="X428" s="575"/>
      <c r="Y428" s="575"/>
      <c r="Z428" s="575"/>
      <c r="AA428" s="575"/>
      <c r="AB428" s="575"/>
      <c r="AC428" s="575"/>
      <c r="AD428" s="575"/>
      <c r="AE428" s="575"/>
      <c r="AF428" s="575"/>
      <c r="AG428" s="575"/>
      <c r="AH428" s="575"/>
      <c r="AI428" s="575"/>
      <c r="AJ428" s="575"/>
    </row>
    <row r="429" spans="2:36" s="570" customFormat="1" x14ac:dyDescent="0.35">
      <c r="B429" s="570" t="str">
        <f t="shared" si="206"/>
        <v>Energex</v>
      </c>
      <c r="C429" s="570" t="str">
        <f t="shared" si="207"/>
        <v>Small business</v>
      </c>
      <c r="D429" s="570" t="str">
        <f t="shared" si="208"/>
        <v>time of use</v>
      </c>
      <c r="E429" s="570" t="s">
        <v>278</v>
      </c>
      <c r="F429" s="485" cm="1">
        <f t="array" ref="F429">_xlfn.XLOOKUP(1,($B429=DistributionZone)*($C429=CustomerType)*($D429=tariffL2)*($F$5=Description),valuesPY)*_xlfn.XLOOKUP(1,($B429=DistributionZone)*($C429=CustomerType)*($D429=tariffL2)*($E429=tariffType)*("Usage proportion"=Description),valuesFY)</f>
        <v>867.04544081915776</v>
      </c>
      <c r="G429" s="570" t="s">
        <v>130</v>
      </c>
      <c r="H429" s="574"/>
      <c r="I429" s="574" cm="1">
        <f t="array" ref="I429">IFERROR(_xlfn.XLOOKUP(1,($B429=DistributionZone)*($I$5=Desc_FixedOrVar)*($G429=Description),valuesPY),0)</f>
        <v>3.27335932679709</v>
      </c>
      <c r="J429" s="574">
        <f t="shared" si="215"/>
        <v>2.8381512804622844</v>
      </c>
      <c r="K429" s="575" t="str">
        <f>IFERROR(J429/J432,"")</f>
        <v/>
      </c>
      <c r="L429" s="575"/>
      <c r="M429" s="575">
        <f t="shared" si="216"/>
        <v>-0.17833877323131719</v>
      </c>
      <c r="N429" s="576"/>
      <c r="O429" s="574"/>
      <c r="P429" s="574" cm="1">
        <f t="array" ref="P429">IFERROR(_xlfn.XLOOKUP(1,($B429=DistributionZone)*($I$5=Desc_FixedOrVar)*($G429=Description),valuesFY),0)</f>
        <v>2.6895924401108067</v>
      </c>
      <c r="Q429" s="574">
        <f t="shared" si="217"/>
        <v>2.3319988628597486</v>
      </c>
      <c r="R429" s="575">
        <f>IFERROR(Q429/Q432,"")</f>
        <v>1.229906410343589E-2</v>
      </c>
      <c r="S429" s="575"/>
      <c r="T429" s="612"/>
      <c r="U429" s="575"/>
      <c r="V429" s="575"/>
      <c r="W429" s="575"/>
      <c r="X429" s="575"/>
      <c r="Y429" s="575"/>
      <c r="Z429" s="575"/>
      <c r="AA429" s="575"/>
      <c r="AB429" s="575"/>
      <c r="AC429" s="575"/>
      <c r="AD429" s="575"/>
      <c r="AE429" s="575"/>
      <c r="AF429" s="575"/>
      <c r="AG429" s="575"/>
      <c r="AH429" s="575"/>
      <c r="AI429" s="575"/>
      <c r="AJ429" s="575"/>
    </row>
    <row r="430" spans="2:36" s="570" customFormat="1" x14ac:dyDescent="0.35">
      <c r="B430" s="570" t="str">
        <f t="shared" si="206"/>
        <v>Energex</v>
      </c>
      <c r="C430" s="570" t="str">
        <f t="shared" si="207"/>
        <v>Small business</v>
      </c>
      <c r="D430" s="570" t="str">
        <f t="shared" si="208"/>
        <v>time of use</v>
      </c>
      <c r="E430" s="570" t="s">
        <v>278</v>
      </c>
      <c r="F430" s="485" cm="1">
        <f t="array" ref="F430">_xlfn.XLOOKUP(1,($B430=DistributionZone)*($C430=CustomerType)*($D430=tariffL2)*($F$5=Description),valuesPY)*_xlfn.XLOOKUP(1,($B430=DistributionZone)*($C430=CustomerType)*($D430=tariffL2)*($E430=tariffType)*("Usage proportion"=Description),valuesFY)</f>
        <v>867.04544081915776</v>
      </c>
      <c r="G430" s="570" t="s">
        <v>302</v>
      </c>
      <c r="H430" s="574"/>
      <c r="I430" s="574"/>
      <c r="J430" s="574"/>
      <c r="K430" s="575"/>
      <c r="L430" s="575"/>
      <c r="M430" s="575"/>
      <c r="N430" s="576"/>
      <c r="O430" s="574"/>
      <c r="P430" s="574" cm="1">
        <f t="array" ref="P430">IFERROR(_xlfn.XLOOKUP(1,($B430=DistributionZone)*($P$5=Desc_FixedOrVar)*($D430=tariffL2)*($G430=Description),valuesFY),0)</f>
        <v>0.99299999999999788</v>
      </c>
      <c r="Q430" s="574">
        <f t="shared" ref="Q430" si="218">IF(AND(O430="",P430=""),"",O430+P430*$F430/1000)</f>
        <v>0.86097612273342183</v>
      </c>
      <c r="R430" s="575">
        <f>IFERROR(Q430/Q432,"")</f>
        <v>4.5408257669733261E-3</v>
      </c>
      <c r="S430" s="575"/>
      <c r="T430" s="612"/>
      <c r="U430" s="575"/>
      <c r="V430" s="575"/>
      <c r="W430" s="575"/>
      <c r="X430" s="575"/>
      <c r="Y430" s="575"/>
      <c r="Z430" s="575"/>
      <c r="AA430" s="575"/>
      <c r="AB430" s="575"/>
      <c r="AC430" s="575"/>
      <c r="AD430" s="575"/>
      <c r="AE430" s="575"/>
      <c r="AF430" s="575"/>
      <c r="AG430" s="575"/>
      <c r="AH430" s="575"/>
      <c r="AI430" s="575"/>
      <c r="AJ430" s="575"/>
    </row>
    <row r="431" spans="2:36" s="570" customFormat="1" x14ac:dyDescent="0.35">
      <c r="B431" s="570" t="str">
        <f>B429</f>
        <v>Energex</v>
      </c>
      <c r="C431" s="570" t="str">
        <f>C429</f>
        <v>Small business</v>
      </c>
      <c r="D431" s="570" t="str">
        <f>D429</f>
        <v>time of use</v>
      </c>
      <c r="E431" s="570" t="s">
        <v>278</v>
      </c>
      <c r="F431" s="485" cm="1">
        <f t="array" ref="F431">_xlfn.XLOOKUP(1,($B431=DistributionZone)*($C431=CustomerType)*($D431=tariffL2)*($F$5=Description),valuesPY)*_xlfn.XLOOKUP(1,($B431=DistributionZone)*($C431=CustomerType)*($D431=tariffL2)*($E431=tariffType)*("Usage proportion"=Description),valuesFY)</f>
        <v>867.04544081915776</v>
      </c>
      <c r="G431" s="570" t="s">
        <v>72</v>
      </c>
      <c r="H431" s="574"/>
      <c r="I431" s="574" cm="1">
        <f t="array" ref="I431">IFERROR(_xlfn.XLOOKUP(1,($B431=DistributionZone)*($C431=CustomerType)*("Losses"=Description),valuesPY),0)*SUM(I424:I429)</f>
        <v>0</v>
      </c>
      <c r="J431" s="574">
        <f>IF(AND(H431="",I431=""),"",H431+I431*F431/1000)</f>
        <v>0</v>
      </c>
      <c r="K431" s="575" t="str">
        <f>IFERROR(J431/J432,"")</f>
        <v/>
      </c>
      <c r="L431" s="575"/>
      <c r="M431" s="575" t="str">
        <f t="shared" si="216"/>
        <v/>
      </c>
      <c r="N431" s="576"/>
      <c r="O431" s="574"/>
      <c r="P431" s="574" cm="1">
        <f t="array" ref="P431">IFERROR(_xlfn.XLOOKUP(1,($B431=DistributionZone)*($C431=CustomerType)*("Losses"=Description)*($D431=tariffType)*($P$5=Desc_FixedOrVar),valuesFY),0)*SUM(P424:P430)</f>
        <v>12.051277968196944</v>
      </c>
      <c r="Q431" s="574">
        <f t="shared" si="217"/>
        <v>10.449005618369524</v>
      </c>
      <c r="R431" s="575">
        <f>IFERROR(Q431/Q432,"")</f>
        <v>5.5108513114750006E-2</v>
      </c>
      <c r="S431" s="575"/>
      <c r="T431" s="612"/>
      <c r="U431" s="575"/>
      <c r="V431" s="575"/>
      <c r="W431" s="575"/>
      <c r="X431" s="575"/>
      <c r="Y431" s="575"/>
      <c r="Z431" s="575"/>
      <c r="AA431" s="575"/>
      <c r="AB431" s="575"/>
      <c r="AC431" s="575"/>
      <c r="AD431" s="575"/>
      <c r="AE431" s="575"/>
      <c r="AF431" s="575"/>
      <c r="AG431" s="575"/>
      <c r="AH431" s="575"/>
      <c r="AI431" s="575"/>
      <c r="AJ431" s="575"/>
    </row>
    <row r="432" spans="2:36" s="570" customFormat="1" x14ac:dyDescent="0.35">
      <c r="B432" s="570" t="str">
        <f t="shared" si="206"/>
        <v>Energex</v>
      </c>
      <c r="C432" s="570" t="str">
        <f t="shared" si="207"/>
        <v>Small business</v>
      </c>
      <c r="D432" s="570" t="str">
        <f t="shared" si="208"/>
        <v>time of use</v>
      </c>
      <c r="E432" s="570" t="s">
        <v>278</v>
      </c>
      <c r="F432" s="485"/>
      <c r="G432" s="571" t="s">
        <v>55</v>
      </c>
      <c r="H432" s="574"/>
      <c r="I432" s="577">
        <f>IF($H$3=PY,0,SUM(I424:I431))</f>
        <v>0</v>
      </c>
      <c r="J432" s="577">
        <f>IF($H$3=PY,0,SUM(J424:J431))</f>
        <v>0</v>
      </c>
      <c r="K432" s="578"/>
      <c r="L432" s="578"/>
      <c r="M432" s="578"/>
      <c r="N432" s="624"/>
      <c r="O432" s="577"/>
      <c r="P432" s="577">
        <f>SUM(P424:P431)</f>
        <v>218.68269142197875</v>
      </c>
      <c r="Q432" s="577">
        <f>SUM(Q424:Q431)</f>
        <v>189.60783058348943</v>
      </c>
      <c r="R432" s="575"/>
      <c r="S432" s="575"/>
      <c r="T432" s="612"/>
      <c r="U432" s="575"/>
      <c r="V432" s="575"/>
      <c r="W432" s="575"/>
      <c r="X432" s="575"/>
      <c r="Y432" s="575"/>
      <c r="Z432" s="575"/>
      <c r="AA432" s="575"/>
      <c r="AB432" s="575"/>
      <c r="AC432" s="575"/>
      <c r="AD432" s="575"/>
      <c r="AE432" s="575"/>
      <c r="AF432" s="575"/>
      <c r="AG432" s="575"/>
      <c r="AH432" s="575"/>
      <c r="AI432" s="575"/>
      <c r="AJ432" s="575"/>
    </row>
    <row r="433" spans="2:36" s="570" customFormat="1" x14ac:dyDescent="0.35">
      <c r="B433" s="570" t="str">
        <f t="shared" si="206"/>
        <v>Energex</v>
      </c>
      <c r="C433" s="570" t="str">
        <f t="shared" si="207"/>
        <v>Small business</v>
      </c>
      <c r="D433" s="570" t="str">
        <f t="shared" si="208"/>
        <v>time of use</v>
      </c>
      <c r="E433" s="570" t="s">
        <v>283</v>
      </c>
      <c r="F433" s="485" cm="1">
        <f t="array" ref="F433">_xlfn.XLOOKUP(1,($B433=DistributionZone)*($C433=CustomerType)*($D433=tariffL2)*($F$5=Description),valuesPY)*_xlfn.XLOOKUP(1,($B433=DistributionZone)*($C433=CustomerType)*($D433=tariffL2)*($E433=tariffType)*("Usage proportion"=Description),valuesFY)</f>
        <v>7881.0814731270493</v>
      </c>
      <c r="G433" s="570" t="s">
        <v>69</v>
      </c>
      <c r="H433" s="574"/>
      <c r="I433" s="574" cm="1">
        <f t="array" ref="I433">IFERROR(_xlfn.XLOOKUP(1,($B433=DistributionZone)*($E433=tariffType)*("WEC scale"=Description),valuesPY),0)*$I402</f>
        <v>0</v>
      </c>
      <c r="J433" s="574">
        <f t="shared" ref="J433:J438" si="219">IF(AND(H433="",I433=""),"",H433+I433*F433/1000)</f>
        <v>0</v>
      </c>
      <c r="K433" s="575" t="str">
        <f>IFERROR(J433/J441,"")</f>
        <v/>
      </c>
      <c r="L433" s="575"/>
      <c r="M433" s="575" t="str">
        <f t="shared" ref="M433:M440" si="220">IF(OR(J433=0,Q433=""),"",Q433/J433-1)</f>
        <v/>
      </c>
      <c r="N433" s="576"/>
      <c r="O433" s="574"/>
      <c r="P433" s="574" cm="1">
        <f t="array" ref="P433">IFERROR(_xlfn.XLOOKUP(1,($B433=DistributionZone)*(C433=CustomerType)*($E433=tariffType)*("WEC"=Description),valuesFY),0)</f>
        <v>133.47565818422368</v>
      </c>
      <c r="Q433" s="574">
        <f t="shared" ref="Q433:Q440" si="221">IF(AND(O433="",P433=""),"",O433+P433*$F433/1000)</f>
        <v>1051.932536829124</v>
      </c>
      <c r="R433" s="575">
        <f>IFERROR(Q433/Q441,"")</f>
        <v>0.91328914574144793</v>
      </c>
      <c r="S433" s="575"/>
      <c r="T433" s="613"/>
      <c r="U433" s="575"/>
      <c r="V433" s="575"/>
      <c r="W433" s="575"/>
      <c r="X433" s="575"/>
      <c r="Y433" s="575"/>
      <c r="Z433" s="575"/>
      <c r="AA433" s="575"/>
      <c r="AB433" s="575"/>
      <c r="AC433" s="575"/>
      <c r="AD433" s="575"/>
      <c r="AE433" s="575"/>
      <c r="AF433" s="575"/>
      <c r="AG433" s="575"/>
      <c r="AH433" s="575"/>
      <c r="AI433" s="575"/>
      <c r="AJ433" s="575"/>
    </row>
    <row r="434" spans="2:36" s="570" customFormat="1" x14ac:dyDescent="0.35">
      <c r="B434" s="570" t="str">
        <f t="shared" si="206"/>
        <v>Energex</v>
      </c>
      <c r="C434" s="570" t="str">
        <f t="shared" si="207"/>
        <v>Small business</v>
      </c>
      <c r="D434" s="570" t="str">
        <f t="shared" si="208"/>
        <v>time of use</v>
      </c>
      <c r="E434" s="570" t="s">
        <v>283</v>
      </c>
      <c r="F434" s="485" cm="1">
        <f t="array" ref="F434">_xlfn.XLOOKUP(1,($B434=DistributionZone)*($C434=CustomerType)*($D434=tariffL2)*($F$5=Description),valuesPY)*_xlfn.XLOOKUP(1,($B434=DistributionZone)*($C434=CustomerType)*($D434=tariffL2)*($E434=tariffType)*("Usage proportion"=Description),valuesFY)</f>
        <v>7881.0814731270493</v>
      </c>
      <c r="G434" s="570" t="s">
        <v>70</v>
      </c>
      <c r="H434" s="574"/>
      <c r="I434" s="574" cm="1">
        <f t="array" ref="I434">IFERROR(_xlfn.XLOOKUP(1,($B434=DistributionZone)*($I$5=Desc_FixedOrVar)*($G434=Description),valuesPY),0)</f>
        <v>0.73511316732430898</v>
      </c>
      <c r="J434" s="574">
        <f t="shared" si="219"/>
        <v>5.7934867636513561</v>
      </c>
      <c r="K434" s="575" t="str">
        <f>IFERROR(J434/J441,"")</f>
        <v/>
      </c>
      <c r="L434" s="575"/>
      <c r="M434" s="575">
        <f t="shared" si="220"/>
        <v>-0.43323547155862818</v>
      </c>
      <c r="N434" s="576"/>
      <c r="O434" s="574"/>
      <c r="P434" s="574" cm="1">
        <f t="array" ref="P434">IFERROR(_xlfn.XLOOKUP(1,($B434=DistributionZone)*($I$5=Desc_FixedOrVar)*($G434=Description),valuesFY),0)</f>
        <v>0.4166360676296052</v>
      </c>
      <c r="Q434" s="574">
        <f t="shared" si="221"/>
        <v>3.2835427936321899</v>
      </c>
      <c r="R434" s="575">
        <f>IFERROR(Q434/Q441,"")</f>
        <v>2.8507759651976231E-3</v>
      </c>
      <c r="S434" s="575"/>
      <c r="T434" s="612"/>
      <c r="U434" s="575"/>
      <c r="V434" s="575"/>
      <c r="W434" s="575"/>
      <c r="X434" s="575"/>
      <c r="Y434" s="575"/>
      <c r="Z434" s="575"/>
      <c r="AA434" s="575"/>
      <c r="AB434" s="575"/>
      <c r="AC434" s="575"/>
      <c r="AD434" s="575"/>
      <c r="AE434" s="575"/>
      <c r="AF434" s="575"/>
      <c r="AG434" s="575"/>
      <c r="AH434" s="575"/>
      <c r="AI434" s="575"/>
      <c r="AJ434" s="575"/>
    </row>
    <row r="435" spans="2:36" s="570" customFormat="1" x14ac:dyDescent="0.35">
      <c r="B435" s="570" t="str">
        <f t="shared" si="206"/>
        <v>Energex</v>
      </c>
      <c r="C435" s="570" t="str">
        <f t="shared" si="207"/>
        <v>Small business</v>
      </c>
      <c r="D435" s="570" t="str">
        <f t="shared" si="208"/>
        <v>time of use</v>
      </c>
      <c r="E435" s="570" t="s">
        <v>283</v>
      </c>
      <c r="F435" s="485" cm="1">
        <f t="array" ref="F435">_xlfn.XLOOKUP(1,($B435=DistributionZone)*($C435=CustomerType)*($D435=tariffL2)*($F$5=Description),valuesPY)*_xlfn.XLOOKUP(1,($B435=DistributionZone)*($C435=CustomerType)*($D435=tariffL2)*($E435=tariffType)*("Usage proportion"=Description),valuesFY)</f>
        <v>7881.0814731270493</v>
      </c>
      <c r="G435" s="570" t="s">
        <v>77</v>
      </c>
      <c r="H435" s="574"/>
      <c r="I435" s="574" cm="1">
        <f t="array" ref="I435">IFERROR(_xlfn.XLOOKUP(1,($B435=DistributionZone)*($I$5=Desc_FixedOrVar)*($G435=Description),valuesPY),0)</f>
        <v>0.57443</v>
      </c>
      <c r="J435" s="574">
        <f t="shared" si="219"/>
        <v>4.5271296306083704</v>
      </c>
      <c r="K435" s="575" t="str">
        <f>IFERROR(J435/J441,"")</f>
        <v/>
      </c>
      <c r="L435" s="575"/>
      <c r="M435" s="575">
        <f t="shared" si="220"/>
        <v>-9.5799314102675615E-2</v>
      </c>
      <c r="N435" s="576"/>
      <c r="O435" s="574"/>
      <c r="P435" s="574" cm="1">
        <f t="array" ref="P435">IFERROR(_xlfn.XLOOKUP(1,($B435=DistributionZone)*($I$5=Desc_FixedOrVar)*($G435=Description),valuesFY),0)</f>
        <v>0.51939999999999997</v>
      </c>
      <c r="Q435" s="574">
        <f t="shared" si="221"/>
        <v>4.0934337171421893</v>
      </c>
      <c r="R435" s="575">
        <f>IFERROR(Q435/Q441,"")</f>
        <v>3.5539242791625052E-3</v>
      </c>
      <c r="S435" s="575"/>
      <c r="T435" s="612"/>
      <c r="U435" s="575"/>
      <c r="V435" s="575"/>
      <c r="W435" s="575"/>
      <c r="X435" s="575"/>
      <c r="Y435" s="575"/>
      <c r="Z435" s="575"/>
      <c r="AA435" s="575"/>
      <c r="AB435" s="575"/>
      <c r="AC435" s="575"/>
      <c r="AD435" s="575"/>
      <c r="AE435" s="575"/>
      <c r="AF435" s="575"/>
      <c r="AG435" s="575"/>
      <c r="AH435" s="575"/>
      <c r="AI435" s="575"/>
      <c r="AJ435" s="575"/>
    </row>
    <row r="436" spans="2:36" s="570" customFormat="1" x14ac:dyDescent="0.35">
      <c r="B436" s="570" t="str">
        <f t="shared" si="206"/>
        <v>Energex</v>
      </c>
      <c r="C436" s="570" t="str">
        <f t="shared" si="207"/>
        <v>Small business</v>
      </c>
      <c r="D436" s="570" t="str">
        <f t="shared" si="208"/>
        <v>time of use</v>
      </c>
      <c r="E436" s="570" t="s">
        <v>283</v>
      </c>
      <c r="F436" s="485" cm="1">
        <f t="array" ref="F436">_xlfn.XLOOKUP(1,($B436=DistributionZone)*($C436=CustomerType)*($D436=tariffL2)*($F$5=Description),valuesPY)*_xlfn.XLOOKUP(1,($B436=DistributionZone)*($C436=CustomerType)*($D436=tariffL2)*($E436=tariffType)*("Usage proportion"=Description),valuesFY)</f>
        <v>7881.0814731270493</v>
      </c>
      <c r="G436" s="570" t="s">
        <v>71</v>
      </c>
      <c r="H436" s="574"/>
      <c r="I436" s="574" cm="1">
        <f t="array" ref="I436">IFERROR(_xlfn.XLOOKUP(1,($B436=DistributionZone)*($I$5=Desc_FixedOrVar)*($G436=Description),valuesPY),0)</f>
        <v>0</v>
      </c>
      <c r="J436" s="574">
        <f t="shared" si="219"/>
        <v>0</v>
      </c>
      <c r="K436" s="575" t="str">
        <f>IFERROR(J436/J441,"")</f>
        <v/>
      </c>
      <c r="L436" s="575"/>
      <c r="M436" s="575" t="str">
        <f t="shared" si="220"/>
        <v/>
      </c>
      <c r="N436" s="576"/>
      <c r="O436" s="574"/>
      <c r="P436" s="574" cm="1">
        <f t="array" ref="P436">IFERROR(_xlfn.XLOOKUP(1,($B436=DistributionZone)*($I$5=Desc_FixedOrVar)*($G436=Description),valuesFY),0)</f>
        <v>0</v>
      </c>
      <c r="Q436" s="574">
        <f t="shared" si="221"/>
        <v>0</v>
      </c>
      <c r="R436" s="575">
        <f>IFERROR(Q436/Q441,"")</f>
        <v>0</v>
      </c>
      <c r="S436" s="575"/>
      <c r="T436" s="612"/>
      <c r="U436" s="575"/>
      <c r="V436" s="575"/>
      <c r="W436" s="575"/>
      <c r="X436" s="575"/>
      <c r="Y436" s="575"/>
      <c r="Z436" s="575"/>
      <c r="AA436" s="575"/>
      <c r="AB436" s="575"/>
      <c r="AC436" s="575"/>
      <c r="AD436" s="575"/>
      <c r="AE436" s="575"/>
      <c r="AF436" s="575"/>
      <c r="AG436" s="575"/>
      <c r="AH436" s="575"/>
      <c r="AI436" s="575"/>
      <c r="AJ436" s="575"/>
    </row>
    <row r="437" spans="2:36" s="570" customFormat="1" x14ac:dyDescent="0.35">
      <c r="B437" s="570" t="str">
        <f t="shared" si="206"/>
        <v>Energex</v>
      </c>
      <c r="C437" s="570" t="str">
        <f t="shared" si="207"/>
        <v>Small business</v>
      </c>
      <c r="D437" s="570" t="str">
        <f t="shared" si="208"/>
        <v>time of use</v>
      </c>
      <c r="E437" s="570" t="s">
        <v>283</v>
      </c>
      <c r="F437" s="485" cm="1">
        <f t="array" ref="F437">_xlfn.XLOOKUP(1,($B437=DistributionZone)*($C437=CustomerType)*($D437=tariffL2)*($F$5=Description),valuesPY)*_xlfn.XLOOKUP(1,($B437=DistributionZone)*($C437=CustomerType)*($D437=tariffL2)*($E437=tariffType)*("Usage proportion"=Description),valuesFY)</f>
        <v>7881.0814731270493</v>
      </c>
      <c r="G437" s="570" t="s">
        <v>173</v>
      </c>
      <c r="H437" s="574"/>
      <c r="I437" s="574" cm="1">
        <f t="array" ref="I437">IFERROR(_xlfn.XLOOKUP(1,($B437=DistributionZone)*($I$5=Desc_FixedOrVar)*($G437=Description),valuesPY),0)</f>
        <v>0</v>
      </c>
      <c r="J437" s="574">
        <f t="shared" si="219"/>
        <v>0</v>
      </c>
      <c r="K437" s="575" t="str">
        <f>IFERROR(J437/J441,"")</f>
        <v/>
      </c>
      <c r="L437" s="575"/>
      <c r="M437" s="575" t="str">
        <f t="shared" si="220"/>
        <v/>
      </c>
      <c r="N437" s="576"/>
      <c r="O437" s="574"/>
      <c r="P437" s="574" cm="1">
        <f t="array" ref="P437">IFERROR(_xlfn.XLOOKUP(1,($B437=DistributionZone)*($I$5=Desc_FixedOrVar)*($G437=Description),valuesFY),0)</f>
        <v>0</v>
      </c>
      <c r="Q437" s="574">
        <f t="shared" si="221"/>
        <v>0</v>
      </c>
      <c r="R437" s="575">
        <f>IFERROR(Q437/Q441,"")</f>
        <v>0</v>
      </c>
      <c r="S437" s="575"/>
      <c r="T437" s="612"/>
      <c r="U437" s="575"/>
      <c r="V437" s="575"/>
      <c r="W437" s="575"/>
      <c r="X437" s="575"/>
      <c r="Y437" s="575"/>
      <c r="Z437" s="575"/>
      <c r="AA437" s="575"/>
      <c r="AB437" s="575"/>
      <c r="AC437" s="575"/>
      <c r="AD437" s="575"/>
      <c r="AE437" s="575"/>
      <c r="AF437" s="575"/>
      <c r="AG437" s="575"/>
      <c r="AH437" s="575"/>
      <c r="AI437" s="575"/>
      <c r="AJ437" s="575"/>
    </row>
    <row r="438" spans="2:36" s="570" customFormat="1" x14ac:dyDescent="0.35">
      <c r="B438" s="570" t="str">
        <f t="shared" si="206"/>
        <v>Energex</v>
      </c>
      <c r="C438" s="570" t="str">
        <f t="shared" si="207"/>
        <v>Small business</v>
      </c>
      <c r="D438" s="570" t="str">
        <f t="shared" si="208"/>
        <v>time of use</v>
      </c>
      <c r="E438" s="570" t="s">
        <v>283</v>
      </c>
      <c r="F438" s="485" cm="1">
        <f t="array" ref="F438">_xlfn.XLOOKUP(1,($B438=DistributionZone)*($C438=CustomerType)*($D438=tariffL2)*($F$5=Description),valuesPY)*_xlfn.XLOOKUP(1,($B438=DistributionZone)*($C438=CustomerType)*($D438=tariffL2)*($E438=tariffType)*("Usage proportion"=Description),valuesFY)</f>
        <v>7881.0814731270493</v>
      </c>
      <c r="G438" s="570" t="s">
        <v>130</v>
      </c>
      <c r="H438" s="574"/>
      <c r="I438" s="574" cm="1">
        <f t="array" ref="I438">IFERROR(_xlfn.XLOOKUP(1,($B438=DistributionZone)*($I$5=Desc_FixedOrVar)*($G438=Description),valuesPY),0)</f>
        <v>3.27335932679709</v>
      </c>
      <c r="J438" s="574">
        <f t="shared" si="219"/>
        <v>25.797611545308175</v>
      </c>
      <c r="K438" s="575" t="str">
        <f>IFERROR(J438/J441,"")</f>
        <v/>
      </c>
      <c r="L438" s="575"/>
      <c r="M438" s="575">
        <f t="shared" si="220"/>
        <v>-0.17833877323131708</v>
      </c>
      <c r="N438" s="576"/>
      <c r="O438" s="574"/>
      <c r="P438" s="574" cm="1">
        <f t="array" ref="P438">IFERROR(_xlfn.XLOOKUP(1,($B438=DistributionZone)*($I$5=Desc_FixedOrVar)*($G438=Description),valuesFY),0)</f>
        <v>2.6895924401108067</v>
      </c>
      <c r="Q438" s="574">
        <f t="shared" si="221"/>
        <v>21.196897150019854</v>
      </c>
      <c r="R438" s="575">
        <f>IFERROR(Q438/Q441,"")</f>
        <v>1.8403172649136934E-2</v>
      </c>
      <c r="S438" s="575"/>
      <c r="T438" s="612"/>
      <c r="U438" s="575"/>
      <c r="V438" s="575"/>
      <c r="W438" s="575"/>
      <c r="X438" s="575"/>
      <c r="Y438" s="575"/>
      <c r="Z438" s="575"/>
      <c r="AA438" s="575"/>
      <c r="AB438" s="575"/>
      <c r="AC438" s="575"/>
      <c r="AD438" s="575"/>
      <c r="AE438" s="575"/>
      <c r="AF438" s="575"/>
      <c r="AG438" s="575"/>
      <c r="AH438" s="575"/>
      <c r="AI438" s="575"/>
      <c r="AJ438" s="575"/>
    </row>
    <row r="439" spans="2:36" s="570" customFormat="1" x14ac:dyDescent="0.35">
      <c r="B439" s="570" t="str">
        <f t="shared" si="206"/>
        <v>Energex</v>
      </c>
      <c r="C439" s="570" t="str">
        <f t="shared" si="207"/>
        <v>Small business</v>
      </c>
      <c r="D439" s="570" t="str">
        <f t="shared" si="208"/>
        <v>time of use</v>
      </c>
      <c r="E439" s="570" t="s">
        <v>283</v>
      </c>
      <c r="F439" s="485" cm="1">
        <f t="array" ref="F439">_xlfn.XLOOKUP(1,($B439=DistributionZone)*($C439=CustomerType)*($D439=tariffL2)*($F$5=Description),valuesPY)*_xlfn.XLOOKUP(1,($B439=DistributionZone)*($C439=CustomerType)*($D439=tariffL2)*($E439=tariffType)*("Usage proportion"=Description),valuesFY)</f>
        <v>7881.0814731270493</v>
      </c>
      <c r="G439" s="570" t="s">
        <v>302</v>
      </c>
      <c r="H439" s="574"/>
      <c r="I439" s="574"/>
      <c r="J439" s="574"/>
      <c r="K439" s="575"/>
      <c r="L439" s="575"/>
      <c r="M439" s="575"/>
      <c r="N439" s="576"/>
      <c r="O439" s="574"/>
      <c r="P439" s="574" cm="1">
        <f t="array" ref="P439">IFERROR(_xlfn.XLOOKUP(1,($B439=DistributionZone)*($P$5=Desc_FixedOrVar)*($D439=tariffL2)*($G439=Description),valuesFY),0)</f>
        <v>0.99299999999999788</v>
      </c>
      <c r="Q439" s="574">
        <f t="shared" ref="Q439" si="222">IF(AND(O439="",P439=""),"",O439+P439*$F439/1000)</f>
        <v>7.8259139028151434</v>
      </c>
      <c r="R439" s="575">
        <f>IFERROR(Q439/Q441,"")</f>
        <v>6.7944682503048911E-3</v>
      </c>
      <c r="S439" s="575"/>
      <c r="T439" s="612"/>
      <c r="U439" s="575"/>
      <c r="V439" s="575"/>
      <c r="W439" s="575"/>
      <c r="X439" s="575"/>
      <c r="Y439" s="575"/>
      <c r="Z439" s="575"/>
      <c r="AA439" s="575"/>
      <c r="AB439" s="575"/>
      <c r="AC439" s="575"/>
      <c r="AD439" s="575"/>
      <c r="AE439" s="575"/>
      <c r="AF439" s="575"/>
      <c r="AG439" s="575"/>
      <c r="AH439" s="575"/>
      <c r="AI439" s="575"/>
      <c r="AJ439" s="575"/>
    </row>
    <row r="440" spans="2:36" s="570" customFormat="1" x14ac:dyDescent="0.35">
      <c r="B440" s="570" t="str">
        <f>B438</f>
        <v>Energex</v>
      </c>
      <c r="C440" s="570" t="str">
        <f>C438</f>
        <v>Small business</v>
      </c>
      <c r="D440" s="570" t="str">
        <f>D438</f>
        <v>time of use</v>
      </c>
      <c r="E440" s="570" t="s">
        <v>283</v>
      </c>
      <c r="F440" s="485" cm="1">
        <f t="array" ref="F440">_xlfn.XLOOKUP(1,($B440=DistributionZone)*($C440=CustomerType)*($D440=tariffL2)*($F$5=Description),valuesPY)*_xlfn.XLOOKUP(1,($B440=DistributionZone)*($C440=CustomerType)*($D440=tariffL2)*($E440=tariffType)*("Usage proportion"=Description),valuesFY)</f>
        <v>7881.0814731270493</v>
      </c>
      <c r="G440" s="570" t="s">
        <v>72</v>
      </c>
      <c r="H440" s="574"/>
      <c r="I440" s="574" cm="1">
        <f t="array" ref="I440">IFERROR(_xlfn.XLOOKUP(1,($B440=DistributionZone)*($C440=CustomerType)*("Losses"=Description),valuesPY),0)*SUM(I433:I438)</f>
        <v>0</v>
      </c>
      <c r="J440" s="574">
        <f>IF(AND(H440="",I440=""),"",H440+I440*F440/1000)</f>
        <v>0</v>
      </c>
      <c r="K440" s="575" t="str">
        <f>IFERROR(J440/J441,"")</f>
        <v/>
      </c>
      <c r="L440" s="575"/>
      <c r="M440" s="575" t="str">
        <f t="shared" si="220"/>
        <v/>
      </c>
      <c r="N440" s="576"/>
      <c r="O440" s="574"/>
      <c r="P440" s="574" cm="1">
        <f t="array" ref="P440">IFERROR(_xlfn.XLOOKUP(1,($B440=DistributionZone)*($C440=CustomerType)*("Losses"=Description)*($D440=tariffType)*($P$5=Desc_FixedOrVar),valuesFY),0)*SUM(P433:P439)</f>
        <v>8.0540156355121741</v>
      </c>
      <c r="Q440" s="574">
        <f t="shared" si="221"/>
        <v>63.474353409310581</v>
      </c>
      <c r="R440" s="575">
        <f>IFERROR(Q440/Q441,"")</f>
        <v>5.5108513114750006E-2</v>
      </c>
      <c r="S440" s="575"/>
      <c r="T440" s="612"/>
      <c r="U440" s="575"/>
      <c r="V440" s="575"/>
      <c r="W440" s="575"/>
      <c r="X440" s="575"/>
      <c r="Y440" s="575"/>
      <c r="Z440" s="575"/>
      <c r="AA440" s="575"/>
      <c r="AB440" s="575"/>
      <c r="AC440" s="575"/>
      <c r="AD440" s="575"/>
      <c r="AE440" s="575"/>
      <c r="AF440" s="575"/>
      <c r="AG440" s="575"/>
      <c r="AH440" s="575"/>
      <c r="AI440" s="575"/>
      <c r="AJ440" s="575"/>
    </row>
    <row r="441" spans="2:36" s="570" customFormat="1" x14ac:dyDescent="0.35">
      <c r="B441" s="570" t="str">
        <f t="shared" si="206"/>
        <v>Energex</v>
      </c>
      <c r="C441" s="570" t="str">
        <f t="shared" si="207"/>
        <v>Small business</v>
      </c>
      <c r="D441" s="570" t="str">
        <f t="shared" si="208"/>
        <v>time of use</v>
      </c>
      <c r="E441" s="570" t="s">
        <v>283</v>
      </c>
      <c r="F441" s="485"/>
      <c r="G441" s="571" t="s">
        <v>55</v>
      </c>
      <c r="H441" s="574"/>
      <c r="I441" s="577">
        <f>IF($H$3=PY,0,SUM(I433:I440))</f>
        <v>0</v>
      </c>
      <c r="J441" s="577">
        <f>IF($H$3=PY,0,SUM(J433:J440))</f>
        <v>0</v>
      </c>
      <c r="K441" s="578"/>
      <c r="L441" s="578"/>
      <c r="M441" s="578"/>
      <c r="N441" s="624"/>
      <c r="O441" s="577"/>
      <c r="P441" s="577">
        <f>SUM(P433:P440)</f>
        <v>146.14830232747624</v>
      </c>
      <c r="Q441" s="577">
        <f>SUM(Q433:Q440)</f>
        <v>1151.8066778020441</v>
      </c>
      <c r="R441" s="575"/>
      <c r="S441" s="575"/>
      <c r="T441" s="612"/>
      <c r="U441" s="575"/>
      <c r="V441" s="575"/>
      <c r="W441" s="575"/>
      <c r="X441" s="575"/>
      <c r="Y441" s="575"/>
      <c r="Z441" s="575"/>
      <c r="AA441" s="575"/>
      <c r="AB441" s="575"/>
      <c r="AC441" s="575"/>
      <c r="AD441" s="575"/>
      <c r="AE441" s="575"/>
      <c r="AF441" s="575"/>
      <c r="AG441" s="575"/>
      <c r="AH441" s="575"/>
      <c r="AI441" s="575"/>
      <c r="AJ441" s="575"/>
    </row>
    <row r="442" spans="2:36" s="570" customFormat="1" x14ac:dyDescent="0.35">
      <c r="B442" s="570" t="str">
        <f t="shared" si="206"/>
        <v>Energex</v>
      </c>
      <c r="C442" s="570" t="str">
        <f t="shared" si="207"/>
        <v>Small business</v>
      </c>
      <c r="D442" s="570" t="str">
        <f t="shared" si="208"/>
        <v>time of use</v>
      </c>
      <c r="E442" s="570" t="s">
        <v>272</v>
      </c>
      <c r="F442" s="485" cm="1">
        <f t="array" ref="F442">_xlfn.XLOOKUP(1,($B442=DistributionZone)*(C$196=CustomerType)*($D442=tariffL2)*($F$5=Description),valuesFY)</f>
        <v>10000</v>
      </c>
      <c r="G442" s="571" t="s">
        <v>55</v>
      </c>
      <c r="H442" s="577">
        <f>IF($H$3=PY,0,SUM(H433:H440,H424:H431,H415:H422))</f>
        <v>0</v>
      </c>
      <c r="I442" s="577"/>
      <c r="J442" s="577">
        <f>SUM(J423,J432,J441)</f>
        <v>0</v>
      </c>
      <c r="K442" s="578"/>
      <c r="L442" s="579"/>
      <c r="M442" s="578" t="str">
        <f>IF(OR(J442=0,Q442=""),"",Q442/J442-1)</f>
        <v/>
      </c>
      <c r="N442" s="580"/>
      <c r="O442" s="577">
        <f>SUM(O415:O440)</f>
        <v>13.125399999999999</v>
      </c>
      <c r="P442" s="577"/>
      <c r="Q442" s="577">
        <f>SUM(Q423,Q432,Q441)</f>
        <v>1417.5049541556793</v>
      </c>
      <c r="R442" s="578"/>
      <c r="S442" s="578"/>
      <c r="T442" s="621"/>
      <c r="U442" s="578"/>
      <c r="V442" s="578"/>
      <c r="W442" s="578"/>
      <c r="X442" s="578"/>
      <c r="Y442" s="578"/>
      <c r="Z442" s="578"/>
      <c r="AA442" s="578"/>
      <c r="AB442" s="578"/>
      <c r="AC442" s="578"/>
      <c r="AD442" s="578"/>
      <c r="AE442" s="578"/>
      <c r="AF442" s="578"/>
      <c r="AG442" s="578"/>
      <c r="AH442" s="578"/>
      <c r="AI442" s="578"/>
      <c r="AJ442" s="578"/>
    </row>
    <row r="443" spans="2:36" s="570" customFormat="1" x14ac:dyDescent="0.35">
      <c r="B443" s="570" t="str">
        <f t="shared" si="206"/>
        <v>Energex</v>
      </c>
      <c r="C443" s="570" t="str">
        <f t="shared" si="207"/>
        <v>Small business</v>
      </c>
      <c r="D443" s="570" t="str">
        <f t="shared" si="208"/>
        <v>time of use</v>
      </c>
      <c r="F443" s="485"/>
      <c r="G443" s="570" t="s">
        <v>38</v>
      </c>
      <c r="H443" s="574"/>
      <c r="I443" s="574"/>
      <c r="J443" s="574">
        <f>J442*GST</f>
        <v>0</v>
      </c>
      <c r="K443" s="575"/>
      <c r="L443" s="581"/>
      <c r="M443" s="575"/>
      <c r="N443" s="582"/>
      <c r="O443" s="574"/>
      <c r="P443" s="574"/>
      <c r="Q443" s="574">
        <f>Q442*GST</f>
        <v>141.75049541556794</v>
      </c>
      <c r="R443" s="578"/>
      <c r="S443" s="578"/>
      <c r="T443" s="621"/>
      <c r="U443" s="578"/>
      <c r="V443" s="578"/>
      <c r="W443" s="578"/>
      <c r="X443" s="578"/>
      <c r="Y443" s="578"/>
      <c r="Z443" s="578"/>
      <c r="AA443" s="578"/>
      <c r="AB443" s="578"/>
      <c r="AC443" s="578"/>
      <c r="AD443" s="578"/>
      <c r="AE443" s="578"/>
      <c r="AF443" s="578"/>
      <c r="AG443" s="578"/>
      <c r="AH443" s="578"/>
      <c r="AI443" s="578"/>
      <c r="AJ443" s="578"/>
    </row>
    <row r="444" spans="2:36" s="570" customFormat="1" x14ac:dyDescent="0.35">
      <c r="B444" s="570" t="str">
        <f t="shared" si="206"/>
        <v>Energex</v>
      </c>
      <c r="C444" s="570" t="str">
        <f t="shared" si="207"/>
        <v>Small business</v>
      </c>
      <c r="D444" s="570" t="str">
        <f t="shared" si="208"/>
        <v>time of use</v>
      </c>
      <c r="E444" s="570" t="s">
        <v>272</v>
      </c>
      <c r="F444" s="485"/>
      <c r="G444" s="571" t="s">
        <v>79</v>
      </c>
      <c r="H444" s="577"/>
      <c r="I444" s="577"/>
      <c r="J444" s="577">
        <f>SUM(J442:J443)</f>
        <v>0</v>
      </c>
      <c r="K444" s="578"/>
      <c r="L444" s="579"/>
      <c r="M444" s="578" t="str">
        <f>IF(OR(J444=0,Q444=""),"",Q444/J444-1)</f>
        <v/>
      </c>
      <c r="N444" s="580"/>
      <c r="O444" s="577"/>
      <c r="P444" s="574"/>
      <c r="Q444" s="577">
        <f>SUM(Q442:Q443)</f>
        <v>1559.2554495712473</v>
      </c>
      <c r="R444" s="578"/>
      <c r="S444" s="578"/>
      <c r="T444" s="621"/>
      <c r="U444" s="578"/>
      <c r="V444" s="578"/>
      <c r="W444" s="578"/>
      <c r="X444" s="578"/>
      <c r="Y444" s="578"/>
      <c r="Z444" s="578"/>
      <c r="AA444" s="578"/>
      <c r="AB444" s="578"/>
      <c r="AC444" s="578"/>
      <c r="AD444" s="578"/>
      <c r="AE444" s="578"/>
      <c r="AF444" s="578"/>
      <c r="AG444" s="578"/>
      <c r="AH444" s="578"/>
      <c r="AI444" s="578"/>
      <c r="AJ444" s="578"/>
    </row>
    <row r="445" spans="2:36" x14ac:dyDescent="0.35">
      <c r="F445" s="30"/>
      <c r="H445" s="30"/>
      <c r="I445" s="30"/>
      <c r="J445" s="30"/>
      <c r="K445" s="30"/>
      <c r="L445" s="30"/>
      <c r="M445" s="30"/>
      <c r="N445" s="30"/>
      <c r="O445" s="30"/>
      <c r="P445" s="30"/>
      <c r="Q445" s="30"/>
      <c r="R445" s="30"/>
      <c r="S445" s="30"/>
      <c r="U445" s="30"/>
      <c r="V445" s="30"/>
      <c r="W445" s="30"/>
      <c r="X445" s="30"/>
      <c r="Y445" s="30"/>
      <c r="Z445" s="30"/>
      <c r="AA445" s="30"/>
      <c r="AB445" s="30"/>
      <c r="AC445" s="30"/>
      <c r="AD445" s="30"/>
      <c r="AE445" s="30"/>
      <c r="AF445" s="30"/>
      <c r="AG445" s="30"/>
      <c r="AH445" s="30"/>
      <c r="AI445" s="30"/>
      <c r="AJ445" s="30"/>
    </row>
    <row r="446" spans="2:36" x14ac:dyDescent="0.35">
      <c r="B446" s="64" t="s">
        <v>5</v>
      </c>
      <c r="C446" s="64" t="s">
        <v>6</v>
      </c>
      <c r="D446" s="64" t="s">
        <v>276</v>
      </c>
      <c r="F446" s="258"/>
      <c r="H446" s="482"/>
      <c r="I446" s="482"/>
      <c r="J446" s="482"/>
      <c r="K446" s="484"/>
      <c r="L446" s="567"/>
      <c r="M446" s="484"/>
      <c r="N446" s="568"/>
      <c r="O446" s="482"/>
      <c r="P446" s="482"/>
      <c r="Q446" s="482"/>
      <c r="R446" s="484"/>
      <c r="S446" s="779"/>
      <c r="T446" s="607"/>
      <c r="U446" s="484"/>
      <c r="V446" s="484"/>
      <c r="W446" s="484"/>
      <c r="X446" s="484"/>
      <c r="Y446" s="484"/>
      <c r="Z446" s="484"/>
      <c r="AA446" s="484"/>
      <c r="AB446" s="484"/>
      <c r="AC446" s="484"/>
      <c r="AD446" s="484"/>
      <c r="AE446" s="484"/>
      <c r="AF446" s="484"/>
      <c r="AG446" s="484"/>
      <c r="AH446" s="484"/>
      <c r="AI446" s="484"/>
      <c r="AJ446" s="484"/>
    </row>
    <row r="447" spans="2:36" x14ac:dyDescent="0.35">
      <c r="B447" s="30" t="str">
        <f t="shared" ref="B447:B458" si="223">B446</f>
        <v>SAPN</v>
      </c>
      <c r="C447" s="30" t="str">
        <f t="shared" ref="C447:C458" si="224">C446</f>
        <v>Residential</v>
      </c>
      <c r="D447" s="30" t="str">
        <f t="shared" ref="D447:D458" si="225">D446</f>
        <v>flat rate</v>
      </c>
      <c r="E447" s="30" t="s">
        <v>19</v>
      </c>
      <c r="F447" s="258" cm="1">
        <f t="array" ref="F447">_xlfn.XLOOKUP(1,($B447=DistributionZone)*($C447=CustomerType)*($D447=tariffL2)*($F$5=Description)*(E447=tariffType),valuesFY)</f>
        <v>4000</v>
      </c>
      <c r="G447" s="30" t="s">
        <v>69</v>
      </c>
      <c r="H447" s="482"/>
      <c r="I447" s="482" cm="1">
        <f t="array" ref="I447">IFERROR(_xlfn.XLOOKUP(1,($B447=DistributionZone)*($C447=CustomerType)*($E447=tariffType)*($G447=Description),valuesPY),0)</f>
        <v>168.155</v>
      </c>
      <c r="J447" s="482">
        <f t="shared" ref="J447:J452" si="226">H447+I447*F447/1000</f>
        <v>672.62</v>
      </c>
      <c r="K447" s="484">
        <f>IFERROR(J447/J456,"")</f>
        <v>0.86153076535916939</v>
      </c>
      <c r="L447" s="484"/>
      <c r="M447" s="484">
        <f t="shared" ref="M447:M452" si="227">IF(OR(J447=0,Q447=""),"",Q447/J447-1)</f>
        <v>-8.8460051737979883E-2</v>
      </c>
      <c r="N447" s="563"/>
      <c r="O447" s="482"/>
      <c r="P447" s="482" cm="1">
        <f t="array" ref="P447">IFERROR(_xlfn.XLOOKUP(1,($B447=DistributionZone)*($C447=CustomerType)*($E447=tariffType)*($G447=Description),valuesFY),0)</f>
        <v>153.28</v>
      </c>
      <c r="Q447" s="482">
        <f t="shared" ref="Q447:Q452" si="228">O447+P447*$F447/1000</f>
        <v>613.12</v>
      </c>
      <c r="R447" s="484">
        <f>IFERROR(Q447/Q456,"")</f>
        <v>0.80022356758720758</v>
      </c>
      <c r="S447" s="483"/>
      <c r="T447" s="482"/>
      <c r="U447" s="484"/>
      <c r="V447" s="484"/>
      <c r="W447" s="484"/>
      <c r="X447" s="484"/>
      <c r="Y447" s="484"/>
      <c r="Z447" s="484"/>
      <c r="AA447" s="484"/>
      <c r="AB447" s="484"/>
      <c r="AC447" s="484"/>
      <c r="AD447" s="484"/>
      <c r="AE447" s="484"/>
      <c r="AF447" s="484"/>
      <c r="AG447" s="484"/>
      <c r="AH447" s="484"/>
      <c r="AI447" s="484"/>
      <c r="AJ447" s="484"/>
    </row>
    <row r="448" spans="2:36" x14ac:dyDescent="0.35">
      <c r="B448" s="30" t="str">
        <f t="shared" si="223"/>
        <v>SAPN</v>
      </c>
      <c r="C448" s="30" t="str">
        <f t="shared" si="224"/>
        <v>Residential</v>
      </c>
      <c r="D448" s="30" t="str">
        <f t="shared" si="225"/>
        <v>flat rate</v>
      </c>
      <c r="E448" s="30" t="s">
        <v>19</v>
      </c>
      <c r="F448" s="258">
        <f t="shared" ref="F448:F456" si="229">F447</f>
        <v>4000</v>
      </c>
      <c r="G448" s="30" t="s">
        <v>70</v>
      </c>
      <c r="H448" s="482"/>
      <c r="I448" s="482" cm="1">
        <f t="array" ref="I448">IFERROR(_xlfn.XLOOKUP(1,($B448=DistributionZone)*(I$5=Desc_FixedOrVar)*($G448=Description),valuesPY),0)</f>
        <v>0.58531011875289041</v>
      </c>
      <c r="J448" s="482">
        <f t="shared" si="226"/>
        <v>2.3412404750115616</v>
      </c>
      <c r="K448" s="484">
        <f>IFERROR(J448/J456,"")</f>
        <v>2.9987967921360887E-3</v>
      </c>
      <c r="L448" s="484"/>
      <c r="M448" s="484">
        <f t="shared" si="227"/>
        <v>13.21498237394588</v>
      </c>
      <c r="N448" s="563"/>
      <c r="O448" s="482"/>
      <c r="P448" s="482" cm="1">
        <f t="array" ref="P448">IFERROR(_xlfn.XLOOKUP(1,($B448=DistributionZone)*(P$5=Desc_FixedOrVar)*($G448=Description),valuesFY),0)</f>
        <v>8.3201730213645071</v>
      </c>
      <c r="Q448" s="482">
        <f t="shared" si="228"/>
        <v>33.280692085458028</v>
      </c>
      <c r="R448" s="484">
        <f>IFERROR(Q448/Q456,"")</f>
        <v>4.3436838061711523E-2</v>
      </c>
      <c r="S448" s="483"/>
      <c r="T448" s="607"/>
      <c r="U448" s="484"/>
      <c r="V448" s="484"/>
      <c r="W448" s="484"/>
      <c r="X448" s="484"/>
      <c r="Y448" s="484"/>
      <c r="Z448" s="484"/>
      <c r="AA448" s="484"/>
      <c r="AB448" s="484"/>
      <c r="AC448" s="484"/>
      <c r="AD448" s="484"/>
      <c r="AE448" s="484"/>
      <c r="AF448" s="484"/>
      <c r="AG448" s="484"/>
      <c r="AH448" s="484"/>
      <c r="AI448" s="484"/>
      <c r="AJ448" s="484"/>
    </row>
    <row r="449" spans="2:36" x14ac:dyDescent="0.35">
      <c r="B449" s="30" t="str">
        <f t="shared" si="223"/>
        <v>SAPN</v>
      </c>
      <c r="C449" s="30" t="str">
        <f t="shared" si="224"/>
        <v>Residential</v>
      </c>
      <c r="D449" s="30" t="str">
        <f t="shared" si="225"/>
        <v>flat rate</v>
      </c>
      <c r="E449" s="30" t="s">
        <v>19</v>
      </c>
      <c r="F449" s="258">
        <f t="shared" si="229"/>
        <v>4000</v>
      </c>
      <c r="G449" s="30" t="s">
        <v>77</v>
      </c>
      <c r="H449" s="482" cm="1">
        <f t="array" ref="H449">IFERROR(_xlfn.XLOOKUP(1,($B449=DistributionZone)*(H$5=Desc_FixedOrVar)*($G449=Description),valuesPY),0)*Days/7</f>
        <v>13.835244134497829</v>
      </c>
      <c r="I449" s="482" cm="1">
        <f t="array" ref="I449">IFERROR(_xlfn.XLOOKUP(1,($B449=DistributionZone)*(I$5=Desc_FixedOrVar)*($G449=Description),valuesPY),0)</f>
        <v>0.57443</v>
      </c>
      <c r="J449" s="482">
        <f t="shared" si="226"/>
        <v>16.132964134497829</v>
      </c>
      <c r="K449" s="484">
        <f>IFERROR(J449/J456,"")</f>
        <v>2.06640375521185E-2</v>
      </c>
      <c r="L449" s="484"/>
      <c r="M449" s="484">
        <f t="shared" si="227"/>
        <v>-5.7643724162830479E-2</v>
      </c>
      <c r="N449" s="563"/>
      <c r="O449" s="482" cm="1">
        <f t="array" ref="O449">IFERROR(_xlfn.XLOOKUP(1,($B449=DistributionZone)*(O$5=Desc_FixedOrVar)*($G449=Description),valuesFY),0)*Days/7</f>
        <v>13.125399999999999</v>
      </c>
      <c r="P449" s="482" cm="1">
        <f t="array" ref="P449">IFERROR(_xlfn.XLOOKUP(1,($B449=DistributionZone)*(P$5=Desc_FixedOrVar)*($G449=Description),valuesFY),0)</f>
        <v>0.51939999999999997</v>
      </c>
      <c r="Q449" s="482">
        <f t="shared" si="228"/>
        <v>15.202999999999999</v>
      </c>
      <c r="R449" s="484">
        <f>IFERROR(Q449/Q456,"")</f>
        <v>1.9842443401011739E-2</v>
      </c>
      <c r="S449" s="778"/>
      <c r="T449" s="777"/>
      <c r="U449" s="484"/>
      <c r="V449" s="484"/>
      <c r="W449" s="484"/>
      <c r="X449" s="484"/>
      <c r="Y449" s="484"/>
      <c r="Z449" s="484"/>
      <c r="AA449" s="484"/>
      <c r="AB449" s="484"/>
      <c r="AC449" s="484"/>
      <c r="AD449" s="484"/>
      <c r="AE449" s="484"/>
      <c r="AF449" s="484"/>
      <c r="AG449" s="484"/>
      <c r="AH449" s="484"/>
      <c r="AI449" s="484"/>
      <c r="AJ449" s="484"/>
    </row>
    <row r="450" spans="2:36" x14ac:dyDescent="0.35">
      <c r="B450" s="30" t="str">
        <f t="shared" si="223"/>
        <v>SAPN</v>
      </c>
      <c r="C450" s="30" t="str">
        <f t="shared" si="224"/>
        <v>Residential</v>
      </c>
      <c r="D450" s="30" t="str">
        <f t="shared" si="225"/>
        <v>flat rate</v>
      </c>
      <c r="E450" s="30" t="s">
        <v>19</v>
      </c>
      <c r="F450" s="258">
        <f t="shared" si="229"/>
        <v>4000</v>
      </c>
      <c r="G450" s="30" t="s">
        <v>71</v>
      </c>
      <c r="H450" s="482"/>
      <c r="I450" s="482" cm="1">
        <f t="array" ref="I450">IFERROR(_xlfn.XLOOKUP(1,($B450=DistributionZone)*(I$5=Desc_FixedOrVar)*($G450=Description),valuesPY),0)</f>
        <v>6.7563101629320773E-3</v>
      </c>
      <c r="J450" s="482">
        <f t="shared" si="226"/>
        <v>2.7025240651728309E-2</v>
      </c>
      <c r="K450" s="484">
        <f>IFERROR(J450/J456,"")</f>
        <v>3.4615497996936203E-5</v>
      </c>
      <c r="L450" s="484"/>
      <c r="M450" s="484">
        <f t="shared" si="227"/>
        <v>151.47675540987953</v>
      </c>
      <c r="N450" s="563"/>
      <c r="O450" s="482"/>
      <c r="P450" s="482" cm="1">
        <f t="array" ref="P450">IFERROR(_xlfn.XLOOKUP(1,($B450=DistributionZone)*(P$5=Desc_FixedOrVar)*($G450=Description),valuesFY),0)</f>
        <v>1.0301802521866776</v>
      </c>
      <c r="Q450" s="482">
        <f t="shared" si="228"/>
        <v>4.1207210087467105</v>
      </c>
      <c r="R450" s="484">
        <f>IFERROR(Q450/Q456,"")</f>
        <v>5.3782262308371114E-3</v>
      </c>
      <c r="S450" s="483"/>
      <c r="T450" s="607"/>
      <c r="U450" s="484"/>
      <c r="V450" s="484"/>
      <c r="W450" s="484"/>
      <c r="X450" s="484"/>
      <c r="Y450" s="484"/>
      <c r="Z450" s="484"/>
      <c r="AA450" s="484"/>
      <c r="AB450" s="484"/>
      <c r="AC450" s="484"/>
      <c r="AD450" s="484"/>
      <c r="AE450" s="484"/>
      <c r="AF450" s="484"/>
      <c r="AG450" s="484"/>
      <c r="AH450" s="484"/>
      <c r="AI450" s="484"/>
      <c r="AJ450" s="484"/>
    </row>
    <row r="451" spans="2:36" x14ac:dyDescent="0.35">
      <c r="B451" s="30" t="str">
        <f t="shared" si="223"/>
        <v>SAPN</v>
      </c>
      <c r="C451" s="30" t="str">
        <f t="shared" si="224"/>
        <v>Residential</v>
      </c>
      <c r="D451" s="30" t="str">
        <f t="shared" si="225"/>
        <v>flat rate</v>
      </c>
      <c r="E451" s="30" t="s">
        <v>19</v>
      </c>
      <c r="F451" s="258">
        <f t="shared" si="229"/>
        <v>4000</v>
      </c>
      <c r="G451" s="30" t="s">
        <v>173</v>
      </c>
      <c r="H451" s="482"/>
      <c r="I451" s="482" cm="1">
        <f t="array" ref="I451">IFERROR(_xlfn.XLOOKUP(1,($B451=DistributionZone)*(I$5=Desc_FixedOrVar)*($G451=Description),valuesPY),0)</f>
        <v>5.0625427163511004E-2</v>
      </c>
      <c r="J451" s="482">
        <f t="shared" si="226"/>
        <v>0.20250170865404402</v>
      </c>
      <c r="K451" s="484">
        <f>IFERROR(J451/J456,"")</f>
        <v>2.5937595082402851E-4</v>
      </c>
      <c r="L451" s="484"/>
      <c r="M451" s="484">
        <f t="shared" si="227"/>
        <v>-1</v>
      </c>
      <c r="N451" s="563"/>
      <c r="O451" s="482"/>
      <c r="P451" s="482" cm="1">
        <f t="array" ref="P451">IFERROR(_xlfn.XLOOKUP(1,($B451=DistributionZone)*(P$5=Desc_FixedOrVar)*($G451=Description),valuesFY),0)</f>
        <v>0</v>
      </c>
      <c r="Q451" s="482">
        <f t="shared" si="228"/>
        <v>0</v>
      </c>
      <c r="R451" s="484">
        <f>IFERROR(Q451/Q456,"")</f>
        <v>0</v>
      </c>
      <c r="S451" s="483"/>
      <c r="T451" s="607"/>
      <c r="U451" s="484"/>
      <c r="V451" s="484"/>
      <c r="W451" s="484"/>
      <c r="X451" s="484"/>
      <c r="Y451" s="484"/>
      <c r="Z451" s="484"/>
      <c r="AA451" s="484"/>
      <c r="AB451" s="484"/>
      <c r="AC451" s="484"/>
      <c r="AD451" s="484"/>
      <c r="AE451" s="484"/>
      <c r="AF451" s="484"/>
      <c r="AG451" s="484"/>
      <c r="AH451" s="484"/>
      <c r="AI451" s="484"/>
      <c r="AJ451" s="484"/>
    </row>
    <row r="452" spans="2:36" x14ac:dyDescent="0.35">
      <c r="B452" s="30" t="str">
        <f t="shared" si="223"/>
        <v>SAPN</v>
      </c>
      <c r="C452" s="30" t="str">
        <f t="shared" si="224"/>
        <v>Residential</v>
      </c>
      <c r="D452" s="30" t="str">
        <f t="shared" si="225"/>
        <v>flat rate</v>
      </c>
      <c r="E452" s="30" t="s">
        <v>19</v>
      </c>
      <c r="F452" s="258">
        <f t="shared" si="229"/>
        <v>4000</v>
      </c>
      <c r="G452" s="30" t="s">
        <v>130</v>
      </c>
      <c r="H452" s="482"/>
      <c r="I452" s="482" cm="1">
        <f t="array" ref="I452">IFERROR(_xlfn.XLOOKUP(1,($B452=DistributionZone)*(I$5=Desc_FixedOrVar)*($G452=Description),valuesPY),0)</f>
        <v>3.6927728105909479</v>
      </c>
      <c r="J452" s="482">
        <f t="shared" si="226"/>
        <v>14.771091242363791</v>
      </c>
      <c r="K452" s="484">
        <f>IFERROR(J452/J456,"")</f>
        <v>1.8919671647027743E-2</v>
      </c>
      <c r="L452" s="484"/>
      <c r="M452" s="484">
        <f t="shared" si="227"/>
        <v>-4.5781075827627915E-2</v>
      </c>
      <c r="N452" s="563"/>
      <c r="O452" s="482"/>
      <c r="P452" s="482" cm="1">
        <f t="array" ref="P452">IFERROR(_xlfn.XLOOKUP(1,($B452=DistributionZone)*(P$5=Desc_FixedOrVar)*($G452=Description),valuesFY),0)</f>
        <v>3.5237136985350812</v>
      </c>
      <c r="Q452" s="482">
        <f t="shared" si="228"/>
        <v>14.094854794140325</v>
      </c>
      <c r="R452" s="484">
        <f>IFERROR(Q452/Q456,"")</f>
        <v>1.8396129612458619E-2</v>
      </c>
      <c r="S452" s="483"/>
      <c r="T452" s="607"/>
      <c r="U452" s="484"/>
      <c r="V452" s="484"/>
      <c r="W452" s="484"/>
      <c r="X452" s="484"/>
      <c r="Y452" s="484"/>
      <c r="Z452" s="484"/>
      <c r="AA452" s="484"/>
      <c r="AB452" s="484"/>
      <c r="AC452" s="484"/>
      <c r="AD452" s="484"/>
      <c r="AE452" s="484"/>
      <c r="AF452" s="484"/>
      <c r="AG452" s="484"/>
      <c r="AH452" s="484"/>
      <c r="AI452" s="484"/>
      <c r="AJ452" s="484"/>
    </row>
    <row r="453" spans="2:36" x14ac:dyDescent="0.35">
      <c r="B453" s="30" t="str">
        <f t="shared" si="223"/>
        <v>SAPN</v>
      </c>
      <c r="C453" s="30" t="str">
        <f t="shared" si="224"/>
        <v>Residential</v>
      </c>
      <c r="D453" s="30" t="str">
        <f t="shared" si="225"/>
        <v>flat rate</v>
      </c>
      <c r="E453" s="30" t="s">
        <v>19</v>
      </c>
      <c r="F453" s="258">
        <f t="shared" si="229"/>
        <v>4000</v>
      </c>
      <c r="G453" s="30" t="s">
        <v>302</v>
      </c>
      <c r="H453" s="482"/>
      <c r="I453" s="482"/>
      <c r="J453" s="482"/>
      <c r="K453" s="484"/>
      <c r="L453" s="484"/>
      <c r="M453" s="484"/>
      <c r="N453" s="563"/>
      <c r="O453" s="482"/>
      <c r="P453" s="482" cm="1">
        <f t="array" ref="P453">IFERROR(_xlfn.XLOOKUP(1,($B453=DistributionZone)*(P$5=Desc_FixedOrVar)*($G453=Description)*($E453=tariffType),valuesFY),0)</f>
        <v>1.0139999999999987</v>
      </c>
      <c r="Q453" s="482">
        <f t="shared" ref="Q453" si="230">O453+P453*$F453/1000</f>
        <v>4.0559999999999947</v>
      </c>
      <c r="R453" s="484">
        <f>IFERROR(Q453/Q456,"")</f>
        <v>5.2937545507139054E-3</v>
      </c>
      <c r="S453" s="483"/>
      <c r="T453" s="607"/>
      <c r="U453" s="484"/>
      <c r="V453" s="484"/>
      <c r="W453" s="484"/>
      <c r="X453" s="484"/>
      <c r="Y453" s="484"/>
      <c r="Z453" s="484"/>
      <c r="AA453" s="484"/>
      <c r="AB453" s="484"/>
      <c r="AC453" s="484"/>
      <c r="AD453" s="484"/>
      <c r="AE453" s="484"/>
      <c r="AF453" s="484"/>
      <c r="AG453" s="484"/>
      <c r="AH453" s="484"/>
      <c r="AI453" s="484"/>
      <c r="AJ453" s="484"/>
    </row>
    <row r="454" spans="2:36" x14ac:dyDescent="0.35">
      <c r="B454" s="30" t="str">
        <f>B452</f>
        <v>SAPN</v>
      </c>
      <c r="C454" s="30" t="str">
        <f>C452</f>
        <v>Residential</v>
      </c>
      <c r="D454" s="30" t="str">
        <f>D452</f>
        <v>flat rate</v>
      </c>
      <c r="E454" s="30" t="s">
        <v>19</v>
      </c>
      <c r="F454" s="258">
        <f>F452</f>
        <v>4000</v>
      </c>
      <c r="G454" s="30" t="s">
        <v>157</v>
      </c>
      <c r="H454" s="482"/>
      <c r="I454" s="482" cm="1">
        <f t="array" ref="I454">IFERROR(_xlfn.XLOOKUP(1,($B454=DistributionZone)*(I$5=Desc_FixedOrVar)*($G454=Description),valuesPY),0)</f>
        <v>5.712785518640878</v>
      </c>
      <c r="J454" s="482">
        <f>H454+I454*F454/1000</f>
        <v>22.851142074563512</v>
      </c>
      <c r="K454" s="484">
        <f>IFERROR(J454/J456,"")</f>
        <v>2.9269070085382265E-2</v>
      </c>
      <c r="L454" s="484"/>
      <c r="M454" s="484">
        <f>IF(OR(J454=0,Q454=""),"",Q454/J454-1)</f>
        <v>-0.78484131590226114</v>
      </c>
      <c r="N454" s="563"/>
      <c r="O454" s="482"/>
      <c r="P454" s="482" cm="1">
        <f t="array" ref="P454">IFERROR(_xlfn.XLOOKUP(1,($B454=DistributionZone)*(P$5=Desc_FixedOrVar)*($G454=Description),valuesFY),0)</f>
        <v>1.2291554147233901</v>
      </c>
      <c r="Q454" s="482">
        <f>O454+P454*$F454/1000</f>
        <v>4.9166216588935603</v>
      </c>
      <c r="R454" s="484">
        <f>IFERROR(Q454/Q456,"")</f>
        <v>6.4170089449966401E-3</v>
      </c>
      <c r="S454" s="483"/>
      <c r="T454" s="607"/>
      <c r="U454" s="484"/>
      <c r="V454" s="484"/>
      <c r="W454" s="484"/>
      <c r="X454" s="484"/>
      <c r="Y454" s="484"/>
      <c r="Z454" s="484"/>
      <c r="AA454" s="484"/>
      <c r="AB454" s="484"/>
      <c r="AC454" s="484"/>
      <c r="AD454" s="484"/>
      <c r="AE454" s="484"/>
      <c r="AF454" s="484"/>
      <c r="AG454" s="484"/>
      <c r="AH454" s="484"/>
      <c r="AI454" s="484"/>
      <c r="AJ454" s="484"/>
    </row>
    <row r="455" spans="2:36" x14ac:dyDescent="0.35">
      <c r="B455" s="30" t="str">
        <f t="shared" si="223"/>
        <v>SAPN</v>
      </c>
      <c r="C455" s="30" t="str">
        <f t="shared" si="224"/>
        <v>Residential</v>
      </c>
      <c r="D455" s="30" t="str">
        <f t="shared" si="225"/>
        <v>flat rate</v>
      </c>
      <c r="E455" s="30" t="s">
        <v>19</v>
      </c>
      <c r="F455" s="258">
        <f t="shared" si="229"/>
        <v>4000</v>
      </c>
      <c r="G455" s="30" t="s">
        <v>72</v>
      </c>
      <c r="H455" s="482"/>
      <c r="I455" s="482" cm="1">
        <f t="array" ref="I455">IFERROR(_xlfn.XLOOKUP(1,($B455=DistributionZone)*($C455=CustomerType)*($E455=tariffType)*($G455=Description),valuesPY),0)*SUM(I447:I454)</f>
        <v>12.94516306580341</v>
      </c>
      <c r="J455" s="482">
        <f>H455+I455*F455/1000</f>
        <v>51.780652263213639</v>
      </c>
      <c r="K455" s="484">
        <f>IFERROR(J455/J456,"")</f>
        <v>6.6323667115345153E-2</v>
      </c>
      <c r="L455" s="484"/>
      <c r="M455" s="484">
        <f>IF(OR(J455=0,Q455=""),"",Q455/J455-1)</f>
        <v>0.49465078477739066</v>
      </c>
      <c r="N455" s="563"/>
      <c r="O455" s="482"/>
      <c r="P455" s="482" cm="1">
        <f t="array" ref="P455">IFERROR(_xlfn.XLOOKUP(1,($B455=DistributionZone)*($C455=CustomerType)*($E455=tariffType)*($G455=Description),valuesFY),0)*SUM(P447:P454)</f>
        <v>19.34849813537436</v>
      </c>
      <c r="Q455" s="482">
        <f>O455+P455*$F455/1000</f>
        <v>77.39399254149744</v>
      </c>
      <c r="R455" s="484">
        <f>IFERROR(Q455/Q456,"")</f>
        <v>0.10101203161106279</v>
      </c>
      <c r="S455" s="484"/>
      <c r="T455" s="607"/>
      <c r="U455" s="484"/>
      <c r="V455" s="484"/>
      <c r="W455" s="484"/>
      <c r="X455" s="484"/>
      <c r="Y455" s="484"/>
      <c r="Z455" s="484"/>
      <c r="AA455" s="484"/>
      <c r="AB455" s="484"/>
      <c r="AC455" s="484"/>
      <c r="AD455" s="484"/>
      <c r="AE455" s="484"/>
      <c r="AF455" s="484"/>
      <c r="AG455" s="484"/>
      <c r="AH455" s="484"/>
      <c r="AI455" s="484"/>
      <c r="AJ455" s="484"/>
    </row>
    <row r="456" spans="2:36" x14ac:dyDescent="0.35">
      <c r="B456" s="30" t="str">
        <f t="shared" si="223"/>
        <v>SAPN</v>
      </c>
      <c r="C456" s="30" t="str">
        <f t="shared" si="224"/>
        <v>Residential</v>
      </c>
      <c r="D456" s="30" t="str">
        <f t="shared" si="225"/>
        <v>flat rate</v>
      </c>
      <c r="E456" s="30" t="s">
        <v>19</v>
      </c>
      <c r="F456" s="258">
        <f t="shared" si="229"/>
        <v>4000</v>
      </c>
      <c r="G456" s="64" t="s">
        <v>55</v>
      </c>
      <c r="H456" s="487">
        <f>SUM(H447:H455)</f>
        <v>13.835244134497829</v>
      </c>
      <c r="I456" s="487">
        <f>SUM(I447:I455)</f>
        <v>191.72284325111457</v>
      </c>
      <c r="J456" s="487">
        <f>SUM(J447:J455)</f>
        <v>780.72661713895604</v>
      </c>
      <c r="K456" s="564"/>
      <c r="L456" s="565"/>
      <c r="M456" s="564">
        <f>IF(OR(J456=0,Q456=""),"",Q456/J456-1)</f>
        <v>-1.8624618055812947E-2</v>
      </c>
      <c r="N456" s="566"/>
      <c r="O456" s="487">
        <f>SUM(O447:O455)</f>
        <v>13.125399999999999</v>
      </c>
      <c r="P456" s="487">
        <f>SUM(P447:P455)</f>
        <v>188.26512052218402</v>
      </c>
      <c r="Q456" s="487">
        <f>SUM(Q447:Q455)</f>
        <v>766.18588208873609</v>
      </c>
      <c r="R456" s="564"/>
      <c r="S456" s="564"/>
      <c r="T456" s="611"/>
      <c r="U456" s="564"/>
      <c r="V456" s="564"/>
      <c r="W456" s="564"/>
      <c r="X456" s="564"/>
      <c r="Y456" s="564"/>
      <c r="Z456" s="564"/>
      <c r="AA456" s="564"/>
      <c r="AB456" s="564"/>
      <c r="AC456" s="564"/>
      <c r="AD456" s="564"/>
      <c r="AE456" s="564"/>
      <c r="AF456" s="564"/>
      <c r="AG456" s="564"/>
      <c r="AH456" s="564"/>
      <c r="AI456" s="564"/>
      <c r="AJ456" s="564"/>
    </row>
    <row r="457" spans="2:36" x14ac:dyDescent="0.35">
      <c r="B457" s="30" t="str">
        <f t="shared" si="223"/>
        <v>SAPN</v>
      </c>
      <c r="C457" s="30" t="str">
        <f t="shared" si="224"/>
        <v>Residential</v>
      </c>
      <c r="D457" s="30" t="str">
        <f t="shared" si="225"/>
        <v>flat rate</v>
      </c>
      <c r="F457" s="258"/>
      <c r="G457" s="30" t="s">
        <v>38</v>
      </c>
      <c r="H457" s="482"/>
      <c r="I457" s="482"/>
      <c r="J457" s="482">
        <f>J456*GST</f>
        <v>78.072661713895613</v>
      </c>
      <c r="K457" s="484"/>
      <c r="L457" s="567"/>
      <c r="M457" s="484"/>
      <c r="N457" s="568"/>
      <c r="O457" s="482"/>
      <c r="P457" s="482"/>
      <c r="Q457" s="482">
        <f>Q456*GST</f>
        <v>76.618588208873618</v>
      </c>
      <c r="R457" s="564"/>
      <c r="S457" s="564"/>
      <c r="T457" s="611"/>
      <c r="U457" s="564"/>
      <c r="V457" s="564"/>
      <c r="W457" s="564"/>
      <c r="X457" s="564"/>
      <c r="Y457" s="564"/>
      <c r="Z457" s="564"/>
      <c r="AA457" s="564"/>
      <c r="AB457" s="564"/>
      <c r="AC457" s="564"/>
      <c r="AD457" s="564"/>
      <c r="AE457" s="564"/>
      <c r="AF457" s="564"/>
      <c r="AG457" s="564"/>
      <c r="AH457" s="564"/>
      <c r="AI457" s="564"/>
      <c r="AJ457" s="564"/>
    </row>
    <row r="458" spans="2:36" x14ac:dyDescent="0.35">
      <c r="B458" s="30" t="str">
        <f t="shared" si="223"/>
        <v>SAPN</v>
      </c>
      <c r="C458" s="30" t="str">
        <f t="shared" si="224"/>
        <v>Residential</v>
      </c>
      <c r="D458" s="30" t="str">
        <f t="shared" si="225"/>
        <v>flat rate</v>
      </c>
      <c r="E458" s="30" t="s">
        <v>19</v>
      </c>
      <c r="F458" s="258"/>
      <c r="G458" s="64" t="s">
        <v>79</v>
      </c>
      <c r="H458" s="487"/>
      <c r="I458" s="487"/>
      <c r="J458" s="487">
        <f>SUM(J456:J457)</f>
        <v>858.79927885285167</v>
      </c>
      <c r="K458" s="564"/>
      <c r="L458" s="565"/>
      <c r="M458" s="564">
        <f>IF(OR(J458=0,Q458=""),"",Q458/J458-1)</f>
        <v>-1.8624618055812947E-2</v>
      </c>
      <c r="N458" s="566"/>
      <c r="O458" s="487"/>
      <c r="P458" s="487"/>
      <c r="Q458" s="487">
        <f>SUM(Q456:Q457)</f>
        <v>842.80447029760967</v>
      </c>
      <c r="R458" s="564"/>
      <c r="S458" s="596"/>
      <c r="T458" s="611"/>
      <c r="U458" s="596"/>
      <c r="V458" s="564"/>
      <c r="W458" s="564"/>
      <c r="X458" s="564"/>
      <c r="Y458" s="564"/>
      <c r="Z458" s="564"/>
      <c r="AA458" s="564"/>
      <c r="AB458" s="564"/>
      <c r="AC458" s="564"/>
      <c r="AD458" s="564"/>
      <c r="AE458" s="564"/>
      <c r="AF458" s="564"/>
      <c r="AG458" s="564"/>
      <c r="AH458" s="564"/>
      <c r="AI458" s="564"/>
      <c r="AJ458" s="564"/>
    </row>
    <row r="459" spans="2:36" s="597" customFormat="1" x14ac:dyDescent="0.35">
      <c r="F459" s="598"/>
      <c r="H459" s="599"/>
      <c r="I459" s="599"/>
      <c r="J459" s="599"/>
      <c r="K459" s="600"/>
      <c r="L459" s="601"/>
      <c r="M459" s="600"/>
      <c r="N459" s="602"/>
      <c r="O459" s="599"/>
      <c r="P459" s="599"/>
      <c r="Q459" s="599"/>
      <c r="R459" s="600"/>
      <c r="S459" s="600"/>
      <c r="T459" s="623"/>
      <c r="U459" s="600"/>
      <c r="V459" s="600"/>
      <c r="W459" s="600"/>
      <c r="X459" s="600"/>
      <c r="Y459" s="600"/>
      <c r="Z459" s="600"/>
      <c r="AA459" s="600"/>
      <c r="AB459" s="600"/>
      <c r="AC459" s="600"/>
      <c r="AD459" s="600"/>
      <c r="AE459" s="600"/>
      <c r="AF459" s="600"/>
      <c r="AG459" s="600"/>
      <c r="AH459" s="600"/>
      <c r="AI459" s="600"/>
      <c r="AJ459" s="600"/>
    </row>
    <row r="460" spans="2:36" s="570" customFormat="1" x14ac:dyDescent="0.35">
      <c r="B460" s="571" t="s">
        <v>5</v>
      </c>
      <c r="C460" s="571" t="s">
        <v>6</v>
      </c>
      <c r="D460" s="571" t="s">
        <v>272</v>
      </c>
      <c r="F460" s="485"/>
      <c r="H460" s="574"/>
      <c r="I460" s="574"/>
      <c r="J460" s="574"/>
      <c r="K460" s="575"/>
      <c r="L460" s="581"/>
      <c r="M460" s="575"/>
      <c r="N460" s="582"/>
      <c r="O460" s="574"/>
      <c r="P460" s="574"/>
      <c r="Q460" s="574"/>
      <c r="R460" s="575"/>
      <c r="S460" s="575"/>
      <c r="T460" s="612"/>
      <c r="U460" s="575"/>
      <c r="V460" s="575"/>
      <c r="W460" s="575"/>
      <c r="X460" s="575"/>
      <c r="Y460" s="575"/>
      <c r="Z460" s="575"/>
      <c r="AA460" s="575"/>
      <c r="AB460" s="575"/>
      <c r="AC460" s="575"/>
      <c r="AD460" s="575"/>
      <c r="AE460" s="575"/>
      <c r="AF460" s="575"/>
      <c r="AG460" s="575"/>
      <c r="AH460" s="575"/>
      <c r="AI460" s="575"/>
      <c r="AJ460" s="575"/>
    </row>
    <row r="461" spans="2:36" s="570" customFormat="1" x14ac:dyDescent="0.35">
      <c r="B461" s="570" t="str">
        <f t="shared" ref="B461:B493" si="231">B460</f>
        <v>SAPN</v>
      </c>
      <c r="C461" s="570" t="str">
        <f t="shared" ref="C461:C493" si="232">C460</f>
        <v>Residential</v>
      </c>
      <c r="D461" s="570" t="str">
        <f t="shared" ref="D461:D493" si="233">D460</f>
        <v>time of use</v>
      </c>
      <c r="E461" s="570" t="s">
        <v>279</v>
      </c>
      <c r="F461" s="485" cm="1">
        <f t="array" ref="F461">_xlfn.XLOOKUP(1,($B461=DistributionZone)*($C461=CustomerType)*($D461=tariffL2)*($F$5=Description),valuesPY)*_xlfn.XLOOKUP(1,($B461=DistributionZone)*($D461=tariffL2)*($E461=tariffType)*("Usage proportion"=Description),valuesFY)</f>
        <v>849.83914277723261</v>
      </c>
      <c r="G461" s="570" t="s">
        <v>69</v>
      </c>
      <c r="H461" s="574"/>
      <c r="I461" s="574" cm="1">
        <f t="array" ref="I461">IFERROR(_xlfn.XLOOKUP(1,($B461=DistributionZone)*($C461=CustomerType)*($E461=tariffType)*("WEC scale"=Description),valuesPY),0)*$I$447</f>
        <v>0</v>
      </c>
      <c r="J461" s="574">
        <f>IF(AND(H461="",I461=""),"",H461+I461*F461/1000)</f>
        <v>0</v>
      </c>
      <c r="K461" s="575" t="str">
        <f>IFERROR(J461/J470,"")</f>
        <v/>
      </c>
      <c r="L461" s="575"/>
      <c r="M461" s="575" t="str">
        <f t="shared" ref="M461:M469" si="234">IF(OR(J461=0,Q461=""),"",Q461/J461-1)</f>
        <v/>
      </c>
      <c r="N461" s="576"/>
      <c r="O461" s="574"/>
      <c r="P461" s="574" cm="1">
        <f t="array" ref="P461">IFERROR(_xlfn.XLOOKUP(1,($B461=DistributionZone)*($C461=CustomerType)*($E461=tariffType)*("WEC"=Description),valuesFY),0)</f>
        <v>128.67454644032401</v>
      </c>
      <c r="Q461" s="574">
        <f>IF(AND(O461="",P461=""),"",O461+P461*$F461/1000)</f>
        <v>109.35266624409415</v>
      </c>
      <c r="R461" s="575">
        <f t="shared" ref="R461:R469" si="235">IFERROR(Q461/$Q$470,"")</f>
        <v>0.72992003156241181</v>
      </c>
      <c r="S461" s="575"/>
      <c r="T461" s="613"/>
      <c r="U461" s="575"/>
      <c r="V461" s="575"/>
      <c r="W461" s="575"/>
      <c r="X461" s="575"/>
      <c r="Y461" s="575"/>
      <c r="Z461" s="575"/>
      <c r="AA461" s="575"/>
      <c r="AB461" s="575"/>
      <c r="AC461" s="575"/>
      <c r="AD461" s="575"/>
      <c r="AE461" s="575"/>
      <c r="AF461" s="575"/>
      <c r="AG461" s="575"/>
      <c r="AH461" s="575"/>
      <c r="AI461" s="575"/>
      <c r="AJ461" s="575"/>
    </row>
    <row r="462" spans="2:36" s="570" customFormat="1" x14ac:dyDescent="0.35">
      <c r="B462" s="570" t="str">
        <f t="shared" si="231"/>
        <v>SAPN</v>
      </c>
      <c r="C462" s="570" t="str">
        <f t="shared" si="232"/>
        <v>Residential</v>
      </c>
      <c r="D462" s="570" t="str">
        <f t="shared" si="233"/>
        <v>time of use</v>
      </c>
      <c r="E462" s="570" t="s">
        <v>279</v>
      </c>
      <c r="F462" s="485" cm="1">
        <f t="array" ref="F462">_xlfn.XLOOKUP(1,($B462=DistributionZone)*($C462=CustomerType)*($D462=tariffL2)*($F$5=Description),valuesPY)*_xlfn.XLOOKUP(1,($B462=DistributionZone)*($D462=tariffL2)*($E462=tariffType)*("Usage proportion"=Description),valuesFY)</f>
        <v>849.83914277723261</v>
      </c>
      <c r="G462" s="570" t="s">
        <v>70</v>
      </c>
      <c r="H462" s="574"/>
      <c r="I462" s="574" cm="1">
        <f t="array" ref="I462">IFERROR(_xlfn.XLOOKUP(1,($B462=DistributionZone)*($I$5=Desc_FixedOrVar)*($G462=Description),valuesPY),0)</f>
        <v>0.58531011875289041</v>
      </c>
      <c r="J462" s="574">
        <f t="shared" ref="J462:J469" si="236">IF(AND(H462="",I462=""),"",H462+I462*F462/1000)</f>
        <v>0.49741944957979661</v>
      </c>
      <c r="K462" s="575" t="str">
        <f>IFERROR(J462/J470,"")</f>
        <v/>
      </c>
      <c r="L462" s="575"/>
      <c r="M462" s="575">
        <f t="shared" si="234"/>
        <v>13.21498237394588</v>
      </c>
      <c r="N462" s="576"/>
      <c r="O462" s="574"/>
      <c r="P462" s="574" cm="1">
        <f t="array" ref="P462">IFERROR(_xlfn.XLOOKUP(1,($B462=DistributionZone)*($I$5=Desc_FixedOrVar)*($G462=Description),valuesFY),0)</f>
        <v>8.3201730213645071</v>
      </c>
      <c r="Q462" s="574">
        <f t="shared" ref="Q462:Q469" si="237">IF(AND(O462="",P462=""),"",O462+P462*$F462/1000)</f>
        <v>7.0708087082346704</v>
      </c>
      <c r="R462" s="575">
        <f t="shared" si="235"/>
        <v>4.7197065172292184E-2</v>
      </c>
      <c r="S462" s="575"/>
      <c r="T462" s="612"/>
      <c r="U462" s="575"/>
      <c r="V462" s="575"/>
      <c r="W462" s="575"/>
      <c r="X462" s="575"/>
      <c r="Y462" s="575"/>
      <c r="Z462" s="575"/>
      <c r="AA462" s="575"/>
      <c r="AB462" s="575"/>
      <c r="AC462" s="575"/>
      <c r="AD462" s="575"/>
      <c r="AE462" s="575"/>
      <c r="AF462" s="575"/>
      <c r="AG462" s="575"/>
      <c r="AH462" s="575"/>
      <c r="AI462" s="575"/>
      <c r="AJ462" s="575"/>
    </row>
    <row r="463" spans="2:36" s="570" customFormat="1" x14ac:dyDescent="0.35">
      <c r="B463" s="570" t="str">
        <f t="shared" si="231"/>
        <v>SAPN</v>
      </c>
      <c r="C463" s="570" t="str">
        <f t="shared" si="232"/>
        <v>Residential</v>
      </c>
      <c r="D463" s="570" t="str">
        <f t="shared" si="233"/>
        <v>time of use</v>
      </c>
      <c r="E463" s="570" t="s">
        <v>279</v>
      </c>
      <c r="F463" s="485" cm="1">
        <f t="array" ref="F463">_xlfn.XLOOKUP(1,($B463=DistributionZone)*($C463=CustomerType)*($D463=tariffL2)*($F$5=Description),valuesPY)*_xlfn.XLOOKUP(1,($B463=DistributionZone)*($D463=tariffL2)*($E463=tariffType)*("Usage proportion"=Description),valuesFY)</f>
        <v>849.83914277723261</v>
      </c>
      <c r="G463" s="570" t="s">
        <v>77</v>
      </c>
      <c r="H463" s="574" cm="1">
        <f t="array" ref="H463">IFERROR(_xlfn.XLOOKUP(1,($B463=DistributionZone)*(H$5=Desc_FixedOrVar)*($G463=Description),valuesPY),0)*Days/7</f>
        <v>13.835244134497829</v>
      </c>
      <c r="I463" s="574" cm="1">
        <f t="array" ref="I463">IFERROR(_xlfn.XLOOKUP(1,($B463=DistributionZone)*($I$5=Desc_FixedOrVar)*($G463=Description),valuesPY),0)</f>
        <v>0.57443</v>
      </c>
      <c r="J463" s="574">
        <f t="shared" si="236"/>
        <v>14.323417233283354</v>
      </c>
      <c r="K463" s="575" t="str">
        <f>IFERROR(J463/J470,"")</f>
        <v/>
      </c>
      <c r="L463" s="575"/>
      <c r="M463" s="575">
        <f t="shared" si="234"/>
        <v>-5.2823343075332874E-2</v>
      </c>
      <c r="N463" s="576"/>
      <c r="O463" s="574" cm="1">
        <f t="array" ref="O463">IFERROR(_xlfn.XLOOKUP(1,($B463=DistributionZone)*(O$5=Desc_FixedOrVar)*($G463=Description),valuesFY),0)*Days/7</f>
        <v>13.125399999999999</v>
      </c>
      <c r="P463" s="574" cm="1">
        <f t="array" ref="P463">IFERROR(_xlfn.XLOOKUP(1,($B463=DistributionZone)*($I$5=Desc_FixedOrVar)*($G463=Description),valuesFY),0)</f>
        <v>0.51939999999999997</v>
      </c>
      <c r="Q463" s="574">
        <f t="shared" si="237"/>
        <v>13.566806450758493</v>
      </c>
      <c r="R463" s="575">
        <f t="shared" si="235"/>
        <v>9.0557314538945582E-2</v>
      </c>
      <c r="S463" s="575"/>
      <c r="T463" s="612"/>
      <c r="U463" s="575"/>
      <c r="V463" s="575"/>
      <c r="W463" s="575"/>
      <c r="X463" s="575"/>
      <c r="Y463" s="575"/>
      <c r="Z463" s="575"/>
      <c r="AA463" s="575"/>
      <c r="AB463" s="575"/>
      <c r="AC463" s="575"/>
      <c r="AD463" s="575"/>
      <c r="AE463" s="575"/>
      <c r="AF463" s="575"/>
      <c r="AG463" s="575"/>
      <c r="AH463" s="575"/>
      <c r="AI463" s="575"/>
      <c r="AJ463" s="575"/>
    </row>
    <row r="464" spans="2:36" s="570" customFormat="1" x14ac:dyDescent="0.35">
      <c r="B464" s="570" t="str">
        <f t="shared" si="231"/>
        <v>SAPN</v>
      </c>
      <c r="C464" s="570" t="str">
        <f t="shared" si="232"/>
        <v>Residential</v>
      </c>
      <c r="D464" s="570" t="str">
        <f t="shared" si="233"/>
        <v>time of use</v>
      </c>
      <c r="E464" s="570" t="s">
        <v>279</v>
      </c>
      <c r="F464" s="485" cm="1">
        <f t="array" ref="F464">_xlfn.XLOOKUP(1,($B464=DistributionZone)*($C464=CustomerType)*($D464=tariffL2)*($F$5=Description),valuesPY)*_xlfn.XLOOKUP(1,($B464=DistributionZone)*($D464=tariffL2)*($E464=tariffType)*("Usage proportion"=Description),valuesFY)</f>
        <v>849.83914277723261</v>
      </c>
      <c r="G464" s="570" t="s">
        <v>71</v>
      </c>
      <c r="H464" s="574"/>
      <c r="I464" s="574" cm="1">
        <f t="array" ref="I464">IFERROR(_xlfn.XLOOKUP(1,($B464=DistributionZone)*($I$5=Desc_FixedOrVar)*($G464=Description),valuesPY),0)</f>
        <v>6.7563101629320773E-3</v>
      </c>
      <c r="J464" s="574">
        <f t="shared" si="236"/>
        <v>5.7417768372033011E-3</v>
      </c>
      <c r="K464" s="575" t="str">
        <f>IFERROR(J464/J470,"")</f>
        <v/>
      </c>
      <c r="L464" s="575"/>
      <c r="M464" s="575">
        <f>IF(OR(J464=0,Q464=""),"",Q464/J464-1)</f>
        <v>151.47675540987953</v>
      </c>
      <c r="N464" s="576"/>
      <c r="O464" s="574"/>
      <c r="P464" s="574" cm="1">
        <f t="array" ref="P464">IFERROR(_xlfn.XLOOKUP(1,($B464=DistributionZone)*($I$5=Desc_FixedOrVar)*($G464=Description),valuesFY),0)</f>
        <v>1.0301802521866776</v>
      </c>
      <c r="Q464" s="574">
        <f t="shared" si="237"/>
        <v>0.87548750242435935</v>
      </c>
      <c r="R464" s="575">
        <f t="shared" si="235"/>
        <v>5.8438068988244541E-3</v>
      </c>
      <c r="S464" s="575"/>
      <c r="T464" s="612"/>
      <c r="U464" s="575"/>
      <c r="V464" s="575"/>
      <c r="W464" s="575"/>
      <c r="X464" s="575"/>
      <c r="Y464" s="575"/>
      <c r="Z464" s="575"/>
      <c r="AA464" s="575"/>
      <c r="AB464" s="575"/>
      <c r="AC464" s="575"/>
      <c r="AD464" s="575"/>
      <c r="AE464" s="575"/>
      <c r="AF464" s="575"/>
      <c r="AG464" s="575"/>
      <c r="AH464" s="575"/>
      <c r="AI464" s="575"/>
      <c r="AJ464" s="575"/>
    </row>
    <row r="465" spans="2:36" s="570" customFormat="1" x14ac:dyDescent="0.35">
      <c r="B465" s="570" t="str">
        <f t="shared" si="231"/>
        <v>SAPN</v>
      </c>
      <c r="C465" s="570" t="str">
        <f t="shared" si="232"/>
        <v>Residential</v>
      </c>
      <c r="D465" s="570" t="str">
        <f t="shared" si="233"/>
        <v>time of use</v>
      </c>
      <c r="E465" s="570" t="s">
        <v>279</v>
      </c>
      <c r="F465" s="485" cm="1">
        <f t="array" ref="F465">_xlfn.XLOOKUP(1,($B465=DistributionZone)*($C465=CustomerType)*($D465=tariffL2)*($F$5=Description),valuesPY)*_xlfn.XLOOKUP(1,($B465=DistributionZone)*($D465=tariffL2)*($E465=tariffType)*("Usage proportion"=Description),valuesFY)</f>
        <v>849.83914277723261</v>
      </c>
      <c r="G465" s="570" t="s">
        <v>173</v>
      </c>
      <c r="H465" s="574"/>
      <c r="I465" s="574" cm="1">
        <f t="array" ref="I465">IFERROR(_xlfn.XLOOKUP(1,($B465=DistributionZone)*($I$5=Desc_FixedOrVar)*($G465=Description),valuesPY),0)</f>
        <v>5.0625427163511004E-2</v>
      </c>
      <c r="J465" s="574">
        <f t="shared" si="236"/>
        <v>4.3023469623369413E-2</v>
      </c>
      <c r="K465" s="575" t="str">
        <f>IFERROR(J465/J470,"")</f>
        <v/>
      </c>
      <c r="L465" s="575"/>
      <c r="M465" s="575">
        <f t="shared" si="234"/>
        <v>-1</v>
      </c>
      <c r="N465" s="576"/>
      <c r="O465" s="574"/>
      <c r="P465" s="574" cm="1">
        <f t="array" ref="P465">IFERROR(_xlfn.XLOOKUP(1,($B465=DistributionZone)*($I$5=Desc_FixedOrVar)*($G465=Description),valuesFY),0)</f>
        <v>0</v>
      </c>
      <c r="Q465" s="574">
        <f t="shared" si="237"/>
        <v>0</v>
      </c>
      <c r="R465" s="575">
        <f t="shared" si="235"/>
        <v>0</v>
      </c>
      <c r="S465" s="575"/>
      <c r="T465" s="612"/>
      <c r="U465" s="575"/>
      <c r="V465" s="575"/>
      <c r="W465" s="575"/>
      <c r="X465" s="575"/>
      <c r="Y465" s="575"/>
      <c r="Z465" s="575"/>
      <c r="AA465" s="575"/>
      <c r="AB465" s="575"/>
      <c r="AC465" s="575"/>
      <c r="AD465" s="575"/>
      <c r="AE465" s="575"/>
      <c r="AF465" s="575"/>
      <c r="AG465" s="575"/>
      <c r="AH465" s="575"/>
      <c r="AI465" s="575"/>
      <c r="AJ465" s="575"/>
    </row>
    <row r="466" spans="2:36" s="570" customFormat="1" x14ac:dyDescent="0.35">
      <c r="B466" s="570" t="str">
        <f t="shared" si="231"/>
        <v>SAPN</v>
      </c>
      <c r="C466" s="570" t="str">
        <f t="shared" si="232"/>
        <v>Residential</v>
      </c>
      <c r="D466" s="570" t="str">
        <f t="shared" si="233"/>
        <v>time of use</v>
      </c>
      <c r="E466" s="570" t="s">
        <v>279</v>
      </c>
      <c r="F466" s="485" cm="1">
        <f t="array" ref="F466">_xlfn.XLOOKUP(1,($B466=DistributionZone)*($C466=CustomerType)*($D466=tariffL2)*($F$5=Description),valuesPY)*_xlfn.XLOOKUP(1,($B466=DistributionZone)*($D466=tariffL2)*($E466=tariffType)*("Usage proportion"=Description),valuesFY)</f>
        <v>849.83914277723261</v>
      </c>
      <c r="G466" s="570" t="s">
        <v>130</v>
      </c>
      <c r="H466" s="574"/>
      <c r="I466" s="574" cm="1">
        <f t="array" ref="I466">IFERROR(_xlfn.XLOOKUP(1,($B466=DistributionZone)*($I$5=Desc_FixedOrVar)*($G466=Description),valuesPY),0)</f>
        <v>3.6927728105909479</v>
      </c>
      <c r="J466" s="574">
        <f t="shared" si="236"/>
        <v>3.1382628798236833</v>
      </c>
      <c r="K466" s="575" t="str">
        <f>IFERROR(J466/J470,"")</f>
        <v/>
      </c>
      <c r="L466" s="575"/>
      <c r="M466" s="575">
        <f t="shared" si="234"/>
        <v>-4.5781075827628026E-2</v>
      </c>
      <c r="N466" s="576"/>
      <c r="O466" s="574"/>
      <c r="P466" s="574" cm="1">
        <f t="array" ref="P466">IFERROR(_xlfn.XLOOKUP(1,($B466=DistributionZone)*($I$5=Desc_FixedOrVar)*($G466=Description),valuesFY),0)</f>
        <v>3.5237136985350812</v>
      </c>
      <c r="Q466" s="574">
        <f t="shared" si="237"/>
        <v>2.9945898289554451</v>
      </c>
      <c r="R466" s="575">
        <f t="shared" si="235"/>
        <v>1.9988640218323764E-2</v>
      </c>
      <c r="S466" s="575"/>
      <c r="T466" s="612"/>
      <c r="U466" s="575"/>
      <c r="V466" s="575"/>
      <c r="W466" s="575"/>
      <c r="X466" s="575"/>
      <c r="Y466" s="575"/>
      <c r="Z466" s="575"/>
      <c r="AA466" s="575"/>
      <c r="AB466" s="575"/>
      <c r="AC466" s="575"/>
      <c r="AD466" s="575"/>
      <c r="AE466" s="575"/>
      <c r="AF466" s="575"/>
      <c r="AG466" s="575"/>
      <c r="AH466" s="575"/>
      <c r="AI466" s="575"/>
      <c r="AJ466" s="575"/>
    </row>
    <row r="467" spans="2:36" s="570" customFormat="1" x14ac:dyDescent="0.35">
      <c r="B467" s="570" t="str">
        <f t="shared" si="231"/>
        <v>SAPN</v>
      </c>
      <c r="C467" s="570" t="str">
        <f t="shared" si="232"/>
        <v>Residential</v>
      </c>
      <c r="D467" s="570" t="str">
        <f t="shared" si="233"/>
        <v>time of use</v>
      </c>
      <c r="E467" s="570" t="s">
        <v>279</v>
      </c>
      <c r="F467" s="485" cm="1">
        <f t="array" ref="F467">_xlfn.XLOOKUP(1,($B467=DistributionZone)*($C467=CustomerType)*($D467=tariffL2)*($F$5=Description),valuesPY)*_xlfn.XLOOKUP(1,($B467=DistributionZone)*($D467=tariffL2)*($E467=tariffType)*("Usage proportion"=Description),valuesFY)</f>
        <v>849.83914277723261</v>
      </c>
      <c r="G467" s="570" t="s">
        <v>302</v>
      </c>
      <c r="H467" s="574"/>
      <c r="I467" s="574"/>
      <c r="J467" s="574"/>
      <c r="K467" s="575"/>
      <c r="L467" s="575"/>
      <c r="M467" s="575"/>
      <c r="N467" s="576"/>
      <c r="O467" s="574"/>
      <c r="P467" s="574" cm="1">
        <f t="array" ref="P467">IFERROR(_xlfn.XLOOKUP(1,($B467=DistributionZone)*($P$5=Desc_FixedOrVar)*($D467=tariffL2)*($G467=Description),valuesFY),0)</f>
        <v>1.0139999999999987</v>
      </c>
      <c r="Q467" s="574">
        <f t="shared" ref="Q467" si="238">IF(AND(O467="",P467=""),"",O467+P467*$F467/1000)</f>
        <v>0.86173689077611282</v>
      </c>
      <c r="R467" s="575">
        <f>IFERROR(Q467/$Q$470,"")</f>
        <v>5.7520226997461567E-3</v>
      </c>
      <c r="S467" s="575"/>
      <c r="T467" s="612"/>
      <c r="U467" s="575"/>
      <c r="V467" s="575"/>
      <c r="W467" s="575"/>
      <c r="X467" s="575"/>
      <c r="Y467" s="575"/>
      <c r="Z467" s="575"/>
      <c r="AA467" s="575"/>
      <c r="AB467" s="575"/>
      <c r="AC467" s="575"/>
      <c r="AD467" s="575"/>
      <c r="AE467" s="575"/>
      <c r="AF467" s="575"/>
      <c r="AG467" s="575"/>
      <c r="AH467" s="575"/>
      <c r="AI467" s="575"/>
      <c r="AJ467" s="575"/>
    </row>
    <row r="468" spans="2:36" s="570" customFormat="1" x14ac:dyDescent="0.35">
      <c r="B468" s="570" t="str">
        <f>B466</f>
        <v>SAPN</v>
      </c>
      <c r="C468" s="570" t="str">
        <f>C466</f>
        <v>Residential</v>
      </c>
      <c r="D468" s="570" t="str">
        <f>D466</f>
        <v>time of use</v>
      </c>
      <c r="E468" s="570" t="s">
        <v>279</v>
      </c>
      <c r="F468" s="485" cm="1">
        <f t="array" ref="F468">_xlfn.XLOOKUP(1,($B468=DistributionZone)*($C468=CustomerType)*($D468=tariffL2)*($F$5=Description),valuesPY)*_xlfn.XLOOKUP(1,($B468=DistributionZone)*($D468=tariffL2)*($E468=tariffType)*("Usage proportion"=Description),valuesFY)</f>
        <v>849.83914277723261</v>
      </c>
      <c r="G468" s="570" t="s">
        <v>157</v>
      </c>
      <c r="H468" s="574"/>
      <c r="I468" s="574" cm="1">
        <f t="array" ref="I468">IFERROR(_xlfn.XLOOKUP(1,($B468=DistributionZone)*($I$5=Desc_FixedOrVar)*($G468=Description),valuesPY),0)</f>
        <v>5.712785518640878</v>
      </c>
      <c r="J468" s="574">
        <f>IF(AND(H468="",I468=""),"",H468+I468*F468/1000)</f>
        <v>4.8549487480319522</v>
      </c>
      <c r="K468" s="575" t="str">
        <f>IFERROR(J468/J470,"")</f>
        <v/>
      </c>
      <c r="L468" s="575"/>
      <c r="M468" s="575">
        <f t="shared" si="234"/>
        <v>-0.78484131590226114</v>
      </c>
      <c r="N468" s="576"/>
      <c r="O468" s="574"/>
      <c r="P468" s="574" cm="1">
        <f t="array" ref="P468">IFERROR(_xlfn.XLOOKUP(1,($B468=DistributionZone)*($I$5=Desc_FixedOrVar)*($G468=Description),valuesFY),0)</f>
        <v>1.2291554147233901</v>
      </c>
      <c r="Q468" s="574">
        <f>IF(AND(O468="",P468=""),"",O468+P468*$F468/1000)</f>
        <v>1.0445843839885196</v>
      </c>
      <c r="R468" s="575">
        <f>IFERROR(Q468/$Q$470,"")</f>
        <v>6.9725146420166169E-3</v>
      </c>
      <c r="S468" s="575"/>
      <c r="T468" s="612"/>
      <c r="U468" s="575"/>
      <c r="V468" s="575"/>
      <c r="W468" s="575"/>
      <c r="X468" s="575"/>
      <c r="Y468" s="575"/>
      <c r="Z468" s="575"/>
      <c r="AA468" s="575"/>
      <c r="AB468" s="575"/>
      <c r="AC468" s="575"/>
      <c r="AD468" s="575"/>
      <c r="AE468" s="575"/>
      <c r="AF468" s="575"/>
      <c r="AG468" s="575"/>
      <c r="AH468" s="575"/>
      <c r="AI468" s="575"/>
      <c r="AJ468" s="575"/>
    </row>
    <row r="469" spans="2:36" s="570" customFormat="1" x14ac:dyDescent="0.35">
      <c r="B469" s="570" t="str">
        <f t="shared" si="231"/>
        <v>SAPN</v>
      </c>
      <c r="C469" s="570" t="str">
        <f t="shared" si="232"/>
        <v>Residential</v>
      </c>
      <c r="D469" s="570" t="str">
        <f t="shared" si="233"/>
        <v>time of use</v>
      </c>
      <c r="E469" s="570" t="s">
        <v>279</v>
      </c>
      <c r="F469" s="485" cm="1">
        <f t="array" ref="F469">_xlfn.XLOOKUP(1,($B469=DistributionZone)*($C469=CustomerType)*($D469=tariffL2)*($F$5=Description),valuesPY)*_xlfn.XLOOKUP(1,($B469=DistributionZone)*($D469=tariffL2)*($E469=tariffType)*("Usage proportion"=Description),valuesFY)</f>
        <v>849.83914277723261</v>
      </c>
      <c r="G469" s="570" t="s">
        <v>72</v>
      </c>
      <c r="H469" s="574"/>
      <c r="I469" s="574" cm="1">
        <f t="array" ref="I469">IFERROR(_xlfn.XLOOKUP(1,($B469=DistributionZone)*($C469=CustomerType)*($D469=tariffL2)*($G469=Description),valuesPY),0)*SUM(I461:I468)</f>
        <v>0</v>
      </c>
      <c r="J469" s="574">
        <f t="shared" si="236"/>
        <v>0</v>
      </c>
      <c r="K469" s="575" t="str">
        <f>IFERROR(J469/J470,"")</f>
        <v/>
      </c>
      <c r="L469" s="575"/>
      <c r="M469" s="575" t="str">
        <f t="shared" si="234"/>
        <v/>
      </c>
      <c r="N469" s="576"/>
      <c r="O469" s="574"/>
      <c r="P469" s="574" cm="1">
        <f t="array" ref="P469">IFERROR(_xlfn.XLOOKUP(1,($B469=DistributionZone)*($C469=CustomerType)*("Losses"=Description)*($D469=tariffType)*($P$5=Desc_FixedOrVar),valuesFY),0)*SUM(P461:P468)</f>
        <v>16.530074669451402</v>
      </c>
      <c r="Q469" s="574">
        <f t="shared" si="237"/>
        <v>14.047904487130227</v>
      </c>
      <c r="R469" s="575">
        <f t="shared" si="235"/>
        <v>9.3768604267439382E-2</v>
      </c>
      <c r="S469" s="575"/>
      <c r="T469" s="612"/>
      <c r="U469" s="575"/>
      <c r="V469" s="575"/>
      <c r="W469" s="575"/>
      <c r="X469" s="575"/>
      <c r="Y469" s="575"/>
      <c r="Z469" s="575"/>
      <c r="AA469" s="575"/>
      <c r="AB469" s="575"/>
      <c r="AC469" s="575"/>
      <c r="AD469" s="575"/>
      <c r="AE469" s="575"/>
      <c r="AF469" s="575"/>
      <c r="AG469" s="575"/>
      <c r="AH469" s="575"/>
      <c r="AI469" s="575"/>
      <c r="AJ469" s="575"/>
    </row>
    <row r="470" spans="2:36" s="571" customFormat="1" x14ac:dyDescent="0.35">
      <c r="B470" s="570" t="str">
        <f t="shared" si="231"/>
        <v>SAPN</v>
      </c>
      <c r="C470" s="570" t="str">
        <f t="shared" si="232"/>
        <v>Residential</v>
      </c>
      <c r="D470" s="570" t="str">
        <f t="shared" si="233"/>
        <v>time of use</v>
      </c>
      <c r="E470" s="570" t="s">
        <v>279</v>
      </c>
      <c r="F470" s="584"/>
      <c r="G470" s="571" t="s">
        <v>55</v>
      </c>
      <c r="H470" s="577"/>
      <c r="I470" s="577">
        <f>IF($H$3=PY,0,SUM(I461:I469))</f>
        <v>0</v>
      </c>
      <c r="J470" s="577">
        <f>IF($H$3=PY,0,I470*F461/1000+H463)</f>
        <v>0</v>
      </c>
      <c r="K470" s="578"/>
      <c r="L470" s="578"/>
      <c r="M470" s="578"/>
      <c r="N470" s="624"/>
      <c r="O470" s="577"/>
      <c r="P470" s="577">
        <f>SUM(P461:P469)</f>
        <v>160.84124349658507</v>
      </c>
      <c r="Q470" s="577">
        <f>P470*F461/1000+O463</f>
        <v>149.81458449636199</v>
      </c>
      <c r="R470" s="578"/>
      <c r="S470" s="578"/>
      <c r="T470" s="621"/>
      <c r="U470" s="578"/>
      <c r="V470" s="578"/>
      <c r="W470" s="578"/>
      <c r="X470" s="578"/>
      <c r="Y470" s="578"/>
      <c r="Z470" s="578"/>
      <c r="AA470" s="578"/>
      <c r="AB470" s="578"/>
      <c r="AC470" s="578"/>
      <c r="AD470" s="578"/>
      <c r="AE470" s="578"/>
      <c r="AF470" s="578"/>
      <c r="AG470" s="578"/>
      <c r="AH470" s="578"/>
      <c r="AI470" s="578"/>
      <c r="AJ470" s="578"/>
    </row>
    <row r="471" spans="2:36" s="570" customFormat="1" x14ac:dyDescent="0.35">
      <c r="B471" s="570" t="str">
        <f t="shared" si="231"/>
        <v>SAPN</v>
      </c>
      <c r="C471" s="570" t="str">
        <f t="shared" si="232"/>
        <v>Residential</v>
      </c>
      <c r="D471" s="570" t="str">
        <f t="shared" si="233"/>
        <v>time of use</v>
      </c>
      <c r="E471" s="570" t="s">
        <v>278</v>
      </c>
      <c r="F471" s="485" cm="1">
        <f t="array" ref="F471">_xlfn.XLOOKUP(1,($B471=DistributionZone)*($C471=CustomerType)*($D471=tariffL2)*($F$5=Description),valuesPY)*_xlfn.XLOOKUP(1,($B471=DistributionZone)*($D471=tariffL2)*($E471=tariffType)*("Usage proportion"=Description),valuesFY)</f>
        <v>2054.6441546346314</v>
      </c>
      <c r="G471" s="570" t="s">
        <v>69</v>
      </c>
      <c r="H471" s="574"/>
      <c r="I471" s="574" cm="1">
        <f t="array" ref="I471">IFERROR(_xlfn.XLOOKUP(1,($B471=DistributionZone)*($C471=CustomerType)*($E471=tariffType)*("WEC scale"=Description),valuesPY),0)*$I$447</f>
        <v>0</v>
      </c>
      <c r="J471" s="574">
        <f>IF(AND(H471="",I471=""),"",H471+I471*F471/1000)</f>
        <v>0</v>
      </c>
      <c r="K471" s="575" t="str">
        <f>IFERROR(J471/J480,"")</f>
        <v/>
      </c>
      <c r="L471" s="575"/>
      <c r="M471" s="575" t="str">
        <f t="shared" ref="M471:M479" si="239">IF(OR(J471=0,Q471=""),"",Q471/J471-1)</f>
        <v/>
      </c>
      <c r="N471" s="576"/>
      <c r="O471" s="574"/>
      <c r="P471" s="574" cm="1">
        <f t="array" ref="P471">IFERROR(_xlfn.XLOOKUP(1,($B471=DistributionZone)*($C471=CustomerType)*($E471=tariffType)*("WEC"=Description),valuesFY),0)</f>
        <v>214.52235765242605</v>
      </c>
      <c r="Q471" s="574">
        <f>IF(AND(O471="",P471=""),"",O471+P471*$F471/1000)</f>
        <v>440.76710818899699</v>
      </c>
      <c r="R471" s="575">
        <f t="shared" ref="R471:R479" si="240">IFERROR(Q471/$Q$480,"")</f>
        <v>0.83627123585324159</v>
      </c>
      <c r="S471" s="575"/>
      <c r="T471" s="613"/>
      <c r="U471" s="575"/>
      <c r="V471" s="575"/>
      <c r="W471" s="575"/>
      <c r="X471" s="575"/>
      <c r="Y471" s="575"/>
      <c r="Z471" s="575"/>
      <c r="AA471" s="575"/>
      <c r="AB471" s="575"/>
      <c r="AC471" s="575"/>
      <c r="AD471" s="575"/>
      <c r="AE471" s="575"/>
      <c r="AF471" s="575"/>
      <c r="AG471" s="575"/>
      <c r="AH471" s="575"/>
      <c r="AI471" s="575"/>
      <c r="AJ471" s="575"/>
    </row>
    <row r="472" spans="2:36" s="570" customFormat="1" x14ac:dyDescent="0.35">
      <c r="B472" s="570" t="str">
        <f t="shared" si="231"/>
        <v>SAPN</v>
      </c>
      <c r="C472" s="570" t="str">
        <f t="shared" si="232"/>
        <v>Residential</v>
      </c>
      <c r="D472" s="570" t="str">
        <f t="shared" si="233"/>
        <v>time of use</v>
      </c>
      <c r="E472" s="570" t="s">
        <v>278</v>
      </c>
      <c r="F472" s="485" cm="1">
        <f t="array" ref="F472">_xlfn.XLOOKUP(1,($B472=DistributionZone)*($C472=CustomerType)*($D472=tariffL2)*($F$5=Description),valuesPY)*_xlfn.XLOOKUP(1,($B472=DistributionZone)*($D472=tariffL2)*($E472=tariffType)*("Usage proportion"=Description),valuesFY)</f>
        <v>2054.6441546346314</v>
      </c>
      <c r="G472" s="570" t="s">
        <v>70</v>
      </c>
      <c r="H472" s="574"/>
      <c r="I472" s="574" cm="1">
        <f t="array" ref="I472">IFERROR(_xlfn.XLOOKUP(1,($B472=DistributionZone)*($I$5=Desc_FixedOrVar)*($G472=Description),valuesPY),0)</f>
        <v>0.58531011875289041</v>
      </c>
      <c r="J472" s="574">
        <f t="shared" ref="J472:J479" si="241">IF(AND(H472="",I472=""),"",H472+I472*F472/1000)</f>
        <v>1.2026040141441283</v>
      </c>
      <c r="K472" s="575" t="str">
        <f>IFERROR(J472/J480,"")</f>
        <v/>
      </c>
      <c r="L472" s="575"/>
      <c r="M472" s="575">
        <f t="shared" si="239"/>
        <v>13.21498237394588</v>
      </c>
      <c r="N472" s="576"/>
      <c r="O472" s="574"/>
      <c r="P472" s="574" cm="1">
        <f t="array" ref="P472">IFERROR(_xlfn.XLOOKUP(1,($B472=DistributionZone)*($I$5=Desc_FixedOrVar)*($G472=Description),valuesFY),0)</f>
        <v>8.3201730213645071</v>
      </c>
      <c r="Q472" s="574">
        <f t="shared" ref="Q472:Q479" si="242">IF(AND(O472="",P472=""),"",O472+P472*$F472/1000)</f>
        <v>17.094994863895344</v>
      </c>
      <c r="R472" s="575">
        <f t="shared" si="240"/>
        <v>3.2434481194555373E-2</v>
      </c>
      <c r="S472" s="575"/>
      <c r="T472" s="612"/>
      <c r="U472" s="575"/>
      <c r="V472" s="575"/>
      <c r="W472" s="575"/>
      <c r="X472" s="575"/>
      <c r="Y472" s="575"/>
      <c r="Z472" s="575"/>
      <c r="AA472" s="575"/>
      <c r="AB472" s="575"/>
      <c r="AC472" s="575"/>
      <c r="AD472" s="575"/>
      <c r="AE472" s="575"/>
      <c r="AF472" s="575"/>
      <c r="AG472" s="575"/>
      <c r="AH472" s="575"/>
      <c r="AI472" s="575"/>
      <c r="AJ472" s="575"/>
    </row>
    <row r="473" spans="2:36" s="570" customFormat="1" x14ac:dyDescent="0.35">
      <c r="B473" s="570" t="str">
        <f t="shared" si="231"/>
        <v>SAPN</v>
      </c>
      <c r="C473" s="570" t="str">
        <f t="shared" si="232"/>
        <v>Residential</v>
      </c>
      <c r="D473" s="570" t="str">
        <f t="shared" si="233"/>
        <v>time of use</v>
      </c>
      <c r="E473" s="570" t="s">
        <v>278</v>
      </c>
      <c r="F473" s="485" cm="1">
        <f t="array" ref="F473">_xlfn.XLOOKUP(1,($B473=DistributionZone)*($C473=CustomerType)*($D473=tariffL2)*($F$5=Description),valuesPY)*_xlfn.XLOOKUP(1,($B473=DistributionZone)*($D473=tariffL2)*($E473=tariffType)*("Usage proportion"=Description),valuesFY)</f>
        <v>2054.6441546346314</v>
      </c>
      <c r="G473" s="570" t="s">
        <v>77</v>
      </c>
      <c r="H473" s="574"/>
      <c r="I473" s="574" cm="1">
        <f t="array" ref="I473">IFERROR(_xlfn.XLOOKUP(1,($B473=DistributionZone)*($I$5=Desc_FixedOrVar)*($G473=Description),valuesPY),0)</f>
        <v>0.57443</v>
      </c>
      <c r="J473" s="574">
        <f t="shared" si="241"/>
        <v>1.1802492417467714</v>
      </c>
      <c r="K473" s="575" t="str">
        <f>IFERROR(J473/J480,"")</f>
        <v/>
      </c>
      <c r="L473" s="575"/>
      <c r="M473" s="575">
        <f t="shared" si="239"/>
        <v>-9.5799314102675948E-2</v>
      </c>
      <c r="N473" s="576"/>
      <c r="O473" s="574"/>
      <c r="P473" s="574" cm="1">
        <f t="array" ref="P473">IFERROR(_xlfn.XLOOKUP(1,($B473=DistributionZone)*($I$5=Desc_FixedOrVar)*($G473=Description),valuesFY),0)</f>
        <v>0.51939999999999997</v>
      </c>
      <c r="Q473" s="574">
        <f t="shared" si="242"/>
        <v>1.0671821739172274</v>
      </c>
      <c r="R473" s="575">
        <f t="shared" si="240"/>
        <v>2.0247739427045283E-3</v>
      </c>
      <c r="S473" s="575"/>
      <c r="T473" s="612"/>
      <c r="U473" s="575"/>
      <c r="V473" s="575"/>
      <c r="W473" s="575"/>
      <c r="X473" s="575"/>
      <c r="Y473" s="575"/>
      <c r="Z473" s="575"/>
      <c r="AA473" s="575"/>
      <c r="AB473" s="575"/>
      <c r="AC473" s="575"/>
      <c r="AD473" s="575"/>
      <c r="AE473" s="575"/>
      <c r="AF473" s="575"/>
      <c r="AG473" s="575"/>
      <c r="AH473" s="575"/>
      <c r="AI473" s="575"/>
      <c r="AJ473" s="575"/>
    </row>
    <row r="474" spans="2:36" s="570" customFormat="1" x14ac:dyDescent="0.35">
      <c r="B474" s="570" t="str">
        <f t="shared" si="231"/>
        <v>SAPN</v>
      </c>
      <c r="C474" s="570" t="str">
        <f t="shared" si="232"/>
        <v>Residential</v>
      </c>
      <c r="D474" s="570" t="str">
        <f t="shared" si="233"/>
        <v>time of use</v>
      </c>
      <c r="E474" s="570" t="s">
        <v>278</v>
      </c>
      <c r="F474" s="485" cm="1">
        <f t="array" ref="F474">_xlfn.XLOOKUP(1,($B474=DistributionZone)*($C474=CustomerType)*($D474=tariffL2)*($F$5=Description),valuesPY)*_xlfn.XLOOKUP(1,($B474=DistributionZone)*($D474=tariffL2)*($E474=tariffType)*("Usage proportion"=Description),valuesFY)</f>
        <v>2054.6441546346314</v>
      </c>
      <c r="G474" s="570" t="s">
        <v>71</v>
      </c>
      <c r="H474" s="574"/>
      <c r="I474" s="574" cm="1">
        <f t="array" ref="I474">IFERROR(_xlfn.XLOOKUP(1,($B474=DistributionZone)*($I$5=Desc_FixedOrVar)*($G474=Description),valuesPY),0)</f>
        <v>6.7563101629320773E-3</v>
      </c>
      <c r="J474" s="574">
        <f t="shared" si="241"/>
        <v>1.3881813183166945E-2</v>
      </c>
      <c r="K474" s="575" t="str">
        <f>IFERROR(J474/J480,"")</f>
        <v/>
      </c>
      <c r="L474" s="575"/>
      <c r="M474" s="575">
        <f t="shared" si="239"/>
        <v>151.47675540987953</v>
      </c>
      <c r="N474" s="576"/>
      <c r="O474" s="574"/>
      <c r="P474" s="574" cm="1">
        <f t="array" ref="P474">IFERROR(_xlfn.XLOOKUP(1,($B474=DistributionZone)*($I$5=Desc_FixedOrVar)*($G474=Description),valuesFY),0)</f>
        <v>1.0301802521866776</v>
      </c>
      <c r="Q474" s="574">
        <f t="shared" si="242"/>
        <v>2.1166538333753873</v>
      </c>
      <c r="R474" s="575">
        <f t="shared" si="240"/>
        <v>4.0159455735779065E-3</v>
      </c>
      <c r="S474" s="575"/>
      <c r="T474" s="612"/>
      <c r="U474" s="575"/>
      <c r="V474" s="575"/>
      <c r="W474" s="575"/>
      <c r="X474" s="575"/>
      <c r="Y474" s="575"/>
      <c r="Z474" s="575"/>
      <c r="AA474" s="575"/>
      <c r="AB474" s="575"/>
      <c r="AC474" s="575"/>
      <c r="AD474" s="575"/>
      <c r="AE474" s="575"/>
      <c r="AF474" s="575"/>
      <c r="AG474" s="575"/>
      <c r="AH474" s="575"/>
      <c r="AI474" s="575"/>
      <c r="AJ474" s="575"/>
    </row>
    <row r="475" spans="2:36" s="570" customFormat="1" x14ac:dyDescent="0.35">
      <c r="B475" s="570" t="str">
        <f t="shared" si="231"/>
        <v>SAPN</v>
      </c>
      <c r="C475" s="570" t="str">
        <f t="shared" si="232"/>
        <v>Residential</v>
      </c>
      <c r="D475" s="570" t="str">
        <f t="shared" si="233"/>
        <v>time of use</v>
      </c>
      <c r="E475" s="570" t="s">
        <v>278</v>
      </c>
      <c r="F475" s="485" cm="1">
        <f t="array" ref="F475">_xlfn.XLOOKUP(1,($B475=DistributionZone)*($C475=CustomerType)*($D475=tariffL2)*($F$5=Description),valuesPY)*_xlfn.XLOOKUP(1,($B475=DistributionZone)*($D475=tariffL2)*($E475=tariffType)*("Usage proportion"=Description),valuesFY)</f>
        <v>2054.6441546346314</v>
      </c>
      <c r="G475" s="570" t="s">
        <v>173</v>
      </c>
      <c r="H475" s="574"/>
      <c r="I475" s="574" cm="1">
        <f t="array" ref="I475">IFERROR(_xlfn.XLOOKUP(1,($B475=DistributionZone)*($I$5=Desc_FixedOrVar)*($G475=Description),valuesPY),0)</f>
        <v>5.0625427163511004E-2</v>
      </c>
      <c r="J475" s="574">
        <f t="shared" si="241"/>
        <v>0.10401723799738917</v>
      </c>
      <c r="K475" s="575" t="str">
        <f>IFERROR(J475/J480,"")</f>
        <v/>
      </c>
      <c r="L475" s="575"/>
      <c r="M475" s="575">
        <f t="shared" si="239"/>
        <v>-1</v>
      </c>
      <c r="N475" s="576"/>
      <c r="O475" s="574"/>
      <c r="P475" s="574" cm="1">
        <f t="array" ref="P475">IFERROR(_xlfn.XLOOKUP(1,($B475=DistributionZone)*($I$5=Desc_FixedOrVar)*($G475=Description),valuesFY),0)</f>
        <v>0</v>
      </c>
      <c r="Q475" s="574">
        <f t="shared" si="242"/>
        <v>0</v>
      </c>
      <c r="R475" s="575">
        <f t="shared" si="240"/>
        <v>0</v>
      </c>
      <c r="S475" s="575"/>
      <c r="T475" s="612"/>
      <c r="U475" s="575"/>
      <c r="V475" s="575"/>
      <c r="W475" s="575"/>
      <c r="X475" s="575"/>
      <c r="Y475" s="575"/>
      <c r="Z475" s="575"/>
      <c r="AA475" s="575"/>
      <c r="AB475" s="575"/>
      <c r="AC475" s="575"/>
      <c r="AD475" s="575"/>
      <c r="AE475" s="575"/>
      <c r="AF475" s="575"/>
      <c r="AG475" s="575"/>
      <c r="AH475" s="575"/>
      <c r="AI475" s="575"/>
      <c r="AJ475" s="575"/>
    </row>
    <row r="476" spans="2:36" s="570" customFormat="1" x14ac:dyDescent="0.35">
      <c r="B476" s="570" t="str">
        <f t="shared" si="231"/>
        <v>SAPN</v>
      </c>
      <c r="C476" s="570" t="str">
        <f t="shared" si="232"/>
        <v>Residential</v>
      </c>
      <c r="D476" s="570" t="str">
        <f t="shared" si="233"/>
        <v>time of use</v>
      </c>
      <c r="E476" s="570" t="s">
        <v>278</v>
      </c>
      <c r="F476" s="485" cm="1">
        <f t="array" ref="F476">_xlfn.XLOOKUP(1,($B476=DistributionZone)*($C476=CustomerType)*($D476=tariffL2)*($F$5=Description),valuesPY)*_xlfn.XLOOKUP(1,($B476=DistributionZone)*($D476=tariffL2)*($E476=tariffType)*("Usage proportion"=Description),valuesFY)</f>
        <v>2054.6441546346314</v>
      </c>
      <c r="G476" s="570" t="s">
        <v>130</v>
      </c>
      <c r="H476" s="574"/>
      <c r="I476" s="574" cm="1">
        <f t="array" ref="I476">IFERROR(_xlfn.XLOOKUP(1,($B476=DistributionZone)*($I$5=Desc_FixedOrVar)*($G476=Description),valuesPY),0)</f>
        <v>3.6927728105909479</v>
      </c>
      <c r="J476" s="574">
        <f t="shared" si="241"/>
        <v>7.5873340696743901</v>
      </c>
      <c r="K476" s="575" t="str">
        <f>IFERROR(J476/J480,"")</f>
        <v/>
      </c>
      <c r="L476" s="575"/>
      <c r="M476" s="575">
        <f t="shared" si="239"/>
        <v>-4.5781075827628026E-2</v>
      </c>
      <c r="N476" s="576"/>
      <c r="O476" s="574"/>
      <c r="P476" s="574" cm="1">
        <f t="array" ref="P476">IFERROR(_xlfn.XLOOKUP(1,($B476=DistributionZone)*($I$5=Desc_FixedOrVar)*($G476=Description),valuesFY),0)</f>
        <v>3.5237136985350812</v>
      </c>
      <c r="Q476" s="574">
        <f t="shared" si="242"/>
        <v>7.2399777533010816</v>
      </c>
      <c r="R476" s="575">
        <f t="shared" si="240"/>
        <v>1.3736472234010073E-2</v>
      </c>
      <c r="S476" s="575"/>
      <c r="T476" s="612"/>
      <c r="U476" s="575"/>
      <c r="V476" s="575"/>
      <c r="W476" s="575"/>
      <c r="X476" s="575"/>
      <c r="Y476" s="575"/>
      <c r="Z476" s="575"/>
      <c r="AA476" s="575"/>
      <c r="AB476" s="575"/>
      <c r="AC476" s="575"/>
      <c r="AD476" s="575"/>
      <c r="AE476" s="575"/>
      <c r="AF476" s="575"/>
      <c r="AG476" s="575"/>
      <c r="AH476" s="575"/>
      <c r="AI476" s="575"/>
      <c r="AJ476" s="575"/>
    </row>
    <row r="477" spans="2:36" s="570" customFormat="1" x14ac:dyDescent="0.35">
      <c r="B477" s="570" t="str">
        <f t="shared" si="231"/>
        <v>SAPN</v>
      </c>
      <c r="C477" s="570" t="str">
        <f t="shared" si="232"/>
        <v>Residential</v>
      </c>
      <c r="D477" s="570" t="str">
        <f t="shared" si="233"/>
        <v>time of use</v>
      </c>
      <c r="E477" s="570" t="s">
        <v>278</v>
      </c>
      <c r="F477" s="485" cm="1">
        <f t="array" ref="F477">_xlfn.XLOOKUP(1,($B477=DistributionZone)*($C477=CustomerType)*($D477=tariffL2)*($F$5=Description),valuesPY)*_xlfn.XLOOKUP(1,($B477=DistributionZone)*($D477=tariffL2)*($E477=tariffType)*("Usage proportion"=Description),valuesFY)</f>
        <v>2054.6441546346314</v>
      </c>
      <c r="G477" s="570" t="s">
        <v>302</v>
      </c>
      <c r="H477" s="574"/>
      <c r="I477" s="574"/>
      <c r="J477" s="574"/>
      <c r="K477" s="575"/>
      <c r="L477" s="575"/>
      <c r="M477" s="575"/>
      <c r="N477" s="576"/>
      <c r="O477" s="574"/>
      <c r="P477" s="574" cm="1">
        <f t="array" ref="P477">IFERROR(_xlfn.XLOOKUP(1,($B477=DistributionZone)*($P$5=Desc_FixedOrVar)*($D477=tariffL2)*($G477=Description),valuesFY),0)</f>
        <v>1.0139999999999987</v>
      </c>
      <c r="Q477" s="574">
        <f t="shared" ref="Q477" si="243">IF(AND(O477="",P477=""),"",O477+P477*$F477/1000)</f>
        <v>2.0834091727995139</v>
      </c>
      <c r="R477" s="575">
        <f>IFERROR(Q477/$Q$480,"")</f>
        <v>3.9528701923419131E-3</v>
      </c>
      <c r="S477" s="575"/>
      <c r="T477" s="612"/>
      <c r="U477" s="575"/>
      <c r="V477" s="575"/>
      <c r="W477" s="575"/>
      <c r="X477" s="575"/>
      <c r="Y477" s="575"/>
      <c r="Z477" s="575"/>
      <c r="AA477" s="575"/>
      <c r="AB477" s="575"/>
      <c r="AC477" s="575"/>
      <c r="AD477" s="575"/>
      <c r="AE477" s="575"/>
      <c r="AF477" s="575"/>
      <c r="AG477" s="575"/>
      <c r="AH477" s="575"/>
      <c r="AI477" s="575"/>
      <c r="AJ477" s="575"/>
    </row>
    <row r="478" spans="2:36" s="570" customFormat="1" x14ac:dyDescent="0.35">
      <c r="B478" s="570" t="str">
        <f>B476</f>
        <v>SAPN</v>
      </c>
      <c r="C478" s="570" t="str">
        <f>C476</f>
        <v>Residential</v>
      </c>
      <c r="D478" s="570" t="str">
        <f>D476</f>
        <v>time of use</v>
      </c>
      <c r="E478" s="570" t="s">
        <v>278</v>
      </c>
      <c r="F478" s="485" cm="1">
        <f t="array" ref="F478">_xlfn.XLOOKUP(1,($B478=DistributionZone)*($C478=CustomerType)*($D478=tariffL2)*($F$5=Description),valuesPY)*_xlfn.XLOOKUP(1,($B478=DistributionZone)*($D478=tariffL2)*($E478=tariffType)*("Usage proportion"=Description),valuesFY)</f>
        <v>2054.6441546346314</v>
      </c>
      <c r="G478" s="570" t="s">
        <v>157</v>
      </c>
      <c r="H478" s="574"/>
      <c r="I478" s="574" cm="1">
        <f t="array" ref="I478">IFERROR(_xlfn.XLOOKUP(1,($B478=DistributionZone)*($I$5=Desc_FixedOrVar)*($G478=Description),valuesPY),0)</f>
        <v>5.712785518640878</v>
      </c>
      <c r="J478" s="574">
        <f t="shared" si="241"/>
        <v>11.737741372556851</v>
      </c>
      <c r="K478" s="575" t="str">
        <f>IFERROR(J478/J480,"")</f>
        <v/>
      </c>
      <c r="L478" s="575"/>
      <c r="M478" s="575">
        <f t="shared" si="239"/>
        <v>-0.78484131590226114</v>
      </c>
      <c r="N478" s="576"/>
      <c r="O478" s="574"/>
      <c r="P478" s="574" cm="1">
        <f t="array" ref="P478">IFERROR(_xlfn.XLOOKUP(1,($B478=DistributionZone)*($I$5=Desc_FixedOrVar)*($G478=Description),valuesFY),0)</f>
        <v>1.2291554147233901</v>
      </c>
      <c r="Q478" s="574">
        <f t="shared" si="242"/>
        <v>2.5254769879989194</v>
      </c>
      <c r="R478" s="575">
        <f t="shared" si="240"/>
        <v>4.7916092708242168E-3</v>
      </c>
      <c r="S478" s="575"/>
      <c r="T478" s="612"/>
      <c r="U478" s="575"/>
      <c r="V478" s="575"/>
      <c r="W478" s="575"/>
      <c r="X478" s="575"/>
      <c r="Y478" s="575"/>
      <c r="Z478" s="575"/>
      <c r="AA478" s="575"/>
      <c r="AB478" s="575"/>
      <c r="AC478" s="575"/>
      <c r="AD478" s="575"/>
      <c r="AE478" s="575"/>
      <c r="AF478" s="575"/>
      <c r="AG478" s="575"/>
      <c r="AH478" s="575"/>
      <c r="AI478" s="575"/>
      <c r="AJ478" s="575"/>
    </row>
    <row r="479" spans="2:36" s="570" customFormat="1" x14ac:dyDescent="0.35">
      <c r="B479" s="570" t="str">
        <f t="shared" si="231"/>
        <v>SAPN</v>
      </c>
      <c r="C479" s="570" t="str">
        <f t="shared" si="232"/>
        <v>Residential</v>
      </c>
      <c r="D479" s="570" t="str">
        <f t="shared" si="233"/>
        <v>time of use</v>
      </c>
      <c r="E479" s="570" t="s">
        <v>278</v>
      </c>
      <c r="F479" s="485" cm="1">
        <f t="array" ref="F479">_xlfn.XLOOKUP(1,($B479=DistributionZone)*($C479=CustomerType)*($D479=tariffL2)*($F$5=Description),valuesPY)*_xlfn.XLOOKUP(1,($B479=DistributionZone)*($D479=tariffL2)*($E479=tariffType)*("Usage proportion"=Description),valuesFY)</f>
        <v>2054.6441546346314</v>
      </c>
      <c r="G479" s="570" t="s">
        <v>72</v>
      </c>
      <c r="H479" s="574"/>
      <c r="I479" s="574" cm="1">
        <f t="array" ref="I479">IFERROR(_xlfn.XLOOKUP(1,($B479=DistributionZone)*($C479=CustomerType)*($D479=tariffL2)*($G479=Description),valuesPY),0)*SUM(I471:I478)</f>
        <v>0</v>
      </c>
      <c r="J479" s="574">
        <f t="shared" si="241"/>
        <v>0</v>
      </c>
      <c r="K479" s="575" t="str">
        <f>IFERROR(J479/J480,"")</f>
        <v/>
      </c>
      <c r="L479" s="575"/>
      <c r="M479" s="575" t="str">
        <f t="shared" si="239"/>
        <v/>
      </c>
      <c r="N479" s="576"/>
      <c r="O479" s="574"/>
      <c r="P479" s="574" cm="1">
        <f t="array" ref="P479">IFERROR(_xlfn.XLOOKUP(1,($B479=DistributionZone)*($C479=CustomerType)*("Losses"=Description)*($D479=tariffType)*($P$5=Desc_FixedOrVar),valuesFY),0)*SUM(P471:P478)</f>
        <v>26.363483553034623</v>
      </c>
      <c r="Q479" s="574">
        <f t="shared" si="242"/>
        <v>54.167577378048833</v>
      </c>
      <c r="R479" s="575">
        <f t="shared" si="240"/>
        <v>0.10277261173874452</v>
      </c>
      <c r="S479" s="575"/>
      <c r="T479" s="612"/>
      <c r="U479" s="575"/>
      <c r="V479" s="575"/>
      <c r="W479" s="575"/>
      <c r="X479" s="575"/>
      <c r="Y479" s="575"/>
      <c r="Z479" s="575"/>
      <c r="AA479" s="575"/>
      <c r="AB479" s="575"/>
      <c r="AC479" s="575"/>
      <c r="AD479" s="575"/>
      <c r="AE479" s="575"/>
      <c r="AF479" s="575"/>
      <c r="AG479" s="575"/>
      <c r="AH479" s="575"/>
      <c r="AI479" s="575"/>
      <c r="AJ479" s="575"/>
    </row>
    <row r="480" spans="2:36" s="571" customFormat="1" x14ac:dyDescent="0.35">
      <c r="B480" s="570" t="str">
        <f t="shared" si="231"/>
        <v>SAPN</v>
      </c>
      <c r="C480" s="570" t="str">
        <f t="shared" si="232"/>
        <v>Residential</v>
      </c>
      <c r="D480" s="570" t="str">
        <f t="shared" si="233"/>
        <v>time of use</v>
      </c>
      <c r="E480" s="570" t="s">
        <v>278</v>
      </c>
      <c r="F480" s="584"/>
      <c r="G480" s="571" t="s">
        <v>55</v>
      </c>
      <c r="H480" s="577"/>
      <c r="I480" s="577">
        <f>IF($H$3=PY,0,SUM(I471:I479))</f>
        <v>0</v>
      </c>
      <c r="J480" s="577">
        <f>IF($H$3=PY,0,I480*F471/1000+H473)</f>
        <v>0</v>
      </c>
      <c r="K480" s="578"/>
      <c r="L480" s="578"/>
      <c r="M480" s="578"/>
      <c r="N480" s="624"/>
      <c r="O480" s="577"/>
      <c r="P480" s="577">
        <f>SUM(P471:P479)</f>
        <v>256.5224635922703</v>
      </c>
      <c r="Q480" s="577">
        <f>P480*F471/1000+O473</f>
        <v>527.06238035233321</v>
      </c>
      <c r="R480" s="578"/>
      <c r="S480" s="578"/>
      <c r="T480" s="621"/>
      <c r="U480" s="578"/>
      <c r="V480" s="578"/>
      <c r="W480" s="578"/>
      <c r="X480" s="578"/>
      <c r="Y480" s="578"/>
      <c r="Z480" s="578"/>
      <c r="AA480" s="578"/>
      <c r="AB480" s="578"/>
      <c r="AC480" s="578"/>
      <c r="AD480" s="578"/>
      <c r="AE480" s="578"/>
      <c r="AF480" s="578"/>
      <c r="AG480" s="578"/>
      <c r="AH480" s="578"/>
      <c r="AI480" s="578"/>
      <c r="AJ480" s="578"/>
    </row>
    <row r="481" spans="2:36" s="570" customFormat="1" x14ac:dyDescent="0.35">
      <c r="B481" s="570" t="str">
        <f t="shared" si="231"/>
        <v>SAPN</v>
      </c>
      <c r="C481" s="570" t="str">
        <f t="shared" si="232"/>
        <v>Residential</v>
      </c>
      <c r="D481" s="570" t="str">
        <f t="shared" si="233"/>
        <v>time of use</v>
      </c>
      <c r="E481" s="570" t="s">
        <v>284</v>
      </c>
      <c r="F481" s="485" cm="1">
        <f t="array" ref="F481">_xlfn.XLOOKUP(1,($B481=DistributionZone)*($C481=CustomerType)*($D481=tariffL2)*($F$5=Description),valuesPY)*_xlfn.XLOOKUP(1,($B481=DistributionZone)*($D481=tariffL2)*($E481=tariffType)*("Usage proportion"=Description),valuesFY)</f>
        <v>1095.5167025881362</v>
      </c>
      <c r="G481" s="570" t="s">
        <v>69</v>
      </c>
      <c r="H481" s="574"/>
      <c r="I481" s="574" cm="1">
        <f t="array" ref="I481">IFERROR(_xlfn.XLOOKUP(1,($B481=DistributionZone)*($C481=CustomerType)*($E481=tariffType)*("WEC scale"=Description),valuesPY),0)*$I$447</f>
        <v>0</v>
      </c>
      <c r="J481" s="574">
        <f t="shared" ref="J481:J489" si="244">IF(AND(H481="",I481=""),"",H481+I481*F481/1000)</f>
        <v>0</v>
      </c>
      <c r="K481" s="575" t="str">
        <f>IFERROR(J481/J490,"")</f>
        <v/>
      </c>
      <c r="L481" s="575"/>
      <c r="M481" s="575" t="str">
        <f>IF(OR(J481=0,Q481=""),"",Q481/J481-1)</f>
        <v/>
      </c>
      <c r="N481" s="576"/>
      <c r="O481" s="574"/>
      <c r="P481" s="574" cm="1">
        <f t="array" ref="P481">IFERROR(_xlfn.XLOOKUP(1,($B481=DistributionZone)*($C481=CustomerType)*($E481=tariffType)*("WEC"=Description),valuesFY),0)</f>
        <v>57.507316335818572</v>
      </c>
      <c r="Q481" s="574">
        <f t="shared" ref="Q481:Q489" si="245">IF(AND(O481="",P481=""),"",O481+P481*$F481/1000)</f>
        <v>63.000225566908824</v>
      </c>
      <c r="R481" s="575">
        <f t="shared" ref="R481:R489" si="246">IFERROR(Q481/$Q$490,"")</f>
        <v>0.70541920688143001</v>
      </c>
      <c r="S481" s="575"/>
      <c r="T481" s="613"/>
      <c r="U481" s="575"/>
      <c r="V481" s="575"/>
      <c r="W481" s="575"/>
      <c r="X481" s="575"/>
      <c r="Y481" s="575"/>
      <c r="Z481" s="575"/>
      <c r="AA481" s="575"/>
      <c r="AB481" s="575"/>
      <c r="AC481" s="575"/>
      <c r="AD481" s="575"/>
      <c r="AE481" s="575"/>
      <c r="AF481" s="575"/>
      <c r="AG481" s="575"/>
      <c r="AH481" s="575"/>
      <c r="AI481" s="575"/>
      <c r="AJ481" s="575"/>
    </row>
    <row r="482" spans="2:36" s="570" customFormat="1" x14ac:dyDescent="0.35">
      <c r="B482" s="570" t="str">
        <f t="shared" si="231"/>
        <v>SAPN</v>
      </c>
      <c r="C482" s="570" t="str">
        <f t="shared" si="232"/>
        <v>Residential</v>
      </c>
      <c r="D482" s="570" t="str">
        <f t="shared" si="233"/>
        <v>time of use</v>
      </c>
      <c r="E482" s="570" t="s">
        <v>284</v>
      </c>
      <c r="F482" s="485" cm="1">
        <f t="array" ref="F482">_xlfn.XLOOKUP(1,($B482=DistributionZone)*($C482=CustomerType)*($D482=tariffL2)*($F$5=Description),valuesPY)*_xlfn.XLOOKUP(1,($B482=DistributionZone)*($D482=tariffL2)*($E482=tariffType)*("Usage proportion"=Description),valuesFY)</f>
        <v>1095.5167025881362</v>
      </c>
      <c r="G482" s="570" t="s">
        <v>70</v>
      </c>
      <c r="H482" s="574"/>
      <c r="I482" s="574" cm="1">
        <f t="array" ref="I482">IFERROR(_xlfn.XLOOKUP(1,($B482=DistributionZone)*($I$5=Desc_FixedOrVar)*($G482=Description),valuesPY),0)</f>
        <v>0.58531011875289041</v>
      </c>
      <c r="J482" s="574">
        <f t="shared" si="244"/>
        <v>0.64121701128763697</v>
      </c>
      <c r="K482" s="575" t="str">
        <f>IFERROR(J482/J490,"")</f>
        <v/>
      </c>
      <c r="L482" s="575"/>
      <c r="M482" s="575">
        <f t="shared" ref="M482:M491" si="247">IF(OR(J482=0,Q482=""),"",Q482/J482-1)</f>
        <v>13.214982373945881</v>
      </c>
      <c r="N482" s="576"/>
      <c r="O482" s="574"/>
      <c r="P482" s="574" cm="1">
        <f t="array" ref="P482">IFERROR(_xlfn.XLOOKUP(1,($B482=DistributionZone)*($I$5=Desc_FixedOrVar)*($G482=Description),valuesFY),0)</f>
        <v>8.3201730213645071</v>
      </c>
      <c r="Q482" s="574">
        <f t="shared" si="245"/>
        <v>9.1148885133280171</v>
      </c>
      <c r="R482" s="575">
        <f t="shared" si="246"/>
        <v>0.1020602286424479</v>
      </c>
      <c r="S482" s="575"/>
      <c r="T482" s="612"/>
      <c r="U482" s="575"/>
      <c r="V482" s="575"/>
      <c r="W482" s="575"/>
      <c r="X482" s="575"/>
      <c r="Y482" s="575"/>
      <c r="Z482" s="575"/>
      <c r="AA482" s="575"/>
      <c r="AB482" s="575"/>
      <c r="AC482" s="575"/>
      <c r="AD482" s="575"/>
      <c r="AE482" s="575"/>
      <c r="AF482" s="575"/>
      <c r="AG482" s="575"/>
      <c r="AH482" s="575"/>
      <c r="AI482" s="575"/>
      <c r="AJ482" s="575"/>
    </row>
    <row r="483" spans="2:36" s="570" customFormat="1" x14ac:dyDescent="0.35">
      <c r="B483" s="570" t="str">
        <f t="shared" si="231"/>
        <v>SAPN</v>
      </c>
      <c r="C483" s="570" t="str">
        <f t="shared" si="232"/>
        <v>Residential</v>
      </c>
      <c r="D483" s="570" t="str">
        <f t="shared" si="233"/>
        <v>time of use</v>
      </c>
      <c r="E483" s="570" t="s">
        <v>284</v>
      </c>
      <c r="F483" s="485" cm="1">
        <f t="array" ref="F483">_xlfn.XLOOKUP(1,($B483=DistributionZone)*($C483=CustomerType)*($D483=tariffL2)*($F$5=Description),valuesPY)*_xlfn.XLOOKUP(1,($B483=DistributionZone)*($D483=tariffL2)*($E483=tariffType)*("Usage proportion"=Description),valuesFY)</f>
        <v>1095.5167025881362</v>
      </c>
      <c r="G483" s="570" t="s">
        <v>77</v>
      </c>
      <c r="H483" s="574"/>
      <c r="I483" s="574" cm="1">
        <f t="array" ref="I483">IFERROR(_xlfn.XLOOKUP(1,($B483=DistributionZone)*($I$5=Desc_FixedOrVar)*($G483=Description),valuesPY),0)</f>
        <v>0.57443</v>
      </c>
      <c r="J483" s="574">
        <f t="shared" si="244"/>
        <v>0.62929765946770311</v>
      </c>
      <c r="K483" s="575" t="str">
        <f>IFERROR(J483/J490,"")</f>
        <v/>
      </c>
      <c r="L483" s="575"/>
      <c r="M483" s="575">
        <f t="shared" si="247"/>
        <v>-9.5799314102675726E-2</v>
      </c>
      <c r="N483" s="576"/>
      <c r="O483" s="574"/>
      <c r="P483" s="574" cm="1">
        <f t="array" ref="P483">IFERROR(_xlfn.XLOOKUP(1,($B483=DistributionZone)*($I$5=Desc_FixedOrVar)*($G483=Description),valuesFY),0)</f>
        <v>0.51939999999999997</v>
      </c>
      <c r="Q483" s="574">
        <f t="shared" si="245"/>
        <v>0.56901137532427792</v>
      </c>
      <c r="R483" s="575">
        <f t="shared" si="246"/>
        <v>6.3712716815826249E-3</v>
      </c>
      <c r="S483" s="575"/>
      <c r="T483" s="612"/>
      <c r="U483" s="575"/>
      <c r="V483" s="575"/>
      <c r="W483" s="575"/>
      <c r="X483" s="575"/>
      <c r="Y483" s="575"/>
      <c r="Z483" s="575"/>
      <c r="AA483" s="575"/>
      <c r="AB483" s="575"/>
      <c r="AC483" s="575"/>
      <c r="AD483" s="575"/>
      <c r="AE483" s="575"/>
      <c r="AF483" s="575"/>
      <c r="AG483" s="575"/>
      <c r="AH483" s="575"/>
      <c r="AI483" s="575"/>
      <c r="AJ483" s="575"/>
    </row>
    <row r="484" spans="2:36" s="570" customFormat="1" x14ac:dyDescent="0.35">
      <c r="B484" s="570" t="str">
        <f t="shared" si="231"/>
        <v>SAPN</v>
      </c>
      <c r="C484" s="570" t="str">
        <f t="shared" si="232"/>
        <v>Residential</v>
      </c>
      <c r="D484" s="570" t="str">
        <f t="shared" si="233"/>
        <v>time of use</v>
      </c>
      <c r="E484" s="570" t="s">
        <v>284</v>
      </c>
      <c r="F484" s="485" cm="1">
        <f t="array" ref="F484">_xlfn.XLOOKUP(1,($B484=DistributionZone)*($C484=CustomerType)*($D484=tariffL2)*($F$5=Description),valuesPY)*_xlfn.XLOOKUP(1,($B484=DistributionZone)*($D484=tariffL2)*($E484=tariffType)*("Usage proportion"=Description),valuesFY)</f>
        <v>1095.5167025881362</v>
      </c>
      <c r="G484" s="570" t="s">
        <v>71</v>
      </c>
      <c r="H484" s="574"/>
      <c r="I484" s="574" cm="1">
        <f t="array" ref="I484">IFERROR(_xlfn.XLOOKUP(1,($B484=DistributionZone)*($I$5=Desc_FixedOrVar)*($G484=Description),valuesPY),0)</f>
        <v>6.7563101629320773E-3</v>
      </c>
      <c r="J484" s="574">
        <f t="shared" si="244"/>
        <v>7.4016506313580631E-3</v>
      </c>
      <c r="K484" s="575" t="str">
        <f>IFERROR(J484/J490,"")</f>
        <v/>
      </c>
      <c r="L484" s="575"/>
      <c r="M484" s="575">
        <f>IF(OR(J484=0,Q484=""),"",Q484/J484-1)</f>
        <v>151.47675540987953</v>
      </c>
      <c r="N484" s="576"/>
      <c r="O484" s="574"/>
      <c r="P484" s="574" cm="1">
        <f t="array" ref="P484">IFERROR(_xlfn.XLOOKUP(1,($B484=DistributionZone)*($I$5=Desc_FixedOrVar)*($G484=Description),valuesFY),0)</f>
        <v>1.0301802521866776</v>
      </c>
      <c r="Q484" s="574">
        <f t="shared" si="245"/>
        <v>1.1285796729469637</v>
      </c>
      <c r="R484" s="575">
        <f t="shared" si="246"/>
        <v>1.2636808370586497E-2</v>
      </c>
      <c r="S484" s="575"/>
      <c r="T484" s="612"/>
      <c r="U484" s="575"/>
      <c r="V484" s="575"/>
      <c r="W484" s="575"/>
      <c r="X484" s="575"/>
      <c r="Y484" s="575"/>
      <c r="Z484" s="575"/>
      <c r="AA484" s="575"/>
      <c r="AB484" s="575"/>
      <c r="AC484" s="575"/>
      <c r="AD484" s="575"/>
      <c r="AE484" s="575"/>
      <c r="AF484" s="575"/>
      <c r="AG484" s="575"/>
      <c r="AH484" s="575"/>
      <c r="AI484" s="575"/>
      <c r="AJ484" s="575"/>
    </row>
    <row r="485" spans="2:36" s="570" customFormat="1" x14ac:dyDescent="0.35">
      <c r="B485" s="570" t="str">
        <f t="shared" si="231"/>
        <v>SAPN</v>
      </c>
      <c r="C485" s="570" t="str">
        <f t="shared" si="232"/>
        <v>Residential</v>
      </c>
      <c r="D485" s="570" t="str">
        <f t="shared" si="233"/>
        <v>time of use</v>
      </c>
      <c r="E485" s="570" t="s">
        <v>284</v>
      </c>
      <c r="F485" s="485" cm="1">
        <f t="array" ref="F485">_xlfn.XLOOKUP(1,($B485=DistributionZone)*($C485=CustomerType)*($D485=tariffL2)*($F$5=Description),valuesPY)*_xlfn.XLOOKUP(1,($B485=DistributionZone)*($D485=tariffL2)*($E485=tariffType)*("Usage proportion"=Description),valuesFY)</f>
        <v>1095.5167025881362</v>
      </c>
      <c r="G485" s="570" t="s">
        <v>173</v>
      </c>
      <c r="H485" s="574"/>
      <c r="I485" s="574" cm="1">
        <f t="array" ref="I485">IFERROR(_xlfn.XLOOKUP(1,($B485=DistributionZone)*($I$5=Desc_FixedOrVar)*($G485=Description),valuesPY),0)</f>
        <v>5.0625427163511004E-2</v>
      </c>
      <c r="J485" s="574">
        <f t="shared" si="244"/>
        <v>5.546100103328544E-2</v>
      </c>
      <c r="K485" s="575" t="str">
        <f>IFERROR(J485/J490,"")</f>
        <v/>
      </c>
      <c r="L485" s="575"/>
      <c r="M485" s="575">
        <f>IF(OR(J485=0,Q485=""),"",Q485/J485-1)</f>
        <v>-1</v>
      </c>
      <c r="N485" s="576"/>
      <c r="O485" s="574"/>
      <c r="P485" s="574" cm="1">
        <f t="array" ref="P485">IFERROR(_xlfn.XLOOKUP(1,($B485=DistributionZone)*($I$5=Desc_FixedOrVar)*($G485=Description),valuesFY),0)</f>
        <v>0</v>
      </c>
      <c r="Q485" s="574">
        <f t="shared" si="245"/>
        <v>0</v>
      </c>
      <c r="R485" s="575">
        <f t="shared" si="246"/>
        <v>0</v>
      </c>
      <c r="S485" s="575"/>
      <c r="T485" s="612"/>
      <c r="U485" s="575"/>
      <c r="V485" s="575"/>
      <c r="W485" s="575"/>
      <c r="X485" s="575"/>
      <c r="Y485" s="575"/>
      <c r="Z485" s="575"/>
      <c r="AA485" s="575"/>
      <c r="AB485" s="575"/>
      <c r="AC485" s="575"/>
      <c r="AD485" s="575"/>
      <c r="AE485" s="575"/>
      <c r="AF485" s="575"/>
      <c r="AG485" s="575"/>
      <c r="AH485" s="575"/>
      <c r="AI485" s="575"/>
      <c r="AJ485" s="575"/>
    </row>
    <row r="486" spans="2:36" s="570" customFormat="1" x14ac:dyDescent="0.35">
      <c r="B486" s="570" t="str">
        <f t="shared" si="231"/>
        <v>SAPN</v>
      </c>
      <c r="C486" s="570" t="str">
        <f t="shared" si="232"/>
        <v>Residential</v>
      </c>
      <c r="D486" s="570" t="str">
        <f t="shared" si="233"/>
        <v>time of use</v>
      </c>
      <c r="E486" s="570" t="s">
        <v>284</v>
      </c>
      <c r="F486" s="485" cm="1">
        <f t="array" ref="F486">_xlfn.XLOOKUP(1,($B486=DistributionZone)*($C486=CustomerType)*($D486=tariffL2)*($F$5=Description),valuesPY)*_xlfn.XLOOKUP(1,($B486=DistributionZone)*($D486=tariffL2)*($E486=tariffType)*("Usage proportion"=Description),valuesFY)</f>
        <v>1095.5167025881362</v>
      </c>
      <c r="G486" s="570" t="s">
        <v>130</v>
      </c>
      <c r="H486" s="574"/>
      <c r="I486" s="574" cm="1">
        <f t="array" ref="I486">IFERROR(_xlfn.XLOOKUP(1,($B486=DistributionZone)*($I$5=Desc_FixedOrVar)*($G486=Description),valuesPY),0)</f>
        <v>3.6927728105909479</v>
      </c>
      <c r="J486" s="574">
        <f t="shared" si="244"/>
        <v>4.0454942928657189</v>
      </c>
      <c r="K486" s="575" t="str">
        <f>IFERROR(J486/J490,"")</f>
        <v/>
      </c>
      <c r="L486" s="575"/>
      <c r="M486" s="575">
        <f t="shared" si="247"/>
        <v>-4.5781075827627804E-2</v>
      </c>
      <c r="N486" s="576"/>
      <c r="O486" s="574"/>
      <c r="P486" s="574" cm="1">
        <f t="array" ref="P486">IFERROR(_xlfn.XLOOKUP(1,($B486=DistributionZone)*($I$5=Desc_FixedOrVar)*($G486=Description),valuesFY),0)</f>
        <v>3.5237136985350812</v>
      </c>
      <c r="Q486" s="574">
        <f t="shared" si="245"/>
        <v>3.8602872118837981</v>
      </c>
      <c r="R486" s="575">
        <f t="shared" si="246"/>
        <v>4.3223984022875118E-2</v>
      </c>
      <c r="S486" s="575"/>
      <c r="T486" s="612"/>
      <c r="U486" s="575"/>
      <c r="V486" s="575"/>
      <c r="W486" s="575"/>
      <c r="X486" s="575"/>
      <c r="Y486" s="575"/>
      <c r="Z486" s="575"/>
      <c r="AA486" s="575"/>
      <c r="AB486" s="575"/>
      <c r="AC486" s="575"/>
      <c r="AD486" s="575"/>
      <c r="AE486" s="575"/>
      <c r="AF486" s="575"/>
      <c r="AG486" s="575"/>
      <c r="AH486" s="575"/>
      <c r="AI486" s="575"/>
      <c r="AJ486" s="575"/>
    </row>
    <row r="487" spans="2:36" s="570" customFormat="1" x14ac:dyDescent="0.35">
      <c r="B487" s="570" t="str">
        <f t="shared" si="231"/>
        <v>SAPN</v>
      </c>
      <c r="C487" s="570" t="str">
        <f t="shared" si="232"/>
        <v>Residential</v>
      </c>
      <c r="D487" s="570" t="str">
        <f t="shared" si="233"/>
        <v>time of use</v>
      </c>
      <c r="E487" s="570" t="s">
        <v>284</v>
      </c>
      <c r="F487" s="485" cm="1">
        <f t="array" ref="F487">_xlfn.XLOOKUP(1,($B487=DistributionZone)*($C487=CustomerType)*($D487=tariffL2)*($F$5=Description),valuesPY)*_xlfn.XLOOKUP(1,($B487=DistributionZone)*($D487=tariffL2)*($E487=tariffType)*("Usage proportion"=Description),valuesFY)</f>
        <v>1095.5167025881362</v>
      </c>
      <c r="G487" s="570" t="s">
        <v>302</v>
      </c>
      <c r="H487" s="574"/>
      <c r="I487" s="574"/>
      <c r="J487" s="574"/>
      <c r="K487" s="575"/>
      <c r="L487" s="575"/>
      <c r="M487" s="575"/>
      <c r="N487" s="576"/>
      <c r="O487" s="574"/>
      <c r="P487" s="574" cm="1">
        <f t="array" ref="P487">IFERROR(_xlfn.XLOOKUP(1,($B487=DistributionZone)*($P$5=Desc_FixedOrVar)*($D487=tariffL2)*($G487=Description),valuesFY),0)</f>
        <v>1.0139999999999987</v>
      </c>
      <c r="Q487" s="574">
        <f t="shared" ref="Q487" si="248">IF(AND(O487="",P487=""),"",O487+P487*$F487/1000)</f>
        <v>1.1108539364243686</v>
      </c>
      <c r="R487" s="575">
        <f>IFERROR(Q487/$Q$490,"")</f>
        <v>1.2438331700278731E-2</v>
      </c>
      <c r="S487" s="575"/>
      <c r="T487" s="612"/>
      <c r="U487" s="575"/>
      <c r="V487" s="575"/>
      <c r="W487" s="575"/>
      <c r="X487" s="575"/>
      <c r="Y487" s="575"/>
      <c r="Z487" s="575"/>
      <c r="AA487" s="575"/>
      <c r="AB487" s="575"/>
      <c r="AC487" s="575"/>
      <c r="AD487" s="575"/>
      <c r="AE487" s="575"/>
      <c r="AF487" s="575"/>
      <c r="AG487" s="575"/>
      <c r="AH487" s="575"/>
      <c r="AI487" s="575"/>
      <c r="AJ487" s="575"/>
    </row>
    <row r="488" spans="2:36" s="570" customFormat="1" x14ac:dyDescent="0.35">
      <c r="B488" s="570" t="str">
        <f>B486</f>
        <v>SAPN</v>
      </c>
      <c r="C488" s="570" t="str">
        <f>C486</f>
        <v>Residential</v>
      </c>
      <c r="D488" s="570" t="str">
        <f>D486</f>
        <v>time of use</v>
      </c>
      <c r="E488" s="570" t="s">
        <v>284</v>
      </c>
      <c r="F488" s="485" cm="1">
        <f t="array" ref="F488">_xlfn.XLOOKUP(1,($B488=DistributionZone)*($C488=CustomerType)*($D488=tariffL2)*($F$5=Description),valuesPY)*_xlfn.XLOOKUP(1,($B488=DistributionZone)*($D488=tariffL2)*($E488=tariffType)*("Usage proportion"=Description),valuesFY)</f>
        <v>1095.5167025881362</v>
      </c>
      <c r="G488" s="570" t="s">
        <v>157</v>
      </c>
      <c r="H488" s="574"/>
      <c r="I488" s="574" cm="1">
        <f t="array" ref="I488">IFERROR(_xlfn.XLOOKUP(1,($B488=DistributionZone)*($I$5=Desc_FixedOrVar)*($G488=Description),valuesPY),0)</f>
        <v>5.712785518640878</v>
      </c>
      <c r="J488" s="574">
        <f t="shared" si="244"/>
        <v>6.2584519539747108</v>
      </c>
      <c r="K488" s="575" t="str">
        <f>IFERROR(J488/J490,"")</f>
        <v/>
      </c>
      <c r="L488" s="575"/>
      <c r="M488" s="575">
        <f>IF(OR(J488=0,Q488=""),"",Q488/J488-1)</f>
        <v>-0.78484131590226114</v>
      </c>
      <c r="N488" s="576"/>
      <c r="O488" s="574"/>
      <c r="P488" s="574" cm="1">
        <f t="array" ref="P488">IFERROR(_xlfn.XLOOKUP(1,($B488=DistributionZone)*($I$5=Desc_FixedOrVar)*($G488=Description),valuesFY),0)</f>
        <v>1.2291554147233901</v>
      </c>
      <c r="Q488" s="574">
        <f t="shared" si="245"/>
        <v>1.3465602869061213</v>
      </c>
      <c r="R488" s="575">
        <f t="shared" si="246"/>
        <v>1.5077556962054451E-2</v>
      </c>
      <c r="S488" s="575"/>
      <c r="T488" s="612"/>
      <c r="U488" s="575"/>
      <c r="V488" s="575"/>
      <c r="W488" s="575"/>
      <c r="X488" s="575"/>
      <c r="Y488" s="575"/>
      <c r="Z488" s="575"/>
      <c r="AA488" s="575"/>
      <c r="AB488" s="575"/>
      <c r="AC488" s="575"/>
      <c r="AD488" s="575"/>
      <c r="AE488" s="575"/>
      <c r="AF488" s="575"/>
      <c r="AG488" s="575"/>
      <c r="AH488" s="575"/>
      <c r="AI488" s="575"/>
      <c r="AJ488" s="575"/>
    </row>
    <row r="489" spans="2:36" s="570" customFormat="1" x14ac:dyDescent="0.35">
      <c r="B489" s="570" t="str">
        <f t="shared" si="231"/>
        <v>SAPN</v>
      </c>
      <c r="C489" s="570" t="str">
        <f t="shared" si="232"/>
        <v>Residential</v>
      </c>
      <c r="D489" s="570" t="str">
        <f t="shared" si="233"/>
        <v>time of use</v>
      </c>
      <c r="E489" s="570" t="s">
        <v>284</v>
      </c>
      <c r="F489" s="485" cm="1">
        <f t="array" ref="F489">_xlfn.XLOOKUP(1,($B489=DistributionZone)*($C489=CustomerType)*($D489=tariffL2)*($F$5=Description),valuesPY)*_xlfn.XLOOKUP(1,($B489=DistributionZone)*($D489=tariffL2)*($E489=tariffType)*("Usage proportion"=Description),valuesFY)</f>
        <v>1095.5167025881362</v>
      </c>
      <c r="G489" s="570" t="s">
        <v>72</v>
      </c>
      <c r="H489" s="574"/>
      <c r="I489" s="574" cm="1">
        <f t="array" ref="I489">IFERROR(_xlfn.XLOOKUP(1,($B489=DistributionZone)*($C489=CustomerType)*($D489=tariffL2)*($G489=Description),valuesPY),0)*SUM(I481:I488)</f>
        <v>0</v>
      </c>
      <c r="J489" s="574">
        <f t="shared" si="244"/>
        <v>0</v>
      </c>
      <c r="K489" s="575" t="str">
        <f>IFERROR(J489/J490,"")</f>
        <v/>
      </c>
      <c r="L489" s="575"/>
      <c r="M489" s="575" t="str">
        <f>IF(OR(J489=0,Q489=""),"",Q489/J489-1)</f>
        <v/>
      </c>
      <c r="N489" s="576"/>
      <c r="O489" s="574"/>
      <c r="P489" s="574" cm="1">
        <f t="array" ref="P489">IFERROR(_xlfn.XLOOKUP(1,($B489=DistributionZone)*($C489=CustomerType)*("Losses"=Description)*($D489=tariffType)*($P$5=Desc_FixedOrVar),valuesFY),0)*SUM(P481:P488)</f>
        <v>8.3782480491938891</v>
      </c>
      <c r="Q489" s="574">
        <f t="shared" si="245"/>
        <v>9.1785106763183748</v>
      </c>
      <c r="R489" s="575">
        <f t="shared" si="246"/>
        <v>0.10277261173874451</v>
      </c>
      <c r="S489" s="575"/>
      <c r="T489" s="612"/>
      <c r="U489" s="575"/>
      <c r="V489" s="575"/>
      <c r="W489" s="575"/>
      <c r="X489" s="575"/>
      <c r="Y489" s="575"/>
      <c r="Z489" s="575"/>
      <c r="AA489" s="575"/>
      <c r="AB489" s="575"/>
      <c r="AC489" s="575"/>
      <c r="AD489" s="575"/>
      <c r="AE489" s="575"/>
      <c r="AF489" s="575"/>
      <c r="AG489" s="575"/>
      <c r="AH489" s="575"/>
      <c r="AI489" s="575"/>
      <c r="AJ489" s="575"/>
    </row>
    <row r="490" spans="2:36" s="571" customFormat="1" x14ac:dyDescent="0.35">
      <c r="B490" s="570" t="str">
        <f t="shared" si="231"/>
        <v>SAPN</v>
      </c>
      <c r="C490" s="570" t="str">
        <f t="shared" si="232"/>
        <v>Residential</v>
      </c>
      <c r="D490" s="570" t="str">
        <f t="shared" si="233"/>
        <v>time of use</v>
      </c>
      <c r="E490" s="570" t="s">
        <v>284</v>
      </c>
      <c r="F490" s="584"/>
      <c r="G490" s="571" t="s">
        <v>55</v>
      </c>
      <c r="H490" s="577"/>
      <c r="I490" s="577">
        <f>IF($H$3=PY,0,SUM(I481:I489))</f>
        <v>0</v>
      </c>
      <c r="J490" s="577">
        <f>IF($H$3=PY,0,I490*F481/1000+H483)</f>
        <v>0</v>
      </c>
      <c r="K490" s="578"/>
      <c r="L490" s="578"/>
      <c r="M490" s="578"/>
      <c r="N490" s="624"/>
      <c r="O490" s="577"/>
      <c r="P490" s="577">
        <f>SUM(P481:P489)</f>
        <v>81.52218677182212</v>
      </c>
      <c r="Q490" s="577">
        <f>P490*F481/1000+O483</f>
        <v>89.308917240040756</v>
      </c>
      <c r="R490" s="578"/>
      <c r="S490" s="578"/>
      <c r="T490" s="621"/>
      <c r="U490" s="578"/>
      <c r="V490" s="578"/>
      <c r="W490" s="578"/>
      <c r="X490" s="578"/>
      <c r="Y490" s="578"/>
      <c r="Z490" s="578"/>
      <c r="AA490" s="578"/>
      <c r="AB490" s="578"/>
      <c r="AC490" s="578"/>
      <c r="AD490" s="578"/>
      <c r="AE490" s="578"/>
      <c r="AF490" s="578"/>
      <c r="AG490" s="578"/>
      <c r="AH490" s="578"/>
      <c r="AI490" s="578"/>
      <c r="AJ490" s="578"/>
    </row>
    <row r="491" spans="2:36" s="570" customFormat="1" x14ac:dyDescent="0.35">
      <c r="B491" s="570" t="str">
        <f t="shared" si="231"/>
        <v>SAPN</v>
      </c>
      <c r="C491" s="570" t="str">
        <f t="shared" si="232"/>
        <v>Residential</v>
      </c>
      <c r="D491" s="570" t="str">
        <f t="shared" si="233"/>
        <v>time of use</v>
      </c>
      <c r="E491" s="570" t="s">
        <v>272</v>
      </c>
      <c r="F491" s="485" cm="1">
        <f t="array" ref="F491">_xlfn.XLOOKUP(1,($B491=DistributionZone)*($C491=CustomerType)*($D491=tariffL2)*($F$5=Description),valuesPY)</f>
        <v>4000</v>
      </c>
      <c r="G491" s="571" t="s">
        <v>55</v>
      </c>
      <c r="H491" s="577">
        <f>IF(H3=PY,0,SUM(H481:H489,H471:H479,H461:H469))</f>
        <v>0</v>
      </c>
      <c r="I491" s="577"/>
      <c r="J491" s="577">
        <f>IF(H3=PY,0,SUM(J470,J480,J490))</f>
        <v>0</v>
      </c>
      <c r="K491" s="578"/>
      <c r="L491" s="579"/>
      <c r="M491" s="578" t="str">
        <f t="shared" si="247"/>
        <v/>
      </c>
      <c r="N491" s="580"/>
      <c r="O491" s="577">
        <f>SUM(O461:O490)</f>
        <v>13.125399999999999</v>
      </c>
      <c r="P491" s="577"/>
      <c r="Q491" s="577">
        <f>SUM(Q470,Q480,Q490)</f>
        <v>766.18588208873598</v>
      </c>
      <c r="R491" s="578"/>
      <c r="S491" s="578"/>
      <c r="T491" s="621"/>
      <c r="U491" s="578"/>
      <c r="V491" s="578"/>
      <c r="W491" s="578"/>
      <c r="X491" s="578"/>
      <c r="Y491" s="578"/>
      <c r="Z491" s="578"/>
      <c r="AA491" s="578"/>
      <c r="AB491" s="578"/>
      <c r="AC491" s="578"/>
      <c r="AD491" s="578"/>
      <c r="AE491" s="578"/>
      <c r="AF491" s="578"/>
      <c r="AG491" s="578"/>
      <c r="AH491" s="578"/>
      <c r="AI491" s="578"/>
      <c r="AJ491" s="578"/>
    </row>
    <row r="492" spans="2:36" s="570" customFormat="1" x14ac:dyDescent="0.35">
      <c r="B492" s="570" t="str">
        <f t="shared" si="231"/>
        <v>SAPN</v>
      </c>
      <c r="C492" s="570" t="str">
        <f t="shared" si="232"/>
        <v>Residential</v>
      </c>
      <c r="D492" s="570" t="str">
        <f t="shared" si="233"/>
        <v>time of use</v>
      </c>
      <c r="F492" s="485"/>
      <c r="G492" s="570" t="s">
        <v>38</v>
      </c>
      <c r="H492" s="574"/>
      <c r="I492" s="574"/>
      <c r="J492" s="574">
        <f>J491*GST</f>
        <v>0</v>
      </c>
      <c r="K492" s="575"/>
      <c r="L492" s="581"/>
      <c r="M492" s="575"/>
      <c r="N492" s="582"/>
      <c r="O492" s="574"/>
      <c r="P492" s="574"/>
      <c r="Q492" s="574">
        <f>Q491*GST</f>
        <v>76.618588208873604</v>
      </c>
      <c r="R492" s="578"/>
      <c r="S492" s="578"/>
      <c r="T492" s="621"/>
      <c r="U492" s="578"/>
      <c r="V492" s="578"/>
      <c r="W492" s="578"/>
      <c r="X492" s="578"/>
      <c r="Y492" s="578"/>
      <c r="Z492" s="578"/>
      <c r="AA492" s="578"/>
      <c r="AB492" s="578"/>
      <c r="AC492" s="578"/>
      <c r="AD492" s="578"/>
      <c r="AE492" s="578"/>
      <c r="AF492" s="578"/>
      <c r="AG492" s="578"/>
      <c r="AH492" s="578"/>
      <c r="AI492" s="578"/>
      <c r="AJ492" s="578"/>
    </row>
    <row r="493" spans="2:36" s="570" customFormat="1" x14ac:dyDescent="0.35">
      <c r="B493" s="570" t="str">
        <f t="shared" si="231"/>
        <v>SAPN</v>
      </c>
      <c r="C493" s="570" t="str">
        <f t="shared" si="232"/>
        <v>Residential</v>
      </c>
      <c r="D493" s="570" t="str">
        <f t="shared" si="233"/>
        <v>time of use</v>
      </c>
      <c r="E493" s="570" t="s">
        <v>272</v>
      </c>
      <c r="F493" s="485"/>
      <c r="G493" s="571" t="s">
        <v>79</v>
      </c>
      <c r="H493" s="577"/>
      <c r="I493" s="577"/>
      <c r="J493" s="577">
        <f>SUM(J491:J492)</f>
        <v>0</v>
      </c>
      <c r="K493" s="578"/>
      <c r="L493" s="579"/>
      <c r="M493" s="578" t="str">
        <f>IF(OR(J493=0,Q493=""),"",Q493/J493-1)</f>
        <v/>
      </c>
      <c r="N493" s="580"/>
      <c r="O493" s="577"/>
      <c r="P493" s="577"/>
      <c r="Q493" s="577">
        <f>SUM(Q491:Q492)</f>
        <v>842.80447029760956</v>
      </c>
      <c r="R493" s="578"/>
      <c r="S493" s="578"/>
      <c r="T493" s="621"/>
      <c r="U493" s="578"/>
      <c r="V493" s="578"/>
      <c r="W493" s="578"/>
      <c r="X493" s="578"/>
      <c r="Y493" s="578"/>
      <c r="Z493" s="578"/>
      <c r="AA493" s="578"/>
      <c r="AB493" s="578"/>
      <c r="AC493" s="578"/>
      <c r="AD493" s="578"/>
      <c r="AE493" s="578"/>
      <c r="AF493" s="578"/>
      <c r="AG493" s="578"/>
      <c r="AH493" s="578"/>
      <c r="AI493" s="578"/>
      <c r="AJ493" s="578"/>
    </row>
    <row r="494" spans="2:36" x14ac:dyDescent="0.35">
      <c r="F494" s="258"/>
      <c r="H494" s="482"/>
      <c r="I494" s="482"/>
      <c r="J494" s="482"/>
      <c r="K494" s="484"/>
      <c r="L494" s="567"/>
      <c r="M494" s="484"/>
      <c r="N494" s="568"/>
      <c r="O494" s="482"/>
      <c r="P494" s="482"/>
      <c r="Q494" s="482"/>
      <c r="R494" s="484"/>
      <c r="S494" s="484"/>
      <c r="T494" s="607"/>
      <c r="U494" s="484"/>
      <c r="V494" s="484"/>
      <c r="W494" s="484"/>
      <c r="X494" s="484"/>
      <c r="Y494" s="484"/>
      <c r="Z494" s="484"/>
      <c r="AA494" s="484"/>
      <c r="AB494" s="484"/>
      <c r="AC494" s="484"/>
      <c r="AD494" s="484"/>
      <c r="AE494" s="484"/>
      <c r="AF494" s="484"/>
      <c r="AG494" s="484"/>
      <c r="AH494" s="484"/>
      <c r="AI494" s="484"/>
      <c r="AJ494" s="484"/>
    </row>
    <row r="495" spans="2:36" x14ac:dyDescent="0.35">
      <c r="B495" s="64" t="s">
        <v>5</v>
      </c>
      <c r="C495" s="64"/>
      <c r="D495" s="64" t="s">
        <v>285</v>
      </c>
      <c r="F495" s="258"/>
      <c r="H495" s="482"/>
      <c r="I495" s="482"/>
      <c r="J495" s="482"/>
      <c r="K495" s="484"/>
      <c r="L495" s="567"/>
      <c r="M495" s="484"/>
      <c r="N495" s="568"/>
      <c r="O495" s="482"/>
      <c r="P495" s="482"/>
      <c r="Q495" s="482"/>
      <c r="R495" s="484"/>
      <c r="S495" s="484"/>
      <c r="T495" s="607"/>
      <c r="U495" s="484"/>
      <c r="V495" s="484"/>
      <c r="W495" s="484"/>
      <c r="X495" s="484"/>
      <c r="Y495" s="484"/>
      <c r="Z495" s="484"/>
      <c r="AA495" s="484"/>
      <c r="AB495" s="484"/>
      <c r="AC495" s="484"/>
      <c r="AD495" s="484"/>
      <c r="AE495" s="484"/>
      <c r="AF495" s="484"/>
      <c r="AG495" s="484"/>
      <c r="AH495" s="484"/>
      <c r="AI495" s="484"/>
      <c r="AJ495" s="484"/>
    </row>
    <row r="496" spans="2:36" x14ac:dyDescent="0.35">
      <c r="B496" s="30" t="str">
        <f t="shared" ref="B496:B509" si="249">B495</f>
        <v>SAPN</v>
      </c>
      <c r="D496" s="30" t="str">
        <f t="shared" ref="D496:D509" si="250">D495</f>
        <v>controlled load</v>
      </c>
      <c r="F496" s="258"/>
      <c r="G496" s="64"/>
      <c r="H496" s="487"/>
      <c r="I496" s="487"/>
      <c r="J496" s="487"/>
      <c r="K496" s="564"/>
      <c r="L496" s="565"/>
      <c r="M496" s="564"/>
      <c r="N496" s="566"/>
      <c r="O496" s="487"/>
      <c r="P496" s="487"/>
      <c r="Q496" s="487"/>
      <c r="R496" s="484"/>
      <c r="S496" s="484"/>
      <c r="T496" s="607"/>
      <c r="U496" s="484"/>
      <c r="V496" s="484"/>
      <c r="W496" s="484"/>
      <c r="X496" s="484"/>
      <c r="Y496" s="484"/>
      <c r="Z496" s="484"/>
      <c r="AA496" s="484"/>
      <c r="AB496" s="484"/>
      <c r="AC496" s="484"/>
      <c r="AD496" s="484"/>
      <c r="AE496" s="484"/>
      <c r="AF496" s="484"/>
      <c r="AG496" s="484"/>
      <c r="AH496" s="484"/>
      <c r="AI496" s="484"/>
      <c r="AJ496" s="484"/>
    </row>
    <row r="497" spans="2:36" x14ac:dyDescent="0.35">
      <c r="B497" s="30" t="str">
        <f t="shared" si="249"/>
        <v>SAPN</v>
      </c>
      <c r="D497" s="30" t="str">
        <f t="shared" si="250"/>
        <v>controlled load</v>
      </c>
      <c r="E497" s="30" t="s">
        <v>14</v>
      </c>
      <c r="F497" s="258" cm="1">
        <f t="array" ref="F497">_xlfn.XLOOKUP(1,($B497=DistributionZone)*($C497=CustomerType)*($D497=tariffL2)*($F$5=Description)*(E497=tariffType),valuesFY)</f>
        <v>1800</v>
      </c>
      <c r="G497" s="30" t="s">
        <v>69</v>
      </c>
      <c r="H497" s="482"/>
      <c r="I497" s="482" cm="1">
        <f t="array" ref="I497">IFERROR(_xlfn.XLOOKUP(1,($B497=DistributionZone)*($C497=CustomerType)*($E497=tariffType)*($G497=Description),valuesPY),0)</f>
        <v>101.455</v>
      </c>
      <c r="J497" s="482">
        <f t="shared" ref="J497:J505" si="251">H497+I497*F497/1000</f>
        <v>182.619</v>
      </c>
      <c r="K497" s="484">
        <f>IFERROR(J497/J506,"")</f>
        <v>0.84409972465888572</v>
      </c>
      <c r="L497" s="484"/>
      <c r="M497" s="484">
        <f>IF(OR(J497=0,Q497=""),"",Q497/J497-1)</f>
        <v>-0.28815731112315801</v>
      </c>
      <c r="N497" s="563"/>
      <c r="O497" s="482"/>
      <c r="P497" s="482" cm="1">
        <f t="array" ref="P497">IFERROR(_xlfn.XLOOKUP(1,($B497=DistributionZone)*($C497=CustomerType)*($E497=tariffType)*($G497=Description),valuesFY),0)</f>
        <v>72.22</v>
      </c>
      <c r="Q497" s="482">
        <f t="shared" ref="Q497:Q505" si="252">IF(AND(O497="",P497=""),"",O497+P497*$F497/1000)</f>
        <v>129.99600000000001</v>
      </c>
      <c r="R497" s="484">
        <f t="shared" ref="R497:R505" si="253">IFERROR(Q497/$Q$506,"")</f>
        <v>0.73832982900892308</v>
      </c>
      <c r="S497" s="484"/>
      <c r="T497" s="608"/>
      <c r="U497" s="484"/>
      <c r="V497" s="484"/>
      <c r="W497" s="484"/>
      <c r="X497" s="484"/>
      <c r="Y497" s="484"/>
      <c r="Z497" s="484"/>
      <c r="AA497" s="484"/>
      <c r="AB497" s="484"/>
      <c r="AC497" s="484"/>
      <c r="AD497" s="484"/>
      <c r="AE497" s="484"/>
      <c r="AF497" s="484"/>
      <c r="AG497" s="484"/>
      <c r="AH497" s="484"/>
      <c r="AI497" s="484"/>
      <c r="AJ497" s="484"/>
    </row>
    <row r="498" spans="2:36" x14ac:dyDescent="0.35">
      <c r="B498" s="30" t="str">
        <f t="shared" si="249"/>
        <v>SAPN</v>
      </c>
      <c r="D498" s="30" t="str">
        <f t="shared" si="250"/>
        <v>controlled load</v>
      </c>
      <c r="E498" s="30" t="s">
        <v>14</v>
      </c>
      <c r="F498" s="258">
        <f t="shared" ref="F498:F506" si="254">F497</f>
        <v>1800</v>
      </c>
      <c r="G498" s="30" t="s">
        <v>70</v>
      </c>
      <c r="H498" s="482"/>
      <c r="I498" s="482" cm="1">
        <f t="array" ref="I498">IFERROR(_xlfn.XLOOKUP(1,($B498=DistributionZone)*(I$5=Desc_FixedOrVar)*($G498=Description),valuesPY),0)</f>
        <v>0.58531011875289041</v>
      </c>
      <c r="J498" s="482">
        <f t="shared" si="251"/>
        <v>1.0535582137552029</v>
      </c>
      <c r="K498" s="484">
        <f>IFERROR(J498/J506,"")</f>
        <v>4.8697462922416297E-3</v>
      </c>
      <c r="L498" s="484"/>
      <c r="M498" s="484">
        <f>IF(OR(J498=0,Q498=""),"",Q498/J498-1)</f>
        <v>13.214982373945878</v>
      </c>
      <c r="N498" s="563"/>
      <c r="O498" s="482"/>
      <c r="P498" s="482" cm="1">
        <f t="array" ref="P498">IFERROR(_xlfn.XLOOKUP(1,($B498=DistributionZone)*(P$5=Desc_FixedOrVar)*($G498=Description),valuesFY),0)</f>
        <v>8.3201730213645071</v>
      </c>
      <c r="Q498" s="482">
        <f t="shared" si="252"/>
        <v>14.976311438456111</v>
      </c>
      <c r="R498" s="484">
        <f t="shared" si="253"/>
        <v>8.5059982334377046E-2</v>
      </c>
      <c r="S498" s="484"/>
      <c r="T498" s="607"/>
      <c r="U498" s="484"/>
      <c r="V498" s="484"/>
      <c r="W498" s="484"/>
      <c r="X498" s="484"/>
      <c r="Y498" s="484"/>
      <c r="Z498" s="484"/>
      <c r="AA498" s="484"/>
      <c r="AB498" s="484"/>
      <c r="AC498" s="484"/>
      <c r="AD498" s="484"/>
      <c r="AE498" s="484"/>
      <c r="AF498" s="484"/>
      <c r="AG498" s="484"/>
      <c r="AH498" s="484"/>
      <c r="AI498" s="484"/>
      <c r="AJ498" s="484"/>
    </row>
    <row r="499" spans="2:36" x14ac:dyDescent="0.35">
      <c r="B499" s="30" t="str">
        <f t="shared" si="249"/>
        <v>SAPN</v>
      </c>
      <c r="D499" s="30" t="str">
        <f t="shared" si="250"/>
        <v>controlled load</v>
      </c>
      <c r="E499" s="30" t="s">
        <v>14</v>
      </c>
      <c r="F499" s="258">
        <f t="shared" si="254"/>
        <v>1800</v>
      </c>
      <c r="G499" s="30" t="s">
        <v>77</v>
      </c>
      <c r="H499" s="482"/>
      <c r="I499" s="482" cm="1">
        <f t="array" ref="I499">IFERROR(_xlfn.XLOOKUP(1,($B499=DistributionZone)*(I$5=Desc_FixedOrVar)*($G499=Description),valuesPY),0)</f>
        <v>0.57443</v>
      </c>
      <c r="J499" s="482">
        <f t="shared" si="251"/>
        <v>1.0339739999999999</v>
      </c>
      <c r="K499" s="484">
        <f>IFERROR(J499/J506,"")</f>
        <v>4.779224334294058E-3</v>
      </c>
      <c r="L499" s="484"/>
      <c r="M499" s="484">
        <f t="shared" ref="M499:M507" si="255">IF(OR(J499=0,Q499=""),"",Q499/J499-1)</f>
        <v>-9.5799314102675726E-2</v>
      </c>
      <c r="N499" s="563"/>
      <c r="O499" s="482"/>
      <c r="P499" s="482" cm="1">
        <f t="array" ref="P499">IFERROR(_xlfn.XLOOKUP(1,($B499=DistributionZone)*(P$5=Desc_FixedOrVar)*($G499=Description),valuesFY),0)</f>
        <v>0.51939999999999997</v>
      </c>
      <c r="Q499" s="482">
        <f t="shared" si="252"/>
        <v>0.93491999999999997</v>
      </c>
      <c r="R499" s="484">
        <f t="shared" si="253"/>
        <v>5.3100043365720655E-3</v>
      </c>
      <c r="S499" s="484"/>
      <c r="T499" s="607"/>
      <c r="U499" s="484"/>
      <c r="V499" s="484"/>
      <c r="W499" s="484"/>
      <c r="X499" s="484"/>
      <c r="Y499" s="484"/>
      <c r="Z499" s="484"/>
      <c r="AA499" s="484"/>
      <c r="AB499" s="484"/>
      <c r="AC499" s="484"/>
      <c r="AD499" s="484"/>
      <c r="AE499" s="484"/>
      <c r="AF499" s="484"/>
      <c r="AG499" s="484"/>
      <c r="AH499" s="484"/>
      <c r="AI499" s="484"/>
      <c r="AJ499" s="484"/>
    </row>
    <row r="500" spans="2:36" x14ac:dyDescent="0.35">
      <c r="B500" s="30" t="str">
        <f t="shared" si="249"/>
        <v>SAPN</v>
      </c>
      <c r="D500" s="30" t="str">
        <f t="shared" si="250"/>
        <v>controlled load</v>
      </c>
      <c r="E500" s="30" t="s">
        <v>14</v>
      </c>
      <c r="F500" s="258">
        <f t="shared" si="254"/>
        <v>1800</v>
      </c>
      <c r="G500" s="30" t="s">
        <v>71</v>
      </c>
      <c r="H500" s="482"/>
      <c r="I500" s="482" cm="1">
        <f t="array" ref="I500">IFERROR(_xlfn.XLOOKUP(1,($B500=DistributionZone)*(I$5=Desc_FixedOrVar)*($G500=Description),valuesPY),0)</f>
        <v>6.7563101629320773E-3</v>
      </c>
      <c r="J500" s="482">
        <f t="shared" si="251"/>
        <v>1.2161358293277739E-2</v>
      </c>
      <c r="K500" s="484">
        <f>IFERROR(J500/J506,"")</f>
        <v>5.6212109292208343E-5</v>
      </c>
      <c r="L500" s="484"/>
      <c r="M500" s="484">
        <f t="shared" si="255"/>
        <v>151.47675540987953</v>
      </c>
      <c r="N500" s="563"/>
      <c r="O500" s="482"/>
      <c r="P500" s="482" cm="1">
        <f t="array" ref="P500">IFERROR(_xlfn.XLOOKUP(1,($B500=DistributionZone)*(P$5=Desc_FixedOrVar)*($G500=Description),valuesFY),0)</f>
        <v>1.0301802521866776</v>
      </c>
      <c r="Q500" s="482">
        <f t="shared" si="252"/>
        <v>1.8543244539360197</v>
      </c>
      <c r="R500" s="484">
        <f t="shared" si="253"/>
        <v>1.0531886034967583E-2</v>
      </c>
      <c r="S500" s="484"/>
      <c r="T500" s="607"/>
      <c r="U500" s="484"/>
      <c r="V500" s="484"/>
      <c r="W500" s="484"/>
      <c r="X500" s="484"/>
      <c r="Y500" s="484"/>
      <c r="Z500" s="484"/>
      <c r="AA500" s="484"/>
      <c r="AB500" s="484"/>
      <c r="AC500" s="484"/>
      <c r="AD500" s="484"/>
      <c r="AE500" s="484"/>
      <c r="AF500" s="484"/>
      <c r="AG500" s="484"/>
      <c r="AH500" s="484"/>
      <c r="AI500" s="484"/>
      <c r="AJ500" s="484"/>
    </row>
    <row r="501" spans="2:36" x14ac:dyDescent="0.35">
      <c r="B501" s="30" t="str">
        <f t="shared" si="249"/>
        <v>SAPN</v>
      </c>
      <c r="D501" s="30" t="str">
        <f t="shared" si="250"/>
        <v>controlled load</v>
      </c>
      <c r="E501" s="30" t="s">
        <v>14</v>
      </c>
      <c r="F501" s="258">
        <f t="shared" si="254"/>
        <v>1800</v>
      </c>
      <c r="G501" s="30" t="s">
        <v>173</v>
      </c>
      <c r="H501" s="482"/>
      <c r="I501" s="482" cm="1">
        <f t="array" ref="I501">IFERROR(_xlfn.XLOOKUP(1,($B501=DistributionZone)*(I$5=Desc_FixedOrVar)*($G501=Description),valuesPY),0)</f>
        <v>5.0625427163511004E-2</v>
      </c>
      <c r="J501" s="482">
        <f t="shared" si="251"/>
        <v>9.1125768894319809E-2</v>
      </c>
      <c r="K501" s="484">
        <f>IFERROR(J501/J507,"")</f>
        <v>4.2120062224097494E-4</v>
      </c>
      <c r="L501" s="484"/>
      <c r="M501" s="484">
        <f t="shared" si="255"/>
        <v>-1</v>
      </c>
      <c r="N501" s="563"/>
      <c r="O501" s="482"/>
      <c r="P501" s="482" cm="1">
        <f t="array" ref="P501">IFERROR(_xlfn.XLOOKUP(1,($B501=DistributionZone)*(P$5=Desc_FixedOrVar)*($G501=Description),valuesFY),0)</f>
        <v>0</v>
      </c>
      <c r="Q501" s="482">
        <f t="shared" si="252"/>
        <v>0</v>
      </c>
      <c r="R501" s="484">
        <f t="shared" si="253"/>
        <v>0</v>
      </c>
      <c r="S501" s="484"/>
      <c r="T501" s="607"/>
      <c r="U501" s="484"/>
      <c r="V501" s="484"/>
      <c r="W501" s="484"/>
      <c r="X501" s="484"/>
      <c r="Y501" s="484"/>
      <c r="Z501" s="484"/>
      <c r="AA501" s="484"/>
      <c r="AB501" s="484"/>
      <c r="AC501" s="484"/>
      <c r="AD501" s="484"/>
      <c r="AE501" s="484"/>
      <c r="AF501" s="484"/>
      <c r="AG501" s="484"/>
      <c r="AH501" s="484"/>
      <c r="AI501" s="484"/>
      <c r="AJ501" s="484"/>
    </row>
    <row r="502" spans="2:36" x14ac:dyDescent="0.35">
      <c r="B502" s="30" t="str">
        <f t="shared" si="249"/>
        <v>SAPN</v>
      </c>
      <c r="D502" s="30" t="str">
        <f t="shared" si="250"/>
        <v>controlled load</v>
      </c>
      <c r="E502" s="30" t="s">
        <v>14</v>
      </c>
      <c r="F502" s="258">
        <f t="shared" si="254"/>
        <v>1800</v>
      </c>
      <c r="G502" s="30" t="s">
        <v>130</v>
      </c>
      <c r="H502" s="482"/>
      <c r="I502" s="482" cm="1">
        <f t="array" ref="I502">IFERROR(_xlfn.XLOOKUP(1,($B502=DistributionZone)*(I$5=Desc_FixedOrVar)*($G502=Description),valuesPY),0)</f>
        <v>3.6927728105909479</v>
      </c>
      <c r="J502" s="482">
        <f t="shared" si="251"/>
        <v>6.6469910590637067</v>
      </c>
      <c r="K502" s="484">
        <f>IFERROR(J502/J506,"")</f>
        <v>3.0723655932656239E-2</v>
      </c>
      <c r="L502" s="484"/>
      <c r="M502" s="484">
        <f t="shared" si="255"/>
        <v>-4.5781075827627915E-2</v>
      </c>
      <c r="N502" s="563"/>
      <c r="O502" s="482"/>
      <c r="P502" s="482" cm="1">
        <f t="array" ref="P502">IFERROR(_xlfn.XLOOKUP(1,($B502=DistributionZone)*(P$5=Desc_FixedOrVar)*($G502=Description),valuesFY),0)</f>
        <v>3.5237136985350812</v>
      </c>
      <c r="Q502" s="482">
        <f t="shared" si="252"/>
        <v>6.3426846573631463</v>
      </c>
      <c r="R502" s="484">
        <f t="shared" si="253"/>
        <v>3.6024133654331297E-2</v>
      </c>
      <c r="S502" s="484"/>
      <c r="T502" s="607"/>
      <c r="U502" s="484"/>
      <c r="V502" s="484"/>
      <c r="W502" s="484"/>
      <c r="X502" s="484"/>
      <c r="Y502" s="484"/>
      <c r="Z502" s="484"/>
      <c r="AA502" s="484"/>
      <c r="AB502" s="484"/>
      <c r="AC502" s="484"/>
      <c r="AD502" s="484"/>
      <c r="AE502" s="484"/>
      <c r="AF502" s="484"/>
      <c r="AG502" s="484"/>
      <c r="AH502" s="484"/>
      <c r="AI502" s="484"/>
      <c r="AJ502" s="484"/>
    </row>
    <row r="503" spans="2:36" x14ac:dyDescent="0.35">
      <c r="B503" s="30" t="str">
        <f t="shared" si="249"/>
        <v>SAPN</v>
      </c>
      <c r="D503" s="30" t="str">
        <f t="shared" si="250"/>
        <v>controlled load</v>
      </c>
      <c r="E503" s="30" t="s">
        <v>14</v>
      </c>
      <c r="F503" s="258">
        <f t="shared" si="254"/>
        <v>1800</v>
      </c>
      <c r="G503" s="30" t="s">
        <v>302</v>
      </c>
      <c r="H503" s="482"/>
      <c r="I503" s="482"/>
      <c r="J503" s="482"/>
      <c r="K503" s="484"/>
      <c r="L503" s="484"/>
      <c r="M503" s="484"/>
      <c r="N503" s="563"/>
      <c r="O503" s="482"/>
      <c r="P503" s="482" cm="1">
        <f t="array" ref="P503">IFERROR(_xlfn.XLOOKUP(1,($B503=DistributionZone)*(E503=tariffType)*(P$5=Desc_FixedOrVar)*($G503=Description),valuesFY),0)</f>
        <v>0.92000000000000037</v>
      </c>
      <c r="Q503" s="482">
        <f t="shared" ref="Q503" si="256">IF(AND(O503="",P503=""),"",O503+P503*$F503/1000)</f>
        <v>1.6560000000000006</v>
      </c>
      <c r="R503" s="484">
        <f t="shared" si="253"/>
        <v>9.4054755287760923E-3</v>
      </c>
      <c r="S503" s="484"/>
      <c r="T503" s="607"/>
      <c r="U503" s="484"/>
      <c r="V503" s="484"/>
      <c r="W503" s="484"/>
      <c r="X503" s="484"/>
      <c r="Y503" s="484"/>
      <c r="Z503" s="484"/>
      <c r="AA503" s="484"/>
      <c r="AB503" s="484"/>
      <c r="AC503" s="484"/>
      <c r="AD503" s="484"/>
      <c r="AE503" s="484"/>
      <c r="AF503" s="484"/>
      <c r="AG503" s="484"/>
      <c r="AH503" s="484"/>
      <c r="AI503" s="484"/>
      <c r="AJ503" s="484"/>
    </row>
    <row r="504" spans="2:36" x14ac:dyDescent="0.35">
      <c r="B504" s="30" t="str">
        <f>B502</f>
        <v>SAPN</v>
      </c>
      <c r="D504" s="30" t="str">
        <f>D502</f>
        <v>controlled load</v>
      </c>
      <c r="E504" s="30" t="s">
        <v>14</v>
      </c>
      <c r="F504" s="258">
        <f>F502</f>
        <v>1800</v>
      </c>
      <c r="G504" s="30" t="s">
        <v>157</v>
      </c>
      <c r="H504" s="482"/>
      <c r="I504" s="482" cm="1">
        <f t="array" ref="I504">IFERROR(_xlfn.XLOOKUP(1,($B504=DistributionZone)*(I$5=Desc_FixedOrVar)*($G504=Description),valuesPY),0)</f>
        <v>5.712785518640878</v>
      </c>
      <c r="J504" s="482">
        <f t="shared" si="251"/>
        <v>10.28301393355358</v>
      </c>
      <c r="K504" s="484">
        <f>IFERROR(J504/J506,"")</f>
        <v>4.7530044683061795E-2</v>
      </c>
      <c r="L504" s="484"/>
      <c r="M504" s="484">
        <f t="shared" si="255"/>
        <v>-0.78484131590226114</v>
      </c>
      <c r="N504" s="563"/>
      <c r="O504" s="482"/>
      <c r="P504" s="482" cm="1">
        <f t="array" ref="P504">IFERROR(_xlfn.XLOOKUP(1,($B504=DistributionZone)*(P$5=Desc_FixedOrVar)*($G504=Description),valuesFY),0)</f>
        <v>1.2291554147233901</v>
      </c>
      <c r="Q504" s="482">
        <f t="shared" si="252"/>
        <v>2.212479746502102</v>
      </c>
      <c r="R504" s="484">
        <f t="shared" si="253"/>
        <v>1.256607736330812E-2</v>
      </c>
      <c r="S504" s="484"/>
      <c r="T504" s="607"/>
      <c r="U504" s="484"/>
      <c r="V504" s="484"/>
      <c r="W504" s="484"/>
      <c r="X504" s="484"/>
      <c r="Y504" s="484"/>
      <c r="Z504" s="484"/>
      <c r="AA504" s="484"/>
      <c r="AB504" s="484"/>
      <c r="AC504" s="484"/>
      <c r="AD504" s="484"/>
      <c r="AE504" s="484"/>
      <c r="AF504" s="484"/>
      <c r="AG504" s="484"/>
      <c r="AH504" s="484"/>
      <c r="AI504" s="484"/>
      <c r="AJ504" s="484"/>
    </row>
    <row r="505" spans="2:36" x14ac:dyDescent="0.35">
      <c r="B505" s="30" t="str">
        <f t="shared" si="249"/>
        <v>SAPN</v>
      </c>
      <c r="D505" s="30" t="str">
        <f t="shared" si="250"/>
        <v>controlled load</v>
      </c>
      <c r="E505" s="30" t="s">
        <v>14</v>
      </c>
      <c r="F505" s="258">
        <f t="shared" si="254"/>
        <v>1800</v>
      </c>
      <c r="G505" s="30" t="s">
        <v>72</v>
      </c>
      <c r="H505" s="482"/>
      <c r="I505" s="482" cm="1">
        <f t="array" ref="I505">IFERROR(_xlfn.XLOOKUP(1,($B505=DistributionZone)*($C505=CustomerType)*($E505=tariffType)*($G505=Description),valuesPY),0)*SUM(I497:I504)</f>
        <v>8.1154641034156523</v>
      </c>
      <c r="J505" s="482">
        <f t="shared" si="251"/>
        <v>14.607835386148174</v>
      </c>
      <c r="K505" s="484">
        <f>IFERROR(J505/J506,"")</f>
        <v>6.7520191367327606E-2</v>
      </c>
      <c r="L505" s="484"/>
      <c r="M505" s="484">
        <f t="shared" si="255"/>
        <v>0.23871415884778036</v>
      </c>
      <c r="N505" s="563"/>
      <c r="O505" s="482"/>
      <c r="P505" s="482" cm="1">
        <f t="array" ref="P505">IFERROR(_xlfn.XLOOKUP(1,($B505=DistributionZone)*($C505=CustomerType)*($E505=tariffType)*($G505=Description),valuesFY),0)*SUM(P497:P504)</f>
        <v>10.052740290521875</v>
      </c>
      <c r="Q505" s="482">
        <f t="shared" si="252"/>
        <v>18.094932522939377</v>
      </c>
      <c r="R505" s="484">
        <f t="shared" si="253"/>
        <v>0.1027726117387445</v>
      </c>
      <c r="S505" s="484"/>
      <c r="T505" s="607"/>
      <c r="U505" s="484"/>
      <c r="V505" s="484"/>
      <c r="W505" s="484"/>
      <c r="X505" s="484"/>
      <c r="Y505" s="484"/>
      <c r="Z505" s="484"/>
      <c r="AA505" s="484"/>
      <c r="AB505" s="484"/>
      <c r="AC505" s="484"/>
      <c r="AD505" s="484"/>
      <c r="AE505" s="484"/>
      <c r="AF505" s="484"/>
      <c r="AG505" s="484"/>
      <c r="AH505" s="484"/>
      <c r="AI505" s="484"/>
      <c r="AJ505" s="484"/>
    </row>
    <row r="506" spans="2:36" x14ac:dyDescent="0.35">
      <c r="B506" s="30" t="str">
        <f t="shared" si="249"/>
        <v>SAPN</v>
      </c>
      <c r="D506" s="30" t="str">
        <f t="shared" si="250"/>
        <v>controlled load</v>
      </c>
      <c r="E506" s="30" t="s">
        <v>14</v>
      </c>
      <c r="F506" s="258">
        <f t="shared" si="254"/>
        <v>1800</v>
      </c>
      <c r="G506" s="64" t="s">
        <v>55</v>
      </c>
      <c r="H506" s="487"/>
      <c r="I506" s="487">
        <f>SUM(I497:I505)</f>
        <v>120.1931442887268</v>
      </c>
      <c r="J506" s="487">
        <f>IF(AND(H506="",I506=""),"",H506+I506*+Usage!H$42/1000)</f>
        <v>216.34765971970822</v>
      </c>
      <c r="K506" s="564"/>
      <c r="L506" s="565"/>
      <c r="M506" s="564">
        <f t="shared" si="255"/>
        <v>-0.18618184709137442</v>
      </c>
      <c r="N506" s="566"/>
      <c r="O506" s="487"/>
      <c r="P506" s="487">
        <f>SUM(P497:P505)</f>
        <v>97.815362677331535</v>
      </c>
      <c r="Q506" s="487">
        <f>SUM(Q497:Q505)</f>
        <v>176.06765281919681</v>
      </c>
      <c r="R506" s="484"/>
      <c r="S506" s="484"/>
      <c r="T506" s="607"/>
      <c r="U506" s="484"/>
      <c r="V506" s="484"/>
      <c r="W506" s="484"/>
      <c r="X506" s="484"/>
      <c r="Y506" s="484"/>
      <c r="Z506" s="484"/>
      <c r="AA506" s="484"/>
      <c r="AB506" s="484"/>
      <c r="AC506" s="484"/>
      <c r="AD506" s="484"/>
      <c r="AE506" s="484"/>
      <c r="AF506" s="484"/>
      <c r="AG506" s="484"/>
      <c r="AH506" s="484"/>
      <c r="AI506" s="484"/>
      <c r="AJ506" s="484"/>
    </row>
    <row r="507" spans="2:36" x14ac:dyDescent="0.35">
      <c r="B507" s="30" t="str">
        <f t="shared" si="249"/>
        <v>SAPN</v>
      </c>
      <c r="D507" s="30" t="str">
        <f t="shared" si="250"/>
        <v>controlled load</v>
      </c>
      <c r="E507" s="30" t="s">
        <v>55</v>
      </c>
      <c r="F507" s="258">
        <f>SUM(F496:F497)</f>
        <v>1800</v>
      </c>
      <c r="G507" s="64" t="s">
        <v>55</v>
      </c>
      <c r="H507" s="487"/>
      <c r="I507" s="487"/>
      <c r="J507" s="487">
        <f>J496+J506</f>
        <v>216.34765971970822</v>
      </c>
      <c r="K507" s="564"/>
      <c r="L507" s="565"/>
      <c r="M507" s="564">
        <f t="shared" si="255"/>
        <v>-0.18618184709137442</v>
      </c>
      <c r="N507" s="566"/>
      <c r="O507" s="487"/>
      <c r="P507" s="487"/>
      <c r="Q507" s="487">
        <f>Q496+Q506</f>
        <v>176.06765281919681</v>
      </c>
      <c r="R507" s="484"/>
      <c r="S507" s="484"/>
      <c r="T507" s="607"/>
      <c r="U507" s="484"/>
      <c r="V507" s="484"/>
      <c r="W507" s="484"/>
      <c r="X507" s="484"/>
      <c r="Y507" s="484"/>
      <c r="Z507" s="484"/>
      <c r="AA507" s="484"/>
      <c r="AB507" s="484"/>
      <c r="AC507" s="484"/>
      <c r="AD507" s="484"/>
      <c r="AE507" s="484"/>
      <c r="AF507" s="484"/>
      <c r="AG507" s="484"/>
      <c r="AH507" s="484"/>
      <c r="AI507" s="484"/>
      <c r="AJ507" s="484"/>
    </row>
    <row r="508" spans="2:36" x14ac:dyDescent="0.35">
      <c r="B508" s="30" t="str">
        <f t="shared" si="249"/>
        <v>SAPN</v>
      </c>
      <c r="D508" s="30" t="str">
        <f t="shared" si="250"/>
        <v>controlled load</v>
      </c>
      <c r="F508" s="258"/>
      <c r="G508" s="30" t="s">
        <v>38</v>
      </c>
      <c r="H508" s="482"/>
      <c r="I508" s="482"/>
      <c r="J508" s="482">
        <f>J507*GST</f>
        <v>21.634765971970822</v>
      </c>
      <c r="K508" s="484"/>
      <c r="L508" s="567"/>
      <c r="M508" s="484"/>
      <c r="N508" s="568"/>
      <c r="O508" s="482"/>
      <c r="P508" s="482"/>
      <c r="Q508" s="482">
        <f>Q507*GST</f>
        <v>17.606765281919682</v>
      </c>
      <c r="R508" s="484"/>
      <c r="S508" s="484"/>
      <c r="T508" s="607"/>
      <c r="U508" s="484"/>
      <c r="V508" s="484"/>
      <c r="W508" s="484"/>
      <c r="X508" s="484"/>
      <c r="Y508" s="484"/>
      <c r="Z508" s="484"/>
      <c r="AA508" s="484"/>
      <c r="AB508" s="484"/>
      <c r="AC508" s="484"/>
      <c r="AD508" s="484"/>
      <c r="AE508" s="484"/>
      <c r="AF508" s="484"/>
      <c r="AG508" s="484"/>
      <c r="AH508" s="484"/>
      <c r="AI508" s="484"/>
      <c r="AJ508" s="484"/>
    </row>
    <row r="509" spans="2:36" x14ac:dyDescent="0.35">
      <c r="B509" s="30" t="str">
        <f t="shared" si="249"/>
        <v>SAPN</v>
      </c>
      <c r="D509" s="30" t="str">
        <f t="shared" si="250"/>
        <v>controlled load</v>
      </c>
      <c r="F509" s="258"/>
      <c r="G509" s="64" t="s">
        <v>79</v>
      </c>
      <c r="H509" s="487"/>
      <c r="I509" s="487"/>
      <c r="J509" s="487">
        <f>SUM(J507:J508)</f>
        <v>237.98242569167905</v>
      </c>
      <c r="K509" s="564"/>
      <c r="L509" s="565"/>
      <c r="M509" s="564">
        <f>IF(OR(J509=0,Q509=""),"",Q509/J509-1)</f>
        <v>-0.18618184709137442</v>
      </c>
      <c r="N509" s="566"/>
      <c r="O509" s="487"/>
      <c r="P509" s="487"/>
      <c r="Q509" s="487">
        <f>SUM(Q507:Q508)</f>
        <v>193.67441810111649</v>
      </c>
      <c r="R509" s="484"/>
      <c r="S509" s="484"/>
      <c r="T509" s="607"/>
      <c r="U509" s="484"/>
      <c r="V509" s="484"/>
      <c r="W509" s="484"/>
      <c r="X509" s="484"/>
      <c r="Y509" s="484"/>
      <c r="Z509" s="484"/>
      <c r="AA509" s="484"/>
      <c r="AB509" s="484"/>
      <c r="AC509" s="484"/>
      <c r="AD509" s="484"/>
      <c r="AE509" s="484"/>
      <c r="AF509" s="484"/>
      <c r="AG509" s="484"/>
      <c r="AH509" s="484"/>
      <c r="AI509" s="484"/>
      <c r="AJ509" s="484"/>
    </row>
    <row r="510" spans="2:36" x14ac:dyDescent="0.35">
      <c r="F510" s="258"/>
      <c r="H510" s="482"/>
      <c r="I510" s="482"/>
      <c r="J510" s="482"/>
      <c r="K510" s="484"/>
      <c r="L510" s="567"/>
      <c r="M510" s="484"/>
      <c r="N510" s="568"/>
      <c r="O510" s="482"/>
      <c r="P510" s="482"/>
      <c r="Q510" s="482"/>
      <c r="R510" s="484"/>
      <c r="S510" s="484"/>
      <c r="T510" s="607"/>
      <c r="U510" s="484"/>
      <c r="V510" s="484"/>
      <c r="W510" s="484"/>
      <c r="X510" s="484"/>
      <c r="Y510" s="484"/>
      <c r="Z510" s="484"/>
      <c r="AA510" s="484"/>
      <c r="AB510" s="484"/>
      <c r="AC510" s="484"/>
      <c r="AD510" s="484"/>
      <c r="AE510" s="484"/>
      <c r="AF510" s="484"/>
      <c r="AG510" s="484"/>
      <c r="AH510" s="484"/>
      <c r="AI510" s="484"/>
      <c r="AJ510" s="484"/>
    </row>
    <row r="511" spans="2:36" x14ac:dyDescent="0.35">
      <c r="B511" s="64" t="s">
        <v>5</v>
      </c>
      <c r="C511" s="64"/>
      <c r="D511" s="64" t="s">
        <v>285</v>
      </c>
      <c r="E511" s="570" t="s">
        <v>272</v>
      </c>
      <c r="F511" s="258"/>
      <c r="H511" s="482"/>
      <c r="I511" s="482"/>
      <c r="J511" s="482"/>
      <c r="K511" s="484"/>
      <c r="L511" s="567"/>
      <c r="M511" s="484"/>
      <c r="N511" s="568"/>
      <c r="O511" s="482"/>
      <c r="P511" s="482"/>
      <c r="Q511" s="482"/>
      <c r="R511" s="484"/>
      <c r="S511" s="484"/>
      <c r="T511" s="607"/>
      <c r="U511" s="484"/>
      <c r="V511" s="484"/>
      <c r="W511" s="484"/>
      <c r="X511" s="484"/>
      <c r="Y511" s="484"/>
      <c r="Z511" s="484"/>
      <c r="AA511" s="484"/>
      <c r="AB511" s="484"/>
      <c r="AC511" s="484"/>
      <c r="AD511" s="484"/>
      <c r="AE511" s="484"/>
      <c r="AF511" s="484"/>
      <c r="AG511" s="484"/>
      <c r="AH511" s="484"/>
      <c r="AI511" s="484"/>
      <c r="AJ511" s="484"/>
    </row>
    <row r="512" spans="2:36" x14ac:dyDescent="0.35">
      <c r="B512" s="30" t="str">
        <f t="shared" ref="B512:B545" si="257">B511</f>
        <v>SAPN</v>
      </c>
      <c r="D512" s="30" t="str">
        <f t="shared" ref="D512:D545" si="258">D511</f>
        <v>controlled load</v>
      </c>
      <c r="F512" s="258"/>
      <c r="G512" s="64"/>
      <c r="H512" s="487"/>
      <c r="I512" s="487"/>
      <c r="J512" s="487"/>
      <c r="K512" s="564"/>
      <c r="L512" s="565"/>
      <c r="M512" s="564"/>
      <c r="N512" s="566"/>
      <c r="O512" s="487"/>
      <c r="P512" s="487"/>
      <c r="Q512" s="487"/>
      <c r="R512" s="484"/>
      <c r="S512" s="484"/>
      <c r="T512" s="607"/>
      <c r="U512" s="484"/>
      <c r="V512" s="484"/>
      <c r="W512" s="484"/>
      <c r="X512" s="484"/>
      <c r="Y512" s="484"/>
      <c r="Z512" s="484"/>
      <c r="AA512" s="484"/>
      <c r="AB512" s="484"/>
      <c r="AC512" s="484"/>
      <c r="AD512" s="484"/>
      <c r="AE512" s="484"/>
      <c r="AF512" s="484"/>
      <c r="AG512" s="484"/>
      <c r="AH512" s="484"/>
      <c r="AI512" s="484"/>
      <c r="AJ512" s="484"/>
    </row>
    <row r="513" spans="2:36" x14ac:dyDescent="0.35">
      <c r="B513" s="30" t="str">
        <f t="shared" si="257"/>
        <v>SAPN</v>
      </c>
      <c r="D513" s="30" t="str">
        <f t="shared" si="258"/>
        <v>controlled load</v>
      </c>
      <c r="E513" s="570" t="s">
        <v>307</v>
      </c>
      <c r="F513" s="258" cm="1">
        <f t="array" ref="F513">_xlfn.XLOOKUP(1,($B513=DistributionZone)*($D513=tariffL2)*("CL1"=tariffType)*($F$5=Description),valuesFY)*
_xlfn.XLOOKUP(1,($B513=DistributionZone)*($D513=tariffL2)*($E513=tariffType)*("Usage proportion"=Description),valuesFY)</f>
        <v>1051.2776831345825</v>
      </c>
      <c r="G513" s="30" t="s">
        <v>69</v>
      </c>
      <c r="H513" s="482"/>
      <c r="I513" s="482" cm="1">
        <f t="array" ref="I513">IFERROR(_xlfn.XLOOKUP(1,($B513=DistributionZone)*($C513=CustomerType)*("CL1"=tariffType)*($G513=Description),valuesPY),0)</f>
        <v>101.455</v>
      </c>
      <c r="J513" s="482">
        <f>H513+I513*F513/1000</f>
        <v>106.65737734241907</v>
      </c>
      <c r="K513" s="484" t="str">
        <f>IFERROR(J513/J522,"")</f>
        <v/>
      </c>
      <c r="L513" s="484"/>
      <c r="M513" s="484">
        <f>IF(OR(J513=0,Q513=""),"",Q513/J513-1)</f>
        <v>-1.8924926648826834E-2</v>
      </c>
      <c r="N513" s="563"/>
      <c r="O513" s="482"/>
      <c r="P513" s="482" cm="1">
        <f t="array" ref="P513">IFERROR(_xlfn.XLOOKUP(1,($B513=DistributionZone)*($E513=tariffType)*($G513=Description),valuesFY),0)</f>
        <v>99.534971566843268</v>
      </c>
      <c r="Q513" s="482">
        <f t="shared" ref="Q513:Q521" si="259">IF(AND(O513="",P513=""),"",O513+P513*$F513/1000)</f>
        <v>104.63889429965754</v>
      </c>
      <c r="R513" s="484">
        <f>IFERROR(Q513/$Q$522,"")</f>
        <v>0.77604596612911947</v>
      </c>
      <c r="S513" s="484"/>
      <c r="T513" s="608"/>
      <c r="U513" s="484"/>
      <c r="V513" s="484"/>
      <c r="W513" s="484"/>
      <c r="X513" s="484"/>
      <c r="Y513" s="484"/>
      <c r="Z513" s="484"/>
      <c r="AA513" s="484"/>
      <c r="AB513" s="484"/>
      <c r="AC513" s="484"/>
      <c r="AD513" s="484"/>
      <c r="AE513" s="484"/>
      <c r="AF513" s="484"/>
      <c r="AG513" s="484"/>
      <c r="AH513" s="484"/>
      <c r="AI513" s="484"/>
      <c r="AJ513" s="484"/>
    </row>
    <row r="514" spans="2:36" x14ac:dyDescent="0.35">
      <c r="B514" s="30" t="str">
        <f t="shared" si="257"/>
        <v>SAPN</v>
      </c>
      <c r="D514" s="30" t="str">
        <f t="shared" si="258"/>
        <v>controlled load</v>
      </c>
      <c r="E514" s="570" t="s">
        <v>14</v>
      </c>
      <c r="F514" s="258">
        <f>F513</f>
        <v>1051.2776831345825</v>
      </c>
      <c r="G514" s="30" t="s">
        <v>70</v>
      </c>
      <c r="H514" s="482"/>
      <c r="I514" s="482" cm="1">
        <f t="array" ref="I514">IFERROR(_xlfn.XLOOKUP(1,($B514=DistributionZone)*(I$5=Desc_FixedOrVar)*($G514=Description),valuesPY),0)</f>
        <v>0.58531011875289041</v>
      </c>
      <c r="J514" s="482">
        <f t="shared" ref="J514:J518" si="260">H514+I514*F514/1000</f>
        <v>0.61532346555776596</v>
      </c>
      <c r="K514" s="484" t="str">
        <f>IFERROR(J514/J522,"")</f>
        <v/>
      </c>
      <c r="L514" s="484"/>
      <c r="M514" s="484">
        <f>IF(OR(J514=0,Q514=""),"",Q514/J514-1)</f>
        <v>13.214982373945881</v>
      </c>
      <c r="N514" s="563"/>
      <c r="O514" s="482"/>
      <c r="P514" s="482" cm="1">
        <f t="array" ref="P514">IFERROR(_xlfn.XLOOKUP(1,($B514=DistributionZone)*(P$5=Desc_FixedOrVar)*($G514=Description),valuesFY),0)</f>
        <v>8.3201730213645071</v>
      </c>
      <c r="Q514" s="482">
        <f t="shared" si="259"/>
        <v>8.7468122171789382</v>
      </c>
      <c r="R514" s="484">
        <f t="shared" ref="R514:R521" si="261">IFERROR(Q514/$Q$522,"")</f>
        <v>6.4870031196925887E-2</v>
      </c>
      <c r="S514" s="484"/>
      <c r="T514" s="607"/>
      <c r="U514" s="484"/>
      <c r="V514" s="484"/>
      <c r="W514" s="484"/>
      <c r="X514" s="484"/>
      <c r="Y514" s="484"/>
      <c r="Z514" s="484"/>
      <c r="AA514" s="484"/>
      <c r="AB514" s="484"/>
      <c r="AC514" s="484"/>
      <c r="AD514" s="484"/>
      <c r="AE514" s="484"/>
      <c r="AF514" s="484"/>
      <c r="AG514" s="484"/>
      <c r="AH514" s="484"/>
      <c r="AI514" s="484"/>
      <c r="AJ514" s="484"/>
    </row>
    <row r="515" spans="2:36" x14ac:dyDescent="0.35">
      <c r="B515" s="30" t="str">
        <f t="shared" si="257"/>
        <v>SAPN</v>
      </c>
      <c r="D515" s="30" t="str">
        <f t="shared" si="258"/>
        <v>controlled load</v>
      </c>
      <c r="E515" s="570" t="s">
        <v>14</v>
      </c>
      <c r="F515" s="258">
        <f t="shared" ref="F515:F522" si="262">F514</f>
        <v>1051.2776831345825</v>
      </c>
      <c r="G515" s="30" t="s">
        <v>77</v>
      </c>
      <c r="H515" s="482"/>
      <c r="I515" s="482" cm="1">
        <f t="array" ref="I515">IFERROR(_xlfn.XLOOKUP(1,($B515=DistributionZone)*(I$5=Desc_FixedOrVar)*($G515=Description),valuesPY),0)</f>
        <v>0.57443</v>
      </c>
      <c r="J515" s="482">
        <f t="shared" si="260"/>
        <v>0.60388543952299822</v>
      </c>
      <c r="K515" s="484" t="str">
        <f>IFERROR(J515/J522,"")</f>
        <v/>
      </c>
      <c r="L515" s="484"/>
      <c r="M515" s="484">
        <f t="shared" ref="M515:M518" si="263">IF(OR(J515=0,Q515=""),"",Q515/J515-1)</f>
        <v>-9.5799314102675615E-2</v>
      </c>
      <c r="N515" s="563"/>
      <c r="O515" s="482"/>
      <c r="P515" s="482" cm="1">
        <f t="array" ref="P515">IFERROR(_xlfn.XLOOKUP(1,($B515=DistributionZone)*(P$5=Desc_FixedOrVar)*($G515=Description),valuesFY),0)</f>
        <v>0.51939999999999997</v>
      </c>
      <c r="Q515" s="482">
        <f t="shared" si="259"/>
        <v>0.54603362862010218</v>
      </c>
      <c r="R515" s="484">
        <f t="shared" si="261"/>
        <v>4.0496146074324758E-3</v>
      </c>
      <c r="S515" s="484"/>
      <c r="T515" s="607"/>
      <c r="U515" s="484"/>
      <c r="V515" s="484"/>
      <c r="W515" s="484"/>
      <c r="X515" s="484"/>
      <c r="Y515" s="484"/>
      <c r="Z515" s="484"/>
      <c r="AA515" s="484"/>
      <c r="AB515" s="484"/>
      <c r="AC515" s="484"/>
      <c r="AD515" s="484"/>
      <c r="AE515" s="484"/>
      <c r="AF515" s="484"/>
      <c r="AG515" s="484"/>
      <c r="AH515" s="484"/>
      <c r="AI515" s="484"/>
      <c r="AJ515" s="484"/>
    </row>
    <row r="516" spans="2:36" x14ac:dyDescent="0.35">
      <c r="B516" s="30" t="str">
        <f t="shared" si="257"/>
        <v>SAPN</v>
      </c>
      <c r="D516" s="30" t="str">
        <f t="shared" si="258"/>
        <v>controlled load</v>
      </c>
      <c r="E516" s="570" t="s">
        <v>14</v>
      </c>
      <c r="F516" s="258">
        <f t="shared" si="262"/>
        <v>1051.2776831345825</v>
      </c>
      <c r="G516" s="30" t="s">
        <v>71</v>
      </c>
      <c r="H516" s="482"/>
      <c r="I516" s="482" cm="1">
        <f t="array" ref="I516">IFERROR(_xlfn.XLOOKUP(1,($B516=DistributionZone)*(I$5=Desc_FixedOrVar)*($G516=Description),valuesPY),0)</f>
        <v>6.7563101629320773E-3</v>
      </c>
      <c r="J516" s="482">
        <f t="shared" si="260"/>
        <v>7.1027580946258677E-3</v>
      </c>
      <c r="K516" s="484" t="str">
        <f>IFERROR(J516/J522,"")</f>
        <v/>
      </c>
      <c r="L516" s="484"/>
      <c r="M516" s="484">
        <f t="shared" si="263"/>
        <v>151.4767554098795</v>
      </c>
      <c r="N516" s="563"/>
      <c r="O516" s="482"/>
      <c r="P516" s="482" cm="1">
        <f t="array" ref="P516">IFERROR(_xlfn.XLOOKUP(1,($B516=DistributionZone)*(P$5=Desc_FixedOrVar)*($G516=Description),valuesFY),0)</f>
        <v>1.0301802521866776</v>
      </c>
      <c r="Q516" s="482">
        <f t="shared" si="259"/>
        <v>1.0830055087298103</v>
      </c>
      <c r="R516" s="484">
        <f t="shared" si="261"/>
        <v>8.032023483911516E-3</v>
      </c>
      <c r="S516" s="484"/>
      <c r="T516" s="607"/>
      <c r="U516" s="484"/>
      <c r="V516" s="484"/>
      <c r="W516" s="484"/>
      <c r="X516" s="484"/>
      <c r="Y516" s="484"/>
      <c r="Z516" s="484"/>
      <c r="AA516" s="484"/>
      <c r="AB516" s="484"/>
      <c r="AC516" s="484"/>
      <c r="AD516" s="484"/>
      <c r="AE516" s="484"/>
      <c r="AF516" s="484"/>
      <c r="AG516" s="484"/>
      <c r="AH516" s="484"/>
      <c r="AI516" s="484"/>
      <c r="AJ516" s="484"/>
    </row>
    <row r="517" spans="2:36" x14ac:dyDescent="0.35">
      <c r="B517" s="30" t="str">
        <f t="shared" si="257"/>
        <v>SAPN</v>
      </c>
      <c r="D517" s="30" t="str">
        <f t="shared" si="258"/>
        <v>controlled load</v>
      </c>
      <c r="E517" s="570" t="s">
        <v>14</v>
      </c>
      <c r="F517" s="258">
        <f t="shared" si="262"/>
        <v>1051.2776831345825</v>
      </c>
      <c r="G517" s="30" t="s">
        <v>173</v>
      </c>
      <c r="H517" s="482"/>
      <c r="I517" s="482" cm="1">
        <f t="array" ref="I517">IFERROR(_xlfn.XLOOKUP(1,($B517=DistributionZone)*(I$5=Desc_FixedOrVar)*($G517=Description),valuesPY),0)</f>
        <v>5.0625427163511004E-2</v>
      </c>
      <c r="J517" s="482">
        <f t="shared" si="260"/>
        <v>5.322138177615441E-2</v>
      </c>
      <c r="K517" s="484" t="str">
        <f>IFERROR(J517/J522,"")</f>
        <v/>
      </c>
      <c r="L517" s="484"/>
      <c r="M517" s="484">
        <f t="shared" si="263"/>
        <v>-1</v>
      </c>
      <c r="N517" s="563"/>
      <c r="O517" s="482"/>
      <c r="P517" s="482" cm="1">
        <f t="array" ref="P517">IFERROR(_xlfn.XLOOKUP(1,($B517=DistributionZone)*(P$5=Desc_FixedOrVar)*($G517=Description),valuesFY),0)</f>
        <v>0</v>
      </c>
      <c r="Q517" s="482">
        <f t="shared" si="259"/>
        <v>0</v>
      </c>
      <c r="R517" s="484">
        <f t="shared" si="261"/>
        <v>0</v>
      </c>
      <c r="S517" s="484"/>
      <c r="T517" s="607"/>
      <c r="U517" s="484"/>
      <c r="V517" s="484"/>
      <c r="W517" s="484"/>
      <c r="X517" s="484"/>
      <c r="Y517" s="484"/>
      <c r="Z517" s="484"/>
      <c r="AA517" s="484"/>
      <c r="AB517" s="484"/>
      <c r="AC517" s="484"/>
      <c r="AD517" s="484"/>
      <c r="AE517" s="484"/>
      <c r="AF517" s="484"/>
      <c r="AG517" s="484"/>
      <c r="AH517" s="484"/>
      <c r="AI517" s="484"/>
      <c r="AJ517" s="484"/>
    </row>
    <row r="518" spans="2:36" x14ac:dyDescent="0.35">
      <c r="B518" s="30" t="str">
        <f t="shared" si="257"/>
        <v>SAPN</v>
      </c>
      <c r="D518" s="30" t="str">
        <f t="shared" si="258"/>
        <v>controlled load</v>
      </c>
      <c r="E518" s="570" t="s">
        <v>14</v>
      </c>
      <c r="F518" s="258">
        <f t="shared" si="262"/>
        <v>1051.2776831345825</v>
      </c>
      <c r="G518" s="30" t="s">
        <v>130</v>
      </c>
      <c r="H518" s="482"/>
      <c r="I518" s="482" cm="1">
        <f t="array" ref="I518">IFERROR(_xlfn.XLOOKUP(1,($B518=DistributionZone)*(I$5=Desc_FixedOrVar)*($G518=Description),valuesPY),0)</f>
        <v>3.6927728105909479</v>
      </c>
      <c r="J518" s="482">
        <f t="shared" si="260"/>
        <v>3.8821296446604321</v>
      </c>
      <c r="K518" s="484" t="str">
        <f>IFERROR(J518/J522,"")</f>
        <v/>
      </c>
      <c r="L518" s="484"/>
      <c r="M518" s="484">
        <f t="shared" si="263"/>
        <v>-4.5781075827627915E-2</v>
      </c>
      <c r="N518" s="563"/>
      <c r="O518" s="482"/>
      <c r="P518" s="482" cm="1">
        <f t="array" ref="P518">IFERROR(_xlfn.XLOOKUP(1,($B518=DistributionZone)*(P$5=Desc_FixedOrVar)*($G518=Description),valuesFY),0)</f>
        <v>3.5237136985350812</v>
      </c>
      <c r="Q518" s="482">
        <f t="shared" si="259"/>
        <v>3.7044015730255508</v>
      </c>
      <c r="R518" s="484">
        <f t="shared" si="261"/>
        <v>2.7473397123599499E-2</v>
      </c>
      <c r="S518" s="484"/>
      <c r="T518" s="607"/>
      <c r="U518" s="484"/>
      <c r="V518" s="484"/>
      <c r="W518" s="484"/>
      <c r="X518" s="484"/>
      <c r="Y518" s="484"/>
      <c r="Z518" s="484"/>
      <c r="AA518" s="484"/>
      <c r="AB518" s="484"/>
      <c r="AC518" s="484"/>
      <c r="AD518" s="484"/>
      <c r="AE518" s="484"/>
      <c r="AF518" s="484"/>
      <c r="AG518" s="484"/>
      <c r="AH518" s="484"/>
      <c r="AI518" s="484"/>
      <c r="AJ518" s="484"/>
    </row>
    <row r="519" spans="2:36" x14ac:dyDescent="0.35">
      <c r="B519" s="30" t="str">
        <f t="shared" si="257"/>
        <v>SAPN</v>
      </c>
      <c r="D519" s="30" t="str">
        <f t="shared" si="258"/>
        <v>controlled load</v>
      </c>
      <c r="E519" s="570" t="s">
        <v>14</v>
      </c>
      <c r="F519" s="258">
        <f t="shared" si="262"/>
        <v>1051.2776831345825</v>
      </c>
      <c r="G519" s="30" t="s">
        <v>302</v>
      </c>
      <c r="H519" s="482"/>
      <c r="I519" s="482"/>
      <c r="J519" s="482"/>
      <c r="K519" s="484"/>
      <c r="L519" s="484"/>
      <c r="M519" s="484"/>
      <c r="N519" s="563"/>
      <c r="O519" s="482"/>
      <c r="P519" s="482" cm="1">
        <f t="array" ref="P519">IFERROR(_xlfn.XLOOKUP(1,($B519=DistributionZone)*(E519=tariffType)*(P$5=Desc_FixedOrVar)*($G519=Description),valuesFY),0)</f>
        <v>0.92000000000000037</v>
      </c>
      <c r="Q519" s="482">
        <f t="shared" si="259"/>
        <v>0.9671754684838163</v>
      </c>
      <c r="R519" s="484">
        <f t="shared" si="261"/>
        <v>7.1729792815515584E-3</v>
      </c>
      <c r="S519" s="484"/>
      <c r="T519" s="607"/>
      <c r="U519" s="484"/>
      <c r="V519" s="484"/>
      <c r="W519" s="484"/>
      <c r="X519" s="484"/>
      <c r="Y519" s="484"/>
      <c r="Z519" s="484"/>
      <c r="AA519" s="484"/>
      <c r="AB519" s="484"/>
      <c r="AC519" s="484"/>
      <c r="AD519" s="484"/>
      <c r="AE519" s="484"/>
      <c r="AF519" s="484"/>
      <c r="AG519" s="484"/>
      <c r="AH519" s="484"/>
      <c r="AI519" s="484"/>
      <c r="AJ519" s="484"/>
    </row>
    <row r="520" spans="2:36" x14ac:dyDescent="0.35">
      <c r="B520" s="30" t="str">
        <f t="shared" si="257"/>
        <v>SAPN</v>
      </c>
      <c r="D520" s="30" t="str">
        <f t="shared" si="258"/>
        <v>controlled load</v>
      </c>
      <c r="E520" s="570" t="s">
        <v>14</v>
      </c>
      <c r="F520" s="258">
        <f t="shared" si="262"/>
        <v>1051.2776831345825</v>
      </c>
      <c r="G520" s="30" t="s">
        <v>157</v>
      </c>
      <c r="H520" s="482"/>
      <c r="I520" s="482" cm="1">
        <f t="array" ref="I520">IFERROR(_xlfn.XLOOKUP(1,($B520=DistributionZone)*(I$5=Desc_FixedOrVar)*($G520=Description),valuesPY),0)</f>
        <v>5.712785518640878</v>
      </c>
      <c r="J520" s="482">
        <f t="shared" ref="J520:J521" si="264">H520+I520*F520/1000</f>
        <v>6.0057239242815763</v>
      </c>
      <c r="K520" s="484" t="str">
        <f>IFERROR(J520/J522,"")</f>
        <v/>
      </c>
      <c r="L520" s="484"/>
      <c r="M520" s="484">
        <f t="shared" ref="M520:M522" si="265">IF(OR(J520=0,Q520=""),"",Q520/J520-1)</f>
        <v>-0.78484131590226114</v>
      </c>
      <c r="N520" s="563"/>
      <c r="O520" s="482"/>
      <c r="P520" s="482" cm="1">
        <f t="array" ref="P520">IFERROR(_xlfn.XLOOKUP(1,($B520=DistributionZone)*(P$5=Desc_FixedOrVar)*($G520=Description),valuesFY),0)</f>
        <v>1.2291554147233901</v>
      </c>
      <c r="Q520" s="482">
        <f t="shared" si="259"/>
        <v>1.2921836566027325</v>
      </c>
      <c r="R520" s="484">
        <f t="shared" si="261"/>
        <v>9.5833764387149856E-3</v>
      </c>
      <c r="S520" s="484"/>
      <c r="T520" s="607"/>
      <c r="U520" s="484"/>
      <c r="V520" s="484"/>
      <c r="W520" s="484"/>
      <c r="X520" s="484"/>
      <c r="Y520" s="484"/>
      <c r="Z520" s="484"/>
      <c r="AA520" s="484"/>
      <c r="AB520" s="484"/>
      <c r="AC520" s="484"/>
      <c r="AD520" s="484"/>
      <c r="AE520" s="484"/>
      <c r="AF520" s="484"/>
      <c r="AG520" s="484"/>
      <c r="AH520" s="484"/>
      <c r="AI520" s="484"/>
      <c r="AJ520" s="484"/>
    </row>
    <row r="521" spans="2:36" x14ac:dyDescent="0.35">
      <c r="B521" s="30" t="str">
        <f t="shared" si="257"/>
        <v>SAPN</v>
      </c>
      <c r="D521" s="30" t="str">
        <f t="shared" si="258"/>
        <v>controlled load</v>
      </c>
      <c r="E521" s="570" t="s">
        <v>14</v>
      </c>
      <c r="F521" s="258">
        <f t="shared" si="262"/>
        <v>1051.2776831345825</v>
      </c>
      <c r="G521" s="30" t="s">
        <v>72</v>
      </c>
      <c r="H521" s="482"/>
      <c r="I521" s="482" cm="1">
        <f t="array" ref="I521">IFERROR(_xlfn.XLOOKUP(1,($B521=DistributionZone)*($C521=CustomerType)*($E521=tariffType)*($G521=Description),valuesPY),0)*SUM(I513:I520)</f>
        <v>8.1154641034156523</v>
      </c>
      <c r="J521" s="482">
        <f t="shared" si="264"/>
        <v>8.5316063002006803</v>
      </c>
      <c r="K521" s="484" t="str">
        <f>IFERROR(J521/J522,"")</f>
        <v/>
      </c>
      <c r="L521" s="484"/>
      <c r="M521" s="484">
        <f t="shared" si="265"/>
        <v>0.62424778476024612</v>
      </c>
      <c r="N521" s="563"/>
      <c r="O521" s="482"/>
      <c r="P521" s="482" cm="1">
        <f t="array" ref="P521">IFERROR(_xlfn.XLOOKUP(1,($B521=DistributionZone)*($C521=CustomerType)*($E521=tariffType)*($G521=Description),valuesFY),0)*SUM(P513:P520)</f>
        <v>13.181524592274172</v>
      </c>
      <c r="Q521" s="482">
        <f t="shared" si="259"/>
        <v>13.857442633547514</v>
      </c>
      <c r="R521" s="484">
        <f t="shared" si="261"/>
        <v>0.10277261173874451</v>
      </c>
      <c r="S521" s="484"/>
      <c r="T521" s="607"/>
      <c r="U521" s="484"/>
      <c r="V521" s="484"/>
      <c r="W521" s="484"/>
      <c r="X521" s="484"/>
      <c r="Y521" s="484"/>
      <c r="Z521" s="484"/>
      <c r="AA521" s="484"/>
      <c r="AB521" s="484"/>
      <c r="AC521" s="484"/>
      <c r="AD521" s="484"/>
      <c r="AE521" s="484"/>
      <c r="AF521" s="484"/>
      <c r="AG521" s="484"/>
      <c r="AH521" s="484"/>
      <c r="AI521" s="484"/>
      <c r="AJ521" s="484"/>
    </row>
    <row r="522" spans="2:36" x14ac:dyDescent="0.35">
      <c r="B522" s="30" t="str">
        <f t="shared" si="257"/>
        <v>SAPN</v>
      </c>
      <c r="D522" s="30" t="str">
        <f t="shared" si="258"/>
        <v>controlled load</v>
      </c>
      <c r="E522" s="570" t="s">
        <v>307</v>
      </c>
      <c r="F522" s="258">
        <f t="shared" si="262"/>
        <v>1051.2776831345825</v>
      </c>
      <c r="G522" s="64" t="s">
        <v>55</v>
      </c>
      <c r="H522" s="487"/>
      <c r="I522" s="487">
        <f>IF($H$3=PY,0,SUM(I513:I521))</f>
        <v>0</v>
      </c>
      <c r="J522" s="487">
        <f>IF($H$3=PY,0,SUM(J513:J521))</f>
        <v>0</v>
      </c>
      <c r="K522" s="564"/>
      <c r="L522" s="565"/>
      <c r="M522" s="564" t="str">
        <f t="shared" si="265"/>
        <v/>
      </c>
      <c r="N522" s="566"/>
      <c r="O522" s="487"/>
      <c r="P522" s="487">
        <f>SUM(P513:P521)</f>
        <v>128.25911854592709</v>
      </c>
      <c r="Q522" s="487">
        <f>SUM(Q513:Q521)</f>
        <v>134.83594898584602</v>
      </c>
      <c r="R522" s="484"/>
      <c r="S522" s="484"/>
      <c r="T522" s="607"/>
      <c r="U522" s="484"/>
      <c r="V522" s="484"/>
      <c r="W522" s="484"/>
      <c r="X522" s="484"/>
      <c r="Y522" s="484"/>
      <c r="Z522" s="484"/>
      <c r="AA522" s="484"/>
      <c r="AB522" s="484"/>
      <c r="AC522" s="484"/>
      <c r="AD522" s="484"/>
      <c r="AE522" s="484"/>
      <c r="AF522" s="484"/>
      <c r="AG522" s="484"/>
      <c r="AH522" s="484"/>
      <c r="AI522" s="484"/>
      <c r="AJ522" s="484"/>
    </row>
    <row r="523" spans="2:36" x14ac:dyDescent="0.35">
      <c r="B523" s="30" t="str">
        <f t="shared" si="257"/>
        <v>SAPN</v>
      </c>
      <c r="D523" s="30" t="str">
        <f t="shared" si="258"/>
        <v>controlled load</v>
      </c>
      <c r="E523" s="570" t="s">
        <v>308</v>
      </c>
      <c r="F523" s="258" cm="1">
        <f t="array" ref="F523">_xlfn.XLOOKUP(1,($B523=DistributionZone)*($D523=tariffL2)*("CL1"=tariffType)*($F$5=Description),valuesFY)*
_xlfn.XLOOKUP(1,($B523=DistributionZone)*($D523=tariffL2)*($E523=tariffType)*("Usage proportion"=Description),valuesFY)</f>
        <v>0</v>
      </c>
      <c r="G523" s="30" t="s">
        <v>69</v>
      </c>
      <c r="H523" s="482"/>
      <c r="I523" s="482" cm="1">
        <f t="array" ref="I523">IFERROR(_xlfn.XLOOKUP(1,($B523=DistributionZone)*($C523=CustomerType)*("CL1"=tariffType)*($G523=Description),valuesPY),0)</f>
        <v>101.455</v>
      </c>
      <c r="J523" s="482">
        <f t="shared" ref="J523:J528" si="266">H523+I523*F523/1000</f>
        <v>0</v>
      </c>
      <c r="K523" s="484" t="str">
        <f>IFERROR(J523/J532,"")</f>
        <v/>
      </c>
      <c r="L523" s="484"/>
      <c r="M523" s="484" t="str">
        <f>IF(OR(J523=0,Q523=""),"",Q523/J523-1)</f>
        <v/>
      </c>
      <c r="N523" s="563"/>
      <c r="O523" s="482"/>
      <c r="P523" s="482" cm="1">
        <f t="array" ref="P523">IFERROR(_xlfn.XLOOKUP(1,($B523=DistributionZone)*($E523=tariffType)*($G523=Description),valuesFY),0)</f>
        <v>106.77760394518128</v>
      </c>
      <c r="Q523" s="482">
        <f t="shared" ref="Q523:Q531" si="267">IF(AND(O523="",P523=""),"",O523+P523*$F523/1000)</f>
        <v>0</v>
      </c>
      <c r="R523" s="484">
        <f t="shared" ref="R523:R531" si="268">IFERROR(Q523/$Q$506,"")</f>
        <v>0</v>
      </c>
      <c r="S523" s="484"/>
      <c r="T523" s="608"/>
      <c r="U523" s="484"/>
      <c r="V523" s="484"/>
      <c r="W523" s="484"/>
      <c r="X523" s="484"/>
      <c r="Y523" s="484"/>
      <c r="Z523" s="484"/>
      <c r="AA523" s="484"/>
      <c r="AB523" s="484"/>
      <c r="AC523" s="484"/>
      <c r="AD523" s="484"/>
      <c r="AE523" s="484"/>
      <c r="AF523" s="484"/>
      <c r="AG523" s="484"/>
      <c r="AH523" s="484"/>
      <c r="AI523" s="484"/>
      <c r="AJ523" s="484"/>
    </row>
    <row r="524" spans="2:36" x14ac:dyDescent="0.35">
      <c r="B524" s="30" t="str">
        <f t="shared" si="257"/>
        <v>SAPN</v>
      </c>
      <c r="D524" s="30" t="str">
        <f t="shared" si="258"/>
        <v>controlled load</v>
      </c>
      <c r="E524" s="570" t="s">
        <v>14</v>
      </c>
      <c r="F524" s="258">
        <f t="shared" ref="F524:F529" si="269">F523</f>
        <v>0</v>
      </c>
      <c r="G524" s="30" t="s">
        <v>70</v>
      </c>
      <c r="H524" s="482"/>
      <c r="I524" s="482" cm="1">
        <f t="array" ref="I524">IFERROR(_xlfn.XLOOKUP(1,($B524=DistributionZone)*(I$5=Desc_FixedOrVar)*($G524=Description),valuesPY),0)</f>
        <v>0.58531011875289041</v>
      </c>
      <c r="J524" s="482">
        <f t="shared" si="266"/>
        <v>0</v>
      </c>
      <c r="K524" s="484" t="str">
        <f>IFERROR(J524/J532,"")</f>
        <v/>
      </c>
      <c r="L524" s="484"/>
      <c r="M524" s="484" t="str">
        <f>IF(OR(J524=0,Q524=""),"",Q524/J524-1)</f>
        <v/>
      </c>
      <c r="N524" s="563"/>
      <c r="O524" s="482"/>
      <c r="P524" s="482" cm="1">
        <f t="array" ref="P524">IFERROR(_xlfn.XLOOKUP(1,($B524=DistributionZone)*(P$5=Desc_FixedOrVar)*($G524=Description),valuesFY),0)</f>
        <v>8.3201730213645071</v>
      </c>
      <c r="Q524" s="482">
        <f t="shared" si="267"/>
        <v>0</v>
      </c>
      <c r="R524" s="484">
        <f t="shared" si="268"/>
        <v>0</v>
      </c>
      <c r="S524" s="484"/>
      <c r="T524" s="607"/>
      <c r="U524" s="484"/>
      <c r="V524" s="484"/>
      <c r="W524" s="484"/>
      <c r="X524" s="484"/>
      <c r="Y524" s="484"/>
      <c r="Z524" s="484"/>
      <c r="AA524" s="484"/>
      <c r="AB524" s="484"/>
      <c r="AC524" s="484"/>
      <c r="AD524" s="484"/>
      <c r="AE524" s="484"/>
      <c r="AF524" s="484"/>
      <c r="AG524" s="484"/>
      <c r="AH524" s="484"/>
      <c r="AI524" s="484"/>
      <c r="AJ524" s="484"/>
    </row>
    <row r="525" spans="2:36" x14ac:dyDescent="0.35">
      <c r="B525" s="30" t="str">
        <f t="shared" si="257"/>
        <v>SAPN</v>
      </c>
      <c r="D525" s="30" t="str">
        <f t="shared" si="258"/>
        <v>controlled load</v>
      </c>
      <c r="E525" s="570" t="s">
        <v>14</v>
      </c>
      <c r="F525" s="258">
        <f t="shared" si="269"/>
        <v>0</v>
      </c>
      <c r="G525" s="30" t="s">
        <v>77</v>
      </c>
      <c r="H525" s="482"/>
      <c r="I525" s="482" cm="1">
        <f t="array" ref="I525">IFERROR(_xlfn.XLOOKUP(1,($B525=DistributionZone)*(I$5=Desc_FixedOrVar)*($G525=Description),valuesPY),0)</f>
        <v>0.57443</v>
      </c>
      <c r="J525" s="482">
        <f t="shared" si="266"/>
        <v>0</v>
      </c>
      <c r="K525" s="484" t="str">
        <f>IFERROR(J525/J532,"")</f>
        <v/>
      </c>
      <c r="L525" s="484"/>
      <c r="M525" s="484" t="str">
        <f t="shared" ref="M525:M528" si="270">IF(OR(J525=0,Q525=""),"",Q525/J525-1)</f>
        <v/>
      </c>
      <c r="N525" s="563"/>
      <c r="O525" s="482"/>
      <c r="P525" s="482" cm="1">
        <f t="array" ref="P525">IFERROR(_xlfn.XLOOKUP(1,($B525=DistributionZone)*(P$5=Desc_FixedOrVar)*($G525=Description),valuesFY),0)</f>
        <v>0.51939999999999997</v>
      </c>
      <c r="Q525" s="482">
        <f t="shared" si="267"/>
        <v>0</v>
      </c>
      <c r="R525" s="484">
        <f t="shared" si="268"/>
        <v>0</v>
      </c>
      <c r="S525" s="484"/>
      <c r="T525" s="607"/>
      <c r="U525" s="484"/>
      <c r="V525" s="484"/>
      <c r="W525" s="484"/>
      <c r="X525" s="484"/>
      <c r="Y525" s="484"/>
      <c r="Z525" s="484"/>
      <c r="AA525" s="484"/>
      <c r="AB525" s="484"/>
      <c r="AC525" s="484"/>
      <c r="AD525" s="484"/>
      <c r="AE525" s="484"/>
      <c r="AF525" s="484"/>
      <c r="AG525" s="484"/>
      <c r="AH525" s="484"/>
      <c r="AI525" s="484"/>
      <c r="AJ525" s="484"/>
    </row>
    <row r="526" spans="2:36" x14ac:dyDescent="0.35">
      <c r="B526" s="30" t="str">
        <f t="shared" si="257"/>
        <v>SAPN</v>
      </c>
      <c r="D526" s="30" t="str">
        <f t="shared" si="258"/>
        <v>controlled load</v>
      </c>
      <c r="E526" s="570" t="s">
        <v>14</v>
      </c>
      <c r="F526" s="258">
        <f t="shared" si="269"/>
        <v>0</v>
      </c>
      <c r="G526" s="30" t="s">
        <v>71</v>
      </c>
      <c r="H526" s="482"/>
      <c r="I526" s="482" cm="1">
        <f t="array" ref="I526">IFERROR(_xlfn.XLOOKUP(1,($B526=DistributionZone)*(I$5=Desc_FixedOrVar)*($G526=Description),valuesPY),0)</f>
        <v>6.7563101629320773E-3</v>
      </c>
      <c r="J526" s="482">
        <f t="shared" si="266"/>
        <v>0</v>
      </c>
      <c r="K526" s="484" t="str">
        <f>IFERROR(J526/J532,"")</f>
        <v/>
      </c>
      <c r="L526" s="484"/>
      <c r="M526" s="484" t="str">
        <f t="shared" si="270"/>
        <v/>
      </c>
      <c r="N526" s="563"/>
      <c r="O526" s="482"/>
      <c r="P526" s="482" cm="1">
        <f t="array" ref="P526">IFERROR(_xlfn.XLOOKUP(1,($B526=DistributionZone)*(P$5=Desc_FixedOrVar)*($G526=Description),valuesFY),0)</f>
        <v>1.0301802521866776</v>
      </c>
      <c r="Q526" s="482">
        <f t="shared" si="267"/>
        <v>0</v>
      </c>
      <c r="R526" s="484">
        <f t="shared" si="268"/>
        <v>0</v>
      </c>
      <c r="S526" s="484"/>
      <c r="T526" s="607"/>
      <c r="U526" s="484"/>
      <c r="V526" s="484"/>
      <c r="W526" s="484"/>
      <c r="X526" s="484"/>
      <c r="Y526" s="484"/>
      <c r="Z526" s="484"/>
      <c r="AA526" s="484"/>
      <c r="AB526" s="484"/>
      <c r="AC526" s="484"/>
      <c r="AD526" s="484"/>
      <c r="AE526" s="484"/>
      <c r="AF526" s="484"/>
      <c r="AG526" s="484"/>
      <c r="AH526" s="484"/>
      <c r="AI526" s="484"/>
      <c r="AJ526" s="484"/>
    </row>
    <row r="527" spans="2:36" x14ac:dyDescent="0.35">
      <c r="B527" s="30" t="str">
        <f t="shared" si="257"/>
        <v>SAPN</v>
      </c>
      <c r="D527" s="30" t="str">
        <f t="shared" si="258"/>
        <v>controlled load</v>
      </c>
      <c r="E527" s="570" t="s">
        <v>14</v>
      </c>
      <c r="F527" s="258">
        <f t="shared" si="269"/>
        <v>0</v>
      </c>
      <c r="G527" s="30" t="s">
        <v>173</v>
      </c>
      <c r="H527" s="482"/>
      <c r="I527" s="482" cm="1">
        <f t="array" ref="I527">IFERROR(_xlfn.XLOOKUP(1,($B527=DistributionZone)*(I$5=Desc_FixedOrVar)*($G527=Description),valuesPY),0)</f>
        <v>5.0625427163511004E-2</v>
      </c>
      <c r="J527" s="482">
        <f t="shared" si="266"/>
        <v>0</v>
      </c>
      <c r="K527" s="484">
        <f>IFERROR(J527/J533,"")</f>
        <v>0</v>
      </c>
      <c r="L527" s="484"/>
      <c r="M527" s="484" t="str">
        <f t="shared" si="270"/>
        <v/>
      </c>
      <c r="N527" s="563"/>
      <c r="O527" s="482"/>
      <c r="P527" s="482" cm="1">
        <f t="array" ref="P527">IFERROR(_xlfn.XLOOKUP(1,($B527=DistributionZone)*(P$5=Desc_FixedOrVar)*($G527=Description),valuesFY),0)</f>
        <v>0</v>
      </c>
      <c r="Q527" s="482">
        <f t="shared" si="267"/>
        <v>0</v>
      </c>
      <c r="R527" s="484">
        <f t="shared" si="268"/>
        <v>0</v>
      </c>
      <c r="S527" s="484"/>
      <c r="T527" s="607"/>
      <c r="U527" s="484"/>
      <c r="V527" s="484"/>
      <c r="W527" s="484"/>
      <c r="X527" s="484"/>
      <c r="Y527" s="484"/>
      <c r="Z527" s="484"/>
      <c r="AA527" s="484"/>
      <c r="AB527" s="484"/>
      <c r="AC527" s="484"/>
      <c r="AD527" s="484"/>
      <c r="AE527" s="484"/>
      <c r="AF527" s="484"/>
      <c r="AG527" s="484"/>
      <c r="AH527" s="484"/>
      <c r="AI527" s="484"/>
      <c r="AJ527" s="484"/>
    </row>
    <row r="528" spans="2:36" x14ac:dyDescent="0.35">
      <c r="B528" s="30" t="str">
        <f t="shared" si="257"/>
        <v>SAPN</v>
      </c>
      <c r="D528" s="30" t="str">
        <f t="shared" si="258"/>
        <v>controlled load</v>
      </c>
      <c r="E528" s="570" t="s">
        <v>14</v>
      </c>
      <c r="F528" s="258">
        <f t="shared" si="269"/>
        <v>0</v>
      </c>
      <c r="G528" s="30" t="s">
        <v>130</v>
      </c>
      <c r="H528" s="482"/>
      <c r="I528" s="482" cm="1">
        <f t="array" ref="I528">IFERROR(_xlfn.XLOOKUP(1,($B528=DistributionZone)*(I$5=Desc_FixedOrVar)*($G528=Description),valuesPY),0)</f>
        <v>3.6927728105909479</v>
      </c>
      <c r="J528" s="482">
        <f t="shared" si="266"/>
        <v>0</v>
      </c>
      <c r="K528" s="484" t="str">
        <f>IFERROR(J528/J532,"")</f>
        <v/>
      </c>
      <c r="L528" s="484"/>
      <c r="M528" s="484" t="str">
        <f t="shared" si="270"/>
        <v/>
      </c>
      <c r="N528" s="563"/>
      <c r="O528" s="482"/>
      <c r="P528" s="482" cm="1">
        <f t="array" ref="P528">IFERROR(_xlfn.XLOOKUP(1,($B528=DistributionZone)*(P$5=Desc_FixedOrVar)*($G528=Description),valuesFY),0)</f>
        <v>3.5237136985350812</v>
      </c>
      <c r="Q528" s="482">
        <f t="shared" si="267"/>
        <v>0</v>
      </c>
      <c r="R528" s="484">
        <f t="shared" si="268"/>
        <v>0</v>
      </c>
      <c r="S528" s="484"/>
      <c r="T528" s="607"/>
      <c r="U528" s="484"/>
      <c r="V528" s="484"/>
      <c r="W528" s="484"/>
      <c r="X528" s="484"/>
      <c r="Y528" s="484"/>
      <c r="Z528" s="484"/>
      <c r="AA528" s="484"/>
      <c r="AB528" s="484"/>
      <c r="AC528" s="484"/>
      <c r="AD528" s="484"/>
      <c r="AE528" s="484"/>
      <c r="AF528" s="484"/>
      <c r="AG528" s="484"/>
      <c r="AH528" s="484"/>
      <c r="AI528" s="484"/>
      <c r="AJ528" s="484"/>
    </row>
    <row r="529" spans="2:36" x14ac:dyDescent="0.35">
      <c r="B529" s="30" t="str">
        <f t="shared" si="257"/>
        <v>SAPN</v>
      </c>
      <c r="D529" s="30" t="str">
        <f t="shared" si="258"/>
        <v>controlled load</v>
      </c>
      <c r="E529" s="570" t="s">
        <v>14</v>
      </c>
      <c r="F529" s="258">
        <f t="shared" si="269"/>
        <v>0</v>
      </c>
      <c r="G529" s="30" t="s">
        <v>302</v>
      </c>
      <c r="H529" s="482"/>
      <c r="I529" s="482"/>
      <c r="J529" s="482"/>
      <c r="K529" s="484"/>
      <c r="L529" s="484"/>
      <c r="M529" s="484"/>
      <c r="N529" s="563"/>
      <c r="O529" s="482"/>
      <c r="P529" s="482" cm="1">
        <f t="array" ref="P529">IFERROR(_xlfn.XLOOKUP(1,($B529=DistributionZone)*(E529=tariffType)*(P$5=Desc_FixedOrVar)*($G529=Description),valuesFY),0)</f>
        <v>0.92000000000000037</v>
      </c>
      <c r="Q529" s="482">
        <f t="shared" si="267"/>
        <v>0</v>
      </c>
      <c r="R529" s="484">
        <f t="shared" si="268"/>
        <v>0</v>
      </c>
      <c r="S529" s="484"/>
      <c r="T529" s="607"/>
      <c r="U529" s="484"/>
      <c r="V529" s="484"/>
      <c r="W529" s="484"/>
      <c r="X529" s="484"/>
      <c r="Y529" s="484"/>
      <c r="Z529" s="484"/>
      <c r="AA529" s="484"/>
      <c r="AB529" s="484"/>
      <c r="AC529" s="484"/>
      <c r="AD529" s="484"/>
      <c r="AE529" s="484"/>
      <c r="AF529" s="484"/>
      <c r="AG529" s="484"/>
      <c r="AH529" s="484"/>
      <c r="AI529" s="484"/>
      <c r="AJ529" s="484"/>
    </row>
    <row r="530" spans="2:36" x14ac:dyDescent="0.35">
      <c r="B530" s="30" t="str">
        <f t="shared" si="257"/>
        <v>SAPN</v>
      </c>
      <c r="D530" s="30" t="str">
        <f t="shared" si="258"/>
        <v>controlled load</v>
      </c>
      <c r="E530" s="570" t="s">
        <v>14</v>
      </c>
      <c r="F530" s="258">
        <f>F528</f>
        <v>0</v>
      </c>
      <c r="G530" s="30" t="s">
        <v>157</v>
      </c>
      <c r="H530" s="482"/>
      <c r="I530" s="482" cm="1">
        <f t="array" ref="I530">IFERROR(_xlfn.XLOOKUP(1,($B530=DistributionZone)*(I$5=Desc_FixedOrVar)*($G530=Description),valuesPY),0)</f>
        <v>5.712785518640878</v>
      </c>
      <c r="J530" s="482">
        <f t="shared" ref="J530:J531" si="271">H530+I530*F530/1000</f>
        <v>0</v>
      </c>
      <c r="K530" s="484" t="str">
        <f>IFERROR(J530/J532,"")</f>
        <v/>
      </c>
      <c r="L530" s="484"/>
      <c r="M530" s="484" t="str">
        <f t="shared" ref="M530:M532" si="272">IF(OR(J530=0,Q530=""),"",Q530/J530-1)</f>
        <v/>
      </c>
      <c r="N530" s="563"/>
      <c r="O530" s="482"/>
      <c r="P530" s="482" cm="1">
        <f t="array" ref="P530">IFERROR(_xlfn.XLOOKUP(1,($B530=DistributionZone)*(P$5=Desc_FixedOrVar)*($G530=Description),valuesFY),0)</f>
        <v>1.2291554147233901</v>
      </c>
      <c r="Q530" s="482">
        <f t="shared" si="267"/>
        <v>0</v>
      </c>
      <c r="R530" s="484">
        <f t="shared" si="268"/>
        <v>0</v>
      </c>
      <c r="S530" s="484"/>
      <c r="T530" s="607"/>
      <c r="U530" s="484"/>
      <c r="V530" s="484"/>
      <c r="W530" s="484"/>
      <c r="X530" s="484"/>
      <c r="Y530" s="484"/>
      <c r="Z530" s="484"/>
      <c r="AA530" s="484"/>
      <c r="AB530" s="484"/>
      <c r="AC530" s="484"/>
      <c r="AD530" s="484"/>
      <c r="AE530" s="484"/>
      <c r="AF530" s="484"/>
      <c r="AG530" s="484"/>
      <c r="AH530" s="484"/>
      <c r="AI530" s="484"/>
      <c r="AJ530" s="484"/>
    </row>
    <row r="531" spans="2:36" x14ac:dyDescent="0.35">
      <c r="B531" s="30" t="str">
        <f t="shared" si="257"/>
        <v>SAPN</v>
      </c>
      <c r="D531" s="30" t="str">
        <f t="shared" si="258"/>
        <v>controlled load</v>
      </c>
      <c r="E531" s="570" t="s">
        <v>14</v>
      </c>
      <c r="F531" s="258">
        <f t="shared" ref="F531:F532" si="273">F530</f>
        <v>0</v>
      </c>
      <c r="G531" s="30" t="s">
        <v>72</v>
      </c>
      <c r="H531" s="482"/>
      <c r="I531" s="482" cm="1">
        <f t="array" ref="I531">IFERROR(_xlfn.XLOOKUP(1,($B531=DistributionZone)*($C531=CustomerType)*($E531=tariffType)*($G531=Description),valuesPY),0)*SUM(I523:I530)</f>
        <v>8.1154641034156523</v>
      </c>
      <c r="J531" s="482">
        <f t="shared" si="271"/>
        <v>0</v>
      </c>
      <c r="K531" s="484" t="str">
        <f>IFERROR(J531/J532,"")</f>
        <v/>
      </c>
      <c r="L531" s="484"/>
      <c r="M531" s="484" t="str">
        <f t="shared" si="272"/>
        <v/>
      </c>
      <c r="N531" s="563"/>
      <c r="O531" s="482"/>
      <c r="P531" s="482" cm="1">
        <f t="array" ref="P531">IFERROR(_xlfn.XLOOKUP(1,($B531=DistributionZone)*($C531=CustomerType)*($E531=tariffType)*($G531=Description),valuesFY),0)*SUM(P523:P530)</f>
        <v>14.011129500822342</v>
      </c>
      <c r="Q531" s="482">
        <f t="shared" si="267"/>
        <v>0</v>
      </c>
      <c r="R531" s="484">
        <f t="shared" si="268"/>
        <v>0</v>
      </c>
      <c r="S531" s="484"/>
      <c r="T531" s="607"/>
      <c r="U531" s="484"/>
      <c r="V531" s="484"/>
      <c r="W531" s="484"/>
      <c r="X531" s="484"/>
      <c r="Y531" s="484"/>
      <c r="Z531" s="484"/>
      <c r="AA531" s="484"/>
      <c r="AB531" s="484"/>
      <c r="AC531" s="484"/>
      <c r="AD531" s="484"/>
      <c r="AE531" s="484"/>
      <c r="AF531" s="484"/>
      <c r="AG531" s="484"/>
      <c r="AH531" s="484"/>
      <c r="AI531" s="484"/>
      <c r="AJ531" s="484"/>
    </row>
    <row r="532" spans="2:36" x14ac:dyDescent="0.35">
      <c r="B532" s="30" t="str">
        <f t="shared" si="257"/>
        <v>SAPN</v>
      </c>
      <c r="D532" s="30" t="str">
        <f t="shared" si="258"/>
        <v>controlled load</v>
      </c>
      <c r="E532" s="570" t="s">
        <v>308</v>
      </c>
      <c r="F532" s="258">
        <f t="shared" si="273"/>
        <v>0</v>
      </c>
      <c r="G532" s="64" t="s">
        <v>55</v>
      </c>
      <c r="H532" s="487"/>
      <c r="I532" s="487">
        <f>IF($H$3=PY,0,SUM(I523:I531))</f>
        <v>0</v>
      </c>
      <c r="J532" s="487">
        <f>IF($H$3=PY,0,SUM(J523:J531))</f>
        <v>0</v>
      </c>
      <c r="K532" s="564"/>
      <c r="L532" s="565"/>
      <c r="M532" s="564" t="str">
        <f t="shared" si="272"/>
        <v/>
      </c>
      <c r="N532" s="566"/>
      <c r="O532" s="487"/>
      <c r="P532" s="487">
        <f>SUM(P523:P531)</f>
        <v>136.3313558328133</v>
      </c>
      <c r="Q532" s="487">
        <f>SUM(Q523:Q531)</f>
        <v>0</v>
      </c>
      <c r="R532" s="484"/>
      <c r="S532" s="484"/>
      <c r="T532" s="607"/>
      <c r="U532" s="484"/>
      <c r="V532" s="484"/>
      <c r="W532" s="484"/>
      <c r="X532" s="484"/>
      <c r="Y532" s="484"/>
      <c r="Z532" s="484"/>
      <c r="AA532" s="484"/>
      <c r="AB532" s="484"/>
      <c r="AC532" s="484"/>
      <c r="AD532" s="484"/>
      <c r="AE532" s="484"/>
      <c r="AF532" s="484"/>
      <c r="AG532" s="484"/>
      <c r="AH532" s="484"/>
      <c r="AI532" s="484"/>
      <c r="AJ532" s="484"/>
    </row>
    <row r="533" spans="2:36" x14ac:dyDescent="0.35">
      <c r="B533" s="30" t="str">
        <f t="shared" si="257"/>
        <v>SAPN</v>
      </c>
      <c r="D533" s="30" t="str">
        <f t="shared" si="258"/>
        <v>controlled load</v>
      </c>
      <c r="E533" s="570" t="s">
        <v>309</v>
      </c>
      <c r="F533" s="258" cm="1">
        <f t="array" ref="F533">_xlfn.XLOOKUP(1,($B533=DistributionZone)*($D533=tariffL2)*("CL1"=tariffType)*($F$5=Description),valuesFY)*
_xlfn.XLOOKUP(1,($B533=DistributionZone)*($D533=tariffL2)*($E533=tariffType)*("Usage proportion"=Description),valuesFY)</f>
        <v>748.72231686541716</v>
      </c>
      <c r="G533" s="30" t="s">
        <v>69</v>
      </c>
      <c r="H533" s="482"/>
      <c r="I533" s="482" cm="1">
        <f t="array" ref="I533">IFERROR(_xlfn.XLOOKUP(1,($B533=DistributionZone)*($C533=CustomerType)*("CL1"=tariffType)*($G533=Description),valuesPY),0)</f>
        <v>101.455</v>
      </c>
      <c r="J533" s="482">
        <f t="shared" ref="J533:J538" si="274">H533+I533*F533/1000</f>
        <v>75.961622657580904</v>
      </c>
      <c r="K533" s="484" t="str">
        <f>IFERROR(J533/J542,"")</f>
        <v/>
      </c>
      <c r="L533" s="484"/>
      <c r="M533" s="484">
        <f>IF(OR(J533=0,Q533=""),"",Q533/J533-1)</f>
        <v>-0.66618530761715067</v>
      </c>
      <c r="N533" s="563"/>
      <c r="O533" s="482"/>
      <c r="P533" s="482" cm="1">
        <f t="array" ref="P533">IFERROR(_xlfn.XLOOKUP(1,($B533=DistributionZone)*($E533=tariffType)*($G533=Description),valuesFY),0)</f>
        <v>33.867169615701982</v>
      </c>
      <c r="Q533" s="482">
        <f t="shared" ref="Q533:Q541" si="275">IF(AND(O533="",P533=""),"",O533+P533*$F533/1000)</f>
        <v>25.357105700342448</v>
      </c>
      <c r="R533" s="484">
        <f>IFERROR(Q533/$Q$542,"")</f>
        <v>0.61499048894098984</v>
      </c>
      <c r="S533" s="484"/>
      <c r="T533" s="608"/>
      <c r="U533" s="484"/>
      <c r="V533" s="484"/>
      <c r="W533" s="484"/>
      <c r="X533" s="484"/>
      <c r="Y533" s="484"/>
      <c r="Z533" s="484"/>
      <c r="AA533" s="484"/>
      <c r="AB533" s="484"/>
      <c r="AC533" s="484"/>
      <c r="AD533" s="484"/>
      <c r="AE533" s="484"/>
      <c r="AF533" s="484"/>
      <c r="AG533" s="484"/>
      <c r="AH533" s="484"/>
      <c r="AI533" s="484"/>
      <c r="AJ533" s="484"/>
    </row>
    <row r="534" spans="2:36" x14ac:dyDescent="0.35">
      <c r="B534" s="30" t="str">
        <f t="shared" si="257"/>
        <v>SAPN</v>
      </c>
      <c r="D534" s="30" t="str">
        <f t="shared" si="258"/>
        <v>controlled load</v>
      </c>
      <c r="E534" s="570" t="s">
        <v>14</v>
      </c>
      <c r="F534" s="258">
        <f t="shared" ref="F534:F539" si="276">F533</f>
        <v>748.72231686541716</v>
      </c>
      <c r="G534" s="30" t="s">
        <v>70</v>
      </c>
      <c r="H534" s="482"/>
      <c r="I534" s="482" cm="1">
        <f t="array" ref="I534">IFERROR(_xlfn.XLOOKUP(1,($B534=DistributionZone)*(I$5=Desc_FixedOrVar)*($G534=Description),valuesPY),0)</f>
        <v>0.58531011875289041</v>
      </c>
      <c r="J534" s="482">
        <f t="shared" si="274"/>
        <v>0.43823474819743652</v>
      </c>
      <c r="K534" s="484" t="str">
        <f>IFERROR(J534/J542,"")</f>
        <v/>
      </c>
      <c r="L534" s="484"/>
      <c r="M534" s="484">
        <f>IF(OR(J534=0,Q534=""),"",Q534/J534-1)</f>
        <v>13.214982373945881</v>
      </c>
      <c r="N534" s="563"/>
      <c r="O534" s="482"/>
      <c r="P534" s="482" cm="1">
        <f t="array" ref="P534">IFERROR(_xlfn.XLOOKUP(1,($B534=DistributionZone)*(P$5=Desc_FixedOrVar)*($G534=Description),valuesFY),0)</f>
        <v>8.3201730213645071</v>
      </c>
      <c r="Q534" s="482">
        <f t="shared" si="275"/>
        <v>6.2294992212771714</v>
      </c>
      <c r="R534" s="484">
        <f t="shared" ref="R534:R541" si="277">IFERROR(Q534/$Q$542,"")</f>
        <v>0.15108517577773176</v>
      </c>
      <c r="S534" s="484"/>
      <c r="T534" s="607"/>
      <c r="U534" s="484"/>
      <c r="V534" s="484"/>
      <c r="W534" s="484"/>
      <c r="X534" s="484"/>
      <c r="Y534" s="484"/>
      <c r="Z534" s="484"/>
      <c r="AA534" s="484"/>
      <c r="AB534" s="484"/>
      <c r="AC534" s="484"/>
      <c r="AD534" s="484"/>
      <c r="AE534" s="484"/>
      <c r="AF534" s="484"/>
      <c r="AG534" s="484"/>
      <c r="AH534" s="484"/>
      <c r="AI534" s="484"/>
      <c r="AJ534" s="484"/>
    </row>
    <row r="535" spans="2:36" x14ac:dyDescent="0.35">
      <c r="B535" s="30" t="str">
        <f t="shared" si="257"/>
        <v>SAPN</v>
      </c>
      <c r="D535" s="30" t="str">
        <f t="shared" si="258"/>
        <v>controlled load</v>
      </c>
      <c r="E535" s="570" t="s">
        <v>14</v>
      </c>
      <c r="F535" s="258">
        <f t="shared" si="276"/>
        <v>748.72231686541716</v>
      </c>
      <c r="G535" s="30" t="s">
        <v>77</v>
      </c>
      <c r="H535" s="482"/>
      <c r="I535" s="482" cm="1">
        <f t="array" ref="I535">IFERROR(_xlfn.XLOOKUP(1,($B535=DistributionZone)*(I$5=Desc_FixedOrVar)*($G535=Description),valuesPY),0)</f>
        <v>0.57443</v>
      </c>
      <c r="J535" s="482">
        <f t="shared" si="274"/>
        <v>0.43008856047700156</v>
      </c>
      <c r="K535" s="484" t="str">
        <f>IFERROR(J535/J542,"")</f>
        <v/>
      </c>
      <c r="L535" s="484"/>
      <c r="M535" s="484">
        <f t="shared" ref="M535:M538" si="278">IF(OR(J535=0,Q535=""),"",Q535/J535-1)</f>
        <v>-9.5799314102675726E-2</v>
      </c>
      <c r="N535" s="563"/>
      <c r="O535" s="482"/>
      <c r="P535" s="482" cm="1">
        <f t="array" ref="P535">IFERROR(_xlfn.XLOOKUP(1,($B535=DistributionZone)*(P$5=Desc_FixedOrVar)*($G535=Description),valuesFY),0)</f>
        <v>0.51939999999999997</v>
      </c>
      <c r="Q535" s="482">
        <f t="shared" si="275"/>
        <v>0.38888637137989762</v>
      </c>
      <c r="R535" s="484">
        <f t="shared" si="277"/>
        <v>9.4317317797898634E-3</v>
      </c>
      <c r="S535" s="484"/>
      <c r="T535" s="607"/>
      <c r="U535" s="484"/>
      <c r="V535" s="484"/>
      <c r="W535" s="484"/>
      <c r="X535" s="484"/>
      <c r="Y535" s="484"/>
      <c r="Z535" s="484"/>
      <c r="AA535" s="484"/>
      <c r="AB535" s="484"/>
      <c r="AC535" s="484"/>
      <c r="AD535" s="484"/>
      <c r="AE535" s="484"/>
      <c r="AF535" s="484"/>
      <c r="AG535" s="484"/>
      <c r="AH535" s="484"/>
      <c r="AI535" s="484"/>
      <c r="AJ535" s="484"/>
    </row>
    <row r="536" spans="2:36" x14ac:dyDescent="0.35">
      <c r="B536" s="30" t="str">
        <f t="shared" si="257"/>
        <v>SAPN</v>
      </c>
      <c r="D536" s="30" t="str">
        <f t="shared" si="258"/>
        <v>controlled load</v>
      </c>
      <c r="E536" s="570" t="s">
        <v>14</v>
      </c>
      <c r="F536" s="258">
        <f t="shared" si="276"/>
        <v>748.72231686541716</v>
      </c>
      <c r="G536" s="30" t="s">
        <v>71</v>
      </c>
      <c r="H536" s="482"/>
      <c r="I536" s="482" cm="1">
        <f t="array" ref="I536">IFERROR(_xlfn.XLOOKUP(1,($B536=DistributionZone)*(I$5=Desc_FixedOrVar)*($G536=Description),valuesPY),0)</f>
        <v>6.7563101629320773E-3</v>
      </c>
      <c r="J536" s="482">
        <f t="shared" si="274"/>
        <v>5.0586001986518692E-3</v>
      </c>
      <c r="K536" s="484" t="str">
        <f>IFERROR(J536/J542,"")</f>
        <v/>
      </c>
      <c r="L536" s="484"/>
      <c r="M536" s="484">
        <f t="shared" si="278"/>
        <v>151.47675540987953</v>
      </c>
      <c r="N536" s="563"/>
      <c r="O536" s="482"/>
      <c r="P536" s="482" cm="1">
        <f t="array" ref="P536">IFERROR(_xlfn.XLOOKUP(1,($B536=DistributionZone)*(P$5=Desc_FixedOrVar)*($G536=Description),valuesFY),0)</f>
        <v>1.0301802521866776</v>
      </c>
      <c r="Q536" s="482">
        <f t="shared" si="275"/>
        <v>0.77131894520620903</v>
      </c>
      <c r="R536" s="484">
        <f t="shared" si="277"/>
        <v>1.8706938435619994E-2</v>
      </c>
      <c r="S536" s="484"/>
      <c r="T536" s="607"/>
      <c r="U536" s="484"/>
      <c r="V536" s="484"/>
      <c r="W536" s="484"/>
      <c r="X536" s="484"/>
      <c r="Y536" s="484"/>
      <c r="Z536" s="484"/>
      <c r="AA536" s="484"/>
      <c r="AB536" s="484"/>
      <c r="AC536" s="484"/>
      <c r="AD536" s="484"/>
      <c r="AE536" s="484"/>
      <c r="AF536" s="484"/>
      <c r="AG536" s="484"/>
      <c r="AH536" s="484"/>
      <c r="AI536" s="484"/>
      <c r="AJ536" s="484"/>
    </row>
    <row r="537" spans="2:36" x14ac:dyDescent="0.35">
      <c r="B537" s="30" t="str">
        <f t="shared" si="257"/>
        <v>SAPN</v>
      </c>
      <c r="D537" s="30" t="str">
        <f t="shared" si="258"/>
        <v>controlled load</v>
      </c>
      <c r="E537" s="570" t="s">
        <v>14</v>
      </c>
      <c r="F537" s="258">
        <f t="shared" si="276"/>
        <v>748.72231686541716</v>
      </c>
      <c r="G537" s="30" t="s">
        <v>173</v>
      </c>
      <c r="H537" s="482"/>
      <c r="I537" s="482" cm="1">
        <f t="array" ref="I537">IFERROR(_xlfn.XLOOKUP(1,($B537=DistributionZone)*(I$5=Desc_FixedOrVar)*($G537=Description),valuesPY),0)</f>
        <v>5.0625427163511004E-2</v>
      </c>
      <c r="J537" s="482">
        <f t="shared" si="274"/>
        <v>3.7904387118165378E-2</v>
      </c>
      <c r="K537" s="484" t="str">
        <f>IFERROR(J537/J543,"")</f>
        <v/>
      </c>
      <c r="L537" s="484"/>
      <c r="M537" s="484">
        <f t="shared" si="278"/>
        <v>-1</v>
      </c>
      <c r="N537" s="563"/>
      <c r="O537" s="482"/>
      <c r="P537" s="482" cm="1">
        <f t="array" ref="P537">IFERROR(_xlfn.XLOOKUP(1,($B537=DistributionZone)*(P$5=Desc_FixedOrVar)*($G537=Description),valuesFY),0)</f>
        <v>0</v>
      </c>
      <c r="Q537" s="482">
        <f t="shared" si="275"/>
        <v>0</v>
      </c>
      <c r="R537" s="484">
        <f t="shared" si="277"/>
        <v>0</v>
      </c>
      <c r="S537" s="484"/>
      <c r="T537" s="607"/>
      <c r="U537" s="484"/>
      <c r="V537" s="484"/>
      <c r="W537" s="484"/>
      <c r="X537" s="484"/>
      <c r="Y537" s="484"/>
      <c r="Z537" s="484"/>
      <c r="AA537" s="484"/>
      <c r="AB537" s="484"/>
      <c r="AC537" s="484"/>
      <c r="AD537" s="484"/>
      <c r="AE537" s="484"/>
      <c r="AF537" s="484"/>
      <c r="AG537" s="484"/>
      <c r="AH537" s="484"/>
      <c r="AI537" s="484"/>
      <c r="AJ537" s="484"/>
    </row>
    <row r="538" spans="2:36" x14ac:dyDescent="0.35">
      <c r="B538" s="30" t="str">
        <f t="shared" si="257"/>
        <v>SAPN</v>
      </c>
      <c r="D538" s="30" t="str">
        <f t="shared" si="258"/>
        <v>controlled load</v>
      </c>
      <c r="E538" s="570" t="s">
        <v>14</v>
      </c>
      <c r="F538" s="258">
        <f t="shared" si="276"/>
        <v>748.72231686541716</v>
      </c>
      <c r="G538" s="30" t="s">
        <v>130</v>
      </c>
      <c r="H538" s="482"/>
      <c r="I538" s="482" cm="1">
        <f t="array" ref="I538">IFERROR(_xlfn.XLOOKUP(1,($B538=DistributionZone)*(I$5=Desc_FixedOrVar)*($G538=Description),valuesPY),0)</f>
        <v>3.6927728105909479</v>
      </c>
      <c r="J538" s="482">
        <f t="shared" si="274"/>
        <v>2.7648614144032728</v>
      </c>
      <c r="K538" s="484" t="str">
        <f>IFERROR(J538/J542,"")</f>
        <v/>
      </c>
      <c r="L538" s="484"/>
      <c r="M538" s="484">
        <f t="shared" si="278"/>
        <v>-4.5781075827627804E-2</v>
      </c>
      <c r="N538" s="563"/>
      <c r="O538" s="482"/>
      <c r="P538" s="482" cm="1">
        <f t="array" ref="P538">IFERROR(_xlfn.XLOOKUP(1,($B538=DistributionZone)*(P$5=Desc_FixedOrVar)*($G538=Description),valuesFY),0)</f>
        <v>3.5237136985350812</v>
      </c>
      <c r="Q538" s="482">
        <f t="shared" si="275"/>
        <v>2.6382830843375942</v>
      </c>
      <c r="R538" s="484">
        <f t="shared" si="277"/>
        <v>6.3986758708806726E-2</v>
      </c>
      <c r="S538" s="484"/>
      <c r="T538" s="607"/>
      <c r="U538" s="484"/>
      <c r="V538" s="484"/>
      <c r="W538" s="484"/>
      <c r="X538" s="484"/>
      <c r="Y538" s="484"/>
      <c r="Z538" s="484"/>
      <c r="AA538" s="484"/>
      <c r="AB538" s="484"/>
      <c r="AC538" s="484"/>
      <c r="AD538" s="484"/>
      <c r="AE538" s="484"/>
      <c r="AF538" s="484"/>
      <c r="AG538" s="484"/>
      <c r="AH538" s="484"/>
      <c r="AI538" s="484"/>
      <c r="AJ538" s="484"/>
    </row>
    <row r="539" spans="2:36" x14ac:dyDescent="0.35">
      <c r="B539" s="30" t="str">
        <f t="shared" si="257"/>
        <v>SAPN</v>
      </c>
      <c r="D539" s="30" t="str">
        <f t="shared" si="258"/>
        <v>controlled load</v>
      </c>
      <c r="E539" s="570" t="s">
        <v>14</v>
      </c>
      <c r="F539" s="258">
        <f t="shared" si="276"/>
        <v>748.72231686541716</v>
      </c>
      <c r="G539" s="30" t="s">
        <v>302</v>
      </c>
      <c r="H539" s="482"/>
      <c r="I539" s="482"/>
      <c r="J539" s="482"/>
      <c r="K539" s="484"/>
      <c r="L539" s="484"/>
      <c r="M539" s="484"/>
      <c r="N539" s="563"/>
      <c r="O539" s="482"/>
      <c r="P539" s="482" cm="1">
        <f t="array" ref="P539">IFERROR(_xlfn.XLOOKUP(1,($B539=DistributionZone)*(E539=tariffType)*(P$5=Desc_FixedOrVar)*($G539=Description),valuesFY),0)</f>
        <v>0.92000000000000037</v>
      </c>
      <c r="Q539" s="482">
        <f t="shared" si="275"/>
        <v>0.68882453151618406</v>
      </c>
      <c r="R539" s="484">
        <f t="shared" si="277"/>
        <v>1.6706186440906198E-2</v>
      </c>
      <c r="S539" s="484"/>
      <c r="T539" s="607"/>
      <c r="U539" s="484"/>
      <c r="V539" s="484"/>
      <c r="W539" s="484"/>
      <c r="X539" s="484"/>
      <c r="Y539" s="484"/>
      <c r="Z539" s="484"/>
      <c r="AA539" s="484"/>
      <c r="AB539" s="484"/>
      <c r="AC539" s="484"/>
      <c r="AD539" s="484"/>
      <c r="AE539" s="484"/>
      <c r="AF539" s="484"/>
      <c r="AG539" s="484"/>
      <c r="AH539" s="484"/>
      <c r="AI539" s="484"/>
      <c r="AJ539" s="484"/>
    </row>
    <row r="540" spans="2:36" x14ac:dyDescent="0.35">
      <c r="B540" s="30" t="str">
        <f t="shared" si="257"/>
        <v>SAPN</v>
      </c>
      <c r="D540" s="30" t="str">
        <f t="shared" si="258"/>
        <v>controlled load</v>
      </c>
      <c r="E540" s="570" t="s">
        <v>14</v>
      </c>
      <c r="F540" s="258">
        <f>F538</f>
        <v>748.72231686541716</v>
      </c>
      <c r="G540" s="30" t="s">
        <v>157</v>
      </c>
      <c r="H540" s="482"/>
      <c r="I540" s="482" cm="1">
        <f t="array" ref="I540">IFERROR(_xlfn.XLOOKUP(1,($B540=DistributionZone)*(I$5=Desc_FixedOrVar)*($G540=Description),valuesPY),0)</f>
        <v>5.712785518640878</v>
      </c>
      <c r="J540" s="482">
        <f t="shared" ref="J540:J541" si="279">H540+I540*F540/1000</f>
        <v>4.2772900092720016</v>
      </c>
      <c r="K540" s="484" t="str">
        <f>IFERROR(J540/J542,"")</f>
        <v/>
      </c>
      <c r="L540" s="484"/>
      <c r="M540" s="484">
        <f t="shared" ref="M540:M543" si="280">IF(OR(J540=0,Q540=""),"",Q540/J540-1)</f>
        <v>-0.78484131590226114</v>
      </c>
      <c r="N540" s="563"/>
      <c r="O540" s="482"/>
      <c r="P540" s="482" cm="1">
        <f t="array" ref="P540">IFERROR(_xlfn.XLOOKUP(1,($B540=DistributionZone)*(P$5=Desc_FixedOrVar)*($G540=Description),valuesFY),0)</f>
        <v>1.2291554147233901</v>
      </c>
      <c r="Q540" s="482">
        <f t="shared" si="275"/>
        <v>0.9202960898993694</v>
      </c>
      <c r="R540" s="484">
        <f t="shared" si="277"/>
        <v>2.2320108177411226E-2</v>
      </c>
      <c r="S540" s="484"/>
      <c r="T540" s="607"/>
      <c r="U540" s="484"/>
      <c r="V540" s="484"/>
      <c r="W540" s="484"/>
      <c r="X540" s="484"/>
      <c r="Y540" s="484"/>
      <c r="Z540" s="484"/>
      <c r="AA540" s="484"/>
      <c r="AB540" s="484"/>
      <c r="AC540" s="484"/>
      <c r="AD540" s="484"/>
      <c r="AE540" s="484"/>
      <c r="AF540" s="484"/>
      <c r="AG540" s="484"/>
      <c r="AH540" s="484"/>
      <c r="AI540" s="484"/>
      <c r="AJ540" s="484"/>
    </row>
    <row r="541" spans="2:36" x14ac:dyDescent="0.35">
      <c r="B541" s="30" t="str">
        <f t="shared" si="257"/>
        <v>SAPN</v>
      </c>
      <c r="D541" s="30" t="str">
        <f t="shared" si="258"/>
        <v>controlled load</v>
      </c>
      <c r="E541" s="570" t="s">
        <v>14</v>
      </c>
      <c r="F541" s="258">
        <f t="shared" ref="F541:F542" si="281">F540</f>
        <v>748.72231686541716</v>
      </c>
      <c r="G541" s="30" t="s">
        <v>72</v>
      </c>
      <c r="H541" s="482"/>
      <c r="I541" s="482" cm="1">
        <f t="array" ref="I541">IFERROR(_xlfn.XLOOKUP(1,($B541=DistributionZone)*($C541=CustomerType)*($E541=tariffType)*($G541=Description),valuesPY),0)*SUM(I533:I540)</f>
        <v>8.1154641034156523</v>
      </c>
      <c r="J541" s="482">
        <f t="shared" si="279"/>
        <v>6.0762290859474923</v>
      </c>
      <c r="K541" s="484" t="str">
        <f>IFERROR(J541/J542,"")</f>
        <v/>
      </c>
      <c r="L541" s="484"/>
      <c r="M541" s="484">
        <f t="shared" si="280"/>
        <v>-0.30261189473716343</v>
      </c>
      <c r="N541" s="563"/>
      <c r="O541" s="482"/>
      <c r="P541" s="482" cm="1">
        <f t="array" ref="P541">IFERROR(_xlfn.XLOOKUP(1,($B541=DistributionZone)*($C541=CustomerType)*($E541=tariffType)*($G541=Description),valuesFY),0)*SUM(P533:P540)</f>
        <v>5.6596281344096058</v>
      </c>
      <c r="Q541" s="482">
        <f t="shared" si="275"/>
        <v>4.2374898893918589</v>
      </c>
      <c r="R541" s="484">
        <f t="shared" si="277"/>
        <v>0.10277261173874452</v>
      </c>
      <c r="S541" s="484"/>
      <c r="T541" s="607"/>
      <c r="U541" s="484"/>
      <c r="V541" s="484"/>
      <c r="W541" s="484"/>
      <c r="X541" s="484"/>
      <c r="Y541" s="484"/>
      <c r="Z541" s="484"/>
      <c r="AA541" s="484"/>
      <c r="AB541" s="484"/>
      <c r="AC541" s="484"/>
      <c r="AD541" s="484"/>
      <c r="AE541" s="484"/>
      <c r="AF541" s="484"/>
      <c r="AG541" s="484"/>
      <c r="AH541" s="484"/>
      <c r="AI541" s="484"/>
      <c r="AJ541" s="484"/>
    </row>
    <row r="542" spans="2:36" x14ac:dyDescent="0.35">
      <c r="B542" s="30" t="str">
        <f t="shared" si="257"/>
        <v>SAPN</v>
      </c>
      <c r="D542" s="30" t="str">
        <f t="shared" si="258"/>
        <v>controlled load</v>
      </c>
      <c r="E542" s="570" t="s">
        <v>309</v>
      </c>
      <c r="F542" s="258">
        <f t="shared" si="281"/>
        <v>748.72231686541716</v>
      </c>
      <c r="G542" s="64" t="s">
        <v>55</v>
      </c>
      <c r="H542" s="487"/>
      <c r="I542" s="487">
        <f>IF($H$3=PY,0,SUM(I533:I541))</f>
        <v>0</v>
      </c>
      <c r="J542" s="487">
        <f>IF($H$3=PY,0,SUM(J533:J541))</f>
        <v>0</v>
      </c>
      <c r="K542" s="564"/>
      <c r="L542" s="565"/>
      <c r="M542" s="564" t="str">
        <f t="shared" si="280"/>
        <v/>
      </c>
      <c r="N542" s="566"/>
      <c r="O542" s="487"/>
      <c r="P542" s="487">
        <f>SUM(P533:P541)</f>
        <v>55.069420136921245</v>
      </c>
      <c r="Q542" s="487">
        <f>SUM(Q533:Q541)</f>
        <v>41.231703833350728</v>
      </c>
      <c r="R542" s="484"/>
      <c r="S542" s="484"/>
      <c r="T542" s="607"/>
      <c r="U542" s="484"/>
      <c r="V542" s="484"/>
      <c r="W542" s="484"/>
      <c r="X542" s="484"/>
      <c r="Y542" s="484"/>
      <c r="Z542" s="484"/>
      <c r="AA542" s="484"/>
      <c r="AB542" s="484"/>
      <c r="AC542" s="484"/>
      <c r="AD542" s="484"/>
      <c r="AE542" s="484"/>
      <c r="AF542" s="484"/>
      <c r="AG542" s="484"/>
      <c r="AH542" s="484"/>
      <c r="AI542" s="484"/>
      <c r="AJ542" s="484"/>
    </row>
    <row r="543" spans="2:36" ht="14.5" x14ac:dyDescent="0.35">
      <c r="B543" s="30" t="str">
        <f t="shared" si="257"/>
        <v>SAPN</v>
      </c>
      <c r="D543" s="30" t="str">
        <f t="shared" si="258"/>
        <v>controlled load</v>
      </c>
      <c r="E543" s="2" t="s">
        <v>371</v>
      </c>
      <c r="F543" s="258">
        <f>SUM(F533,F523,F513)</f>
        <v>1799.9999999999995</v>
      </c>
      <c r="G543" s="64" t="s">
        <v>55</v>
      </c>
      <c r="H543" s="487"/>
      <c r="I543" s="487">
        <f>SUM(I542,I532,I522)</f>
        <v>0</v>
      </c>
      <c r="J543" s="487">
        <f>SUM(J522,J532,J542)</f>
        <v>0</v>
      </c>
      <c r="K543" s="564"/>
      <c r="L543" s="565"/>
      <c r="M543" s="564" t="str">
        <f t="shared" si="280"/>
        <v/>
      </c>
      <c r="N543" s="566"/>
      <c r="O543" s="487">
        <f>SUM(O542,O532,O522)</f>
        <v>0</v>
      </c>
      <c r="P543" s="487"/>
      <c r="Q543" s="487">
        <f>SUM(Q522,Q532,Q542)</f>
        <v>176.06765281919675</v>
      </c>
      <c r="R543" s="484"/>
      <c r="S543" s="484"/>
      <c r="T543" s="607"/>
      <c r="U543" s="484"/>
      <c r="V543" s="484"/>
      <c r="W543" s="484"/>
      <c r="X543" s="484"/>
      <c r="Y543" s="484"/>
      <c r="Z543" s="484"/>
      <c r="AA543" s="484"/>
      <c r="AB543" s="484"/>
      <c r="AC543" s="484"/>
      <c r="AD543" s="484"/>
      <c r="AE543" s="484"/>
      <c r="AF543" s="484"/>
      <c r="AG543" s="484"/>
      <c r="AH543" s="484"/>
      <c r="AI543" s="484"/>
      <c r="AJ543" s="484"/>
    </row>
    <row r="544" spans="2:36" x14ac:dyDescent="0.35">
      <c r="B544" s="30" t="str">
        <f t="shared" si="257"/>
        <v>SAPN</v>
      </c>
      <c r="D544" s="30" t="str">
        <f t="shared" si="258"/>
        <v>controlled load</v>
      </c>
      <c r="F544" s="258"/>
      <c r="G544" s="30" t="s">
        <v>38</v>
      </c>
      <c r="H544" s="482"/>
      <c r="I544" s="482"/>
      <c r="J544" s="482">
        <f>J543*GST</f>
        <v>0</v>
      </c>
      <c r="K544" s="484"/>
      <c r="L544" s="567"/>
      <c r="M544" s="484"/>
      <c r="N544" s="568"/>
      <c r="O544" s="482"/>
      <c r="P544" s="482"/>
      <c r="Q544" s="482">
        <f>Q543*GST</f>
        <v>17.606765281919674</v>
      </c>
      <c r="R544" s="484"/>
      <c r="S544" s="484"/>
      <c r="T544" s="607"/>
      <c r="U544" s="484"/>
      <c r="V544" s="484"/>
      <c r="W544" s="484"/>
      <c r="X544" s="484"/>
      <c r="Y544" s="484"/>
      <c r="Z544" s="484"/>
      <c r="AA544" s="484"/>
      <c r="AB544" s="484"/>
      <c r="AC544" s="484"/>
      <c r="AD544" s="484"/>
      <c r="AE544" s="484"/>
      <c r="AF544" s="484"/>
      <c r="AG544" s="484"/>
      <c r="AH544" s="484"/>
      <c r="AI544" s="484"/>
      <c r="AJ544" s="484"/>
    </row>
    <row r="545" spans="2:36" x14ac:dyDescent="0.35">
      <c r="B545" s="30" t="str">
        <f t="shared" si="257"/>
        <v>SAPN</v>
      </c>
      <c r="D545" s="30" t="str">
        <f t="shared" si="258"/>
        <v>controlled load</v>
      </c>
      <c r="F545" s="258"/>
      <c r="G545" s="64" t="s">
        <v>79</v>
      </c>
      <c r="H545" s="487"/>
      <c r="I545" s="487"/>
      <c r="J545" s="487">
        <f>SUM(J543:J544)</f>
        <v>0</v>
      </c>
      <c r="K545" s="564"/>
      <c r="L545" s="565"/>
      <c r="M545" s="564" t="str">
        <f>IF(OR(J545=0,Q545=""),"",Q545/J545-1)</f>
        <v/>
      </c>
      <c r="N545" s="566"/>
      <c r="O545" s="487"/>
      <c r="P545" s="487"/>
      <c r="Q545" s="487">
        <f>SUM(Q543:Q544)</f>
        <v>193.67441810111643</v>
      </c>
      <c r="R545" s="484"/>
      <c r="S545" s="484"/>
      <c r="T545" s="607"/>
      <c r="U545" s="484"/>
      <c r="V545" s="484"/>
      <c r="W545" s="484"/>
      <c r="X545" s="484"/>
      <c r="Y545" s="484"/>
      <c r="Z545" s="484"/>
      <c r="AA545" s="484"/>
      <c r="AB545" s="484"/>
      <c r="AC545" s="484"/>
      <c r="AD545" s="484"/>
      <c r="AE545" s="484"/>
      <c r="AF545" s="484"/>
      <c r="AG545" s="484"/>
      <c r="AH545" s="484"/>
      <c r="AI545" s="484"/>
      <c r="AJ545" s="484"/>
    </row>
    <row r="546" spans="2:36" x14ac:dyDescent="0.35">
      <c r="F546" s="258"/>
      <c r="H546" s="482"/>
      <c r="I546" s="482"/>
      <c r="J546" s="482"/>
      <c r="K546" s="484"/>
      <c r="L546" s="567"/>
      <c r="M546" s="484"/>
      <c r="N546" s="568"/>
      <c r="O546" s="482"/>
      <c r="P546" s="482"/>
      <c r="Q546" s="482"/>
      <c r="R546" s="484"/>
      <c r="S546" s="484"/>
      <c r="T546" s="607"/>
      <c r="U546" s="484"/>
      <c r="V546" s="484"/>
      <c r="W546" s="484"/>
      <c r="X546" s="484"/>
      <c r="Y546" s="484"/>
      <c r="Z546" s="484"/>
      <c r="AA546" s="484"/>
      <c r="AB546" s="484"/>
      <c r="AC546" s="484"/>
      <c r="AD546" s="484"/>
      <c r="AE546" s="484"/>
      <c r="AF546" s="484"/>
      <c r="AG546" s="484"/>
      <c r="AH546" s="484"/>
      <c r="AI546" s="484"/>
      <c r="AJ546" s="484"/>
    </row>
    <row r="547" spans="2:36" x14ac:dyDescent="0.35">
      <c r="B547" s="64" t="s">
        <v>5</v>
      </c>
      <c r="C547" s="64" t="s">
        <v>13</v>
      </c>
      <c r="D547" s="64" t="s">
        <v>276</v>
      </c>
      <c r="F547" s="258"/>
      <c r="H547" s="482"/>
      <c r="I547" s="482"/>
      <c r="J547" s="482"/>
      <c r="K547" s="484"/>
      <c r="L547" s="567"/>
      <c r="M547" s="484"/>
      <c r="N547" s="568"/>
      <c r="O547" s="482"/>
      <c r="P547" s="482"/>
      <c r="Q547" s="482"/>
      <c r="R547" s="484"/>
      <c r="S547" s="484"/>
      <c r="T547" s="607"/>
      <c r="U547" s="484"/>
      <c r="V547" s="484"/>
      <c r="W547" s="484"/>
      <c r="X547" s="484"/>
      <c r="Y547" s="484"/>
      <c r="Z547" s="484"/>
      <c r="AA547" s="484"/>
      <c r="AB547" s="484"/>
      <c r="AC547" s="484"/>
      <c r="AD547" s="484"/>
      <c r="AE547" s="484"/>
      <c r="AF547" s="484"/>
      <c r="AG547" s="484"/>
      <c r="AH547" s="484"/>
      <c r="AI547" s="484"/>
      <c r="AJ547" s="484"/>
    </row>
    <row r="548" spans="2:36" x14ac:dyDescent="0.35">
      <c r="B548" s="30" t="str">
        <f t="shared" ref="B548:B559" si="282">B547</f>
        <v>SAPN</v>
      </c>
      <c r="C548" s="30" t="str">
        <f t="shared" ref="C548:C559" si="283">C547</f>
        <v>Small business</v>
      </c>
      <c r="D548" s="30" t="str">
        <f t="shared" ref="D548:D559" si="284">D547</f>
        <v>flat rate</v>
      </c>
      <c r="E548" s="30" t="s">
        <v>19</v>
      </c>
      <c r="F548" s="258" cm="1">
        <f t="array" ref="F548">_xlfn.XLOOKUP(1,($B548=DistributionZone)*($C548=CustomerType)*($D548=tariffL2)*($F$5=Description)*(E548=tariffType),valuesFY)</f>
        <v>10000</v>
      </c>
      <c r="G548" s="30" t="s">
        <v>69</v>
      </c>
      <c r="H548" s="482"/>
      <c r="I548" s="482" cm="1">
        <f t="array" ref="I548">IFERROR(_xlfn.XLOOKUP(1,($B548=DistributionZone)*($C548=CustomerType)*($E548=tariffType)*($G548=Description),valuesPY),0)</f>
        <v>168.155</v>
      </c>
      <c r="J548" s="482">
        <f t="shared" ref="J548:J556" si="285">H548+I548*F548/1000</f>
        <v>1681.55</v>
      </c>
      <c r="K548" s="484">
        <f>IFERROR(J548/J557,"")</f>
        <v>0.87078951374660962</v>
      </c>
      <c r="L548" s="484"/>
      <c r="M548" s="484">
        <f t="shared" ref="M548:M557" si="286">IF(OR(J548=0,Q548=""),"",Q548/J548-1)</f>
        <v>-8.8460051737979883E-2</v>
      </c>
      <c r="N548" s="563"/>
      <c r="O548" s="482"/>
      <c r="P548" s="482" cm="1">
        <f t="array" ref="P548">IFERROR(_xlfn.XLOOKUP(1,($B548=DistributionZone)*($C548=CustomerType)*($E548=tariffType)*($G548=Description),valuesFY),0)</f>
        <v>153.28</v>
      </c>
      <c r="Q548" s="482">
        <f>IF(AND(O548="",P548=""),"",O548+P548*$F548/1000)</f>
        <v>1532.8</v>
      </c>
      <c r="R548" s="484">
        <f t="shared" ref="R548:R556" si="287">IFERROR(Q548/$Q$557,"")</f>
        <v>0.80853408348745537</v>
      </c>
      <c r="S548" s="483"/>
      <c r="T548" s="608"/>
      <c r="U548" s="484"/>
      <c r="V548" s="484"/>
      <c r="W548" s="484"/>
      <c r="X548" s="484"/>
      <c r="Y548" s="484"/>
      <c r="Z548" s="484"/>
      <c r="AA548" s="484"/>
      <c r="AB548" s="484"/>
      <c r="AC548" s="484"/>
      <c r="AD548" s="484"/>
      <c r="AE548" s="484"/>
      <c r="AF548" s="484"/>
      <c r="AG548" s="484"/>
      <c r="AH548" s="484"/>
      <c r="AI548" s="484"/>
      <c r="AJ548" s="484"/>
    </row>
    <row r="549" spans="2:36" x14ac:dyDescent="0.35">
      <c r="B549" s="30" t="str">
        <f t="shared" si="282"/>
        <v>SAPN</v>
      </c>
      <c r="C549" s="30" t="str">
        <f t="shared" si="283"/>
        <v>Small business</v>
      </c>
      <c r="D549" s="30" t="str">
        <f t="shared" si="284"/>
        <v>flat rate</v>
      </c>
      <c r="E549" s="30" t="s">
        <v>19</v>
      </c>
      <c r="F549" s="258">
        <f>F548</f>
        <v>10000</v>
      </c>
      <c r="G549" s="30" t="s">
        <v>70</v>
      </c>
      <c r="H549" s="482"/>
      <c r="I549" s="482" cm="1">
        <f t="array" ref="I549">IFERROR(_xlfn.XLOOKUP(1,($B549=DistributionZone)*(I$5=Desc_FixedOrVar)*($G549=Description),valuesPY),0)</f>
        <v>0.58531011875289041</v>
      </c>
      <c r="J549" s="482">
        <f t="shared" si="285"/>
        <v>5.8531011875289041</v>
      </c>
      <c r="K549" s="484">
        <f>IFERROR(J549/J557,"")</f>
        <v>3.0310244340031505E-3</v>
      </c>
      <c r="L549" s="484"/>
      <c r="M549" s="484">
        <f t="shared" si="286"/>
        <v>13.214982373945881</v>
      </c>
      <c r="N549" s="563"/>
      <c r="O549" s="482"/>
      <c r="P549" s="482" cm="1">
        <f t="array" ref="P549">IFERROR(_xlfn.XLOOKUP(1,($B549=DistributionZone)*(P$5=Desc_FixedOrVar)*($G549=Description),valuesFY),0)</f>
        <v>8.3201730213645071</v>
      </c>
      <c r="Q549" s="482">
        <f>IF(AND(O549="",P549=""),"",O549+P549*$F549/1000)</f>
        <v>83.201730213645078</v>
      </c>
      <c r="R549" s="484">
        <f t="shared" si="287"/>
        <v>4.3887940163661307E-2</v>
      </c>
      <c r="S549" s="483"/>
      <c r="T549" s="607"/>
      <c r="U549" s="484"/>
      <c r="V549" s="484"/>
      <c r="W549" s="484"/>
      <c r="X549" s="484"/>
      <c r="Y549" s="484"/>
      <c r="Z549" s="484"/>
      <c r="AA549" s="484"/>
      <c r="AB549" s="484"/>
      <c r="AC549" s="484"/>
      <c r="AD549" s="484"/>
      <c r="AE549" s="484"/>
      <c r="AF549" s="484"/>
      <c r="AG549" s="484"/>
      <c r="AH549" s="484"/>
      <c r="AI549" s="484"/>
      <c r="AJ549" s="484"/>
    </row>
    <row r="550" spans="2:36" x14ac:dyDescent="0.35">
      <c r="B550" s="30" t="str">
        <f t="shared" si="282"/>
        <v>SAPN</v>
      </c>
      <c r="C550" s="30" t="str">
        <f t="shared" si="283"/>
        <v>Small business</v>
      </c>
      <c r="D550" s="30" t="str">
        <f t="shared" si="284"/>
        <v>flat rate</v>
      </c>
      <c r="E550" s="30" t="s">
        <v>19</v>
      </c>
      <c r="F550" s="258">
        <f t="shared" ref="F550:F557" si="288">F549</f>
        <v>10000</v>
      </c>
      <c r="G550" s="30" t="s">
        <v>77</v>
      </c>
      <c r="H550" s="482" cm="1">
        <f t="array" ref="H550">IFERROR(_xlfn.XLOOKUP(1,($B550=DistributionZone)*(H$5=Desc_FixedOrVar)*($G550=Description),valuesPY),0)*Days/7</f>
        <v>13.835244134497829</v>
      </c>
      <c r="I550" s="482" cm="1">
        <f t="array" ref="I550">IFERROR(_xlfn.XLOOKUP(1,($B550=DistributionZone)*(I$5=Desc_FixedOrVar)*($G550=Description),valuesPY),0)</f>
        <v>0.57443</v>
      </c>
      <c r="J550" s="482">
        <f t="shared" si="285"/>
        <v>19.57954413449783</v>
      </c>
      <c r="K550" s="484">
        <f>IFERROR(J550/J557,"")</f>
        <v>1.0139253496036185E-2</v>
      </c>
      <c r="L550" s="484"/>
      <c r="M550" s="484">
        <f t="shared" si="286"/>
        <v>-6.4360238718609519E-2</v>
      </c>
      <c r="N550" s="563"/>
      <c r="O550" s="482" cm="1">
        <f t="array" ref="O550">IFERROR(_xlfn.XLOOKUP(1,($B550=DistributionZone)*(O$5=Desc_FixedOrVar)*($G550=Description),valuesFY),0)*Days/7</f>
        <v>13.125399999999999</v>
      </c>
      <c r="P550" s="482" cm="1">
        <f t="array" ref="P550">IFERROR(_xlfn.XLOOKUP(1,($B550=DistributionZone)*(P$5=Desc_FixedOrVar)*($G550=Description),valuesFY),0)</f>
        <v>0.51939999999999997</v>
      </c>
      <c r="Q550" s="482">
        <f t="shared" ref="Q550:Q557" si="289">IF(AND(O550="",P550=""),"",O550+P550*$F550/1000)</f>
        <v>18.319399999999998</v>
      </c>
      <c r="R550" s="484">
        <f t="shared" si="287"/>
        <v>9.6632693691545458E-3</v>
      </c>
      <c r="S550" s="483"/>
      <c r="T550" s="607"/>
      <c r="U550" s="484"/>
      <c r="V550" s="484"/>
      <c r="W550" s="484"/>
      <c r="X550" s="484"/>
      <c r="Y550" s="484"/>
      <c r="Z550" s="484"/>
      <c r="AA550" s="484"/>
      <c r="AB550" s="484"/>
      <c r="AC550" s="484"/>
      <c r="AD550" s="484"/>
      <c r="AE550" s="484"/>
      <c r="AF550" s="484"/>
      <c r="AG550" s="484"/>
      <c r="AH550" s="484"/>
      <c r="AI550" s="484"/>
      <c r="AJ550" s="484"/>
    </row>
    <row r="551" spans="2:36" x14ac:dyDescent="0.35">
      <c r="B551" s="30" t="str">
        <f t="shared" si="282"/>
        <v>SAPN</v>
      </c>
      <c r="C551" s="30" t="str">
        <f t="shared" si="283"/>
        <v>Small business</v>
      </c>
      <c r="D551" s="30" t="str">
        <f t="shared" si="284"/>
        <v>flat rate</v>
      </c>
      <c r="E551" s="30" t="s">
        <v>19</v>
      </c>
      <c r="F551" s="258">
        <f t="shared" si="288"/>
        <v>10000</v>
      </c>
      <c r="G551" s="30" t="s">
        <v>71</v>
      </c>
      <c r="H551" s="482"/>
      <c r="I551" s="482" cm="1">
        <f t="array" ref="I551">IFERROR(_xlfn.XLOOKUP(1,($B551=DistributionZone)*(I$5=Desc_FixedOrVar)*($G551=Description),valuesPY),0)</f>
        <v>6.7563101629320773E-3</v>
      </c>
      <c r="J551" s="482">
        <f t="shared" si="285"/>
        <v>6.7563101629320763E-2</v>
      </c>
      <c r="K551" s="484">
        <f>IFERROR(J551/J557,"")</f>
        <v>3.4987505822014803E-5</v>
      </c>
      <c r="L551" s="484"/>
      <c r="M551" s="484">
        <f t="shared" si="286"/>
        <v>151.47675540987956</v>
      </c>
      <c r="N551" s="563"/>
      <c r="O551" s="482"/>
      <c r="P551" s="482" cm="1">
        <f t="array" ref="P551">IFERROR(_xlfn.XLOOKUP(1,($B551=DistributionZone)*(P$5=Desc_FixedOrVar)*($G551=Description),valuesFY),0)</f>
        <v>1.0301802521866776</v>
      </c>
      <c r="Q551" s="482">
        <f t="shared" si="289"/>
        <v>10.301802521866778</v>
      </c>
      <c r="R551" s="484">
        <f t="shared" si="287"/>
        <v>5.4340804151137212E-3</v>
      </c>
      <c r="S551" s="483"/>
      <c r="T551" s="607"/>
      <c r="U551" s="484"/>
      <c r="V551" s="484"/>
      <c r="W551" s="484"/>
      <c r="X551" s="484"/>
      <c r="Y551" s="484"/>
      <c r="Z551" s="484"/>
      <c r="AA551" s="484"/>
      <c r="AB551" s="484"/>
      <c r="AC551" s="484"/>
      <c r="AD551" s="484"/>
      <c r="AE551" s="484"/>
      <c r="AF551" s="484"/>
      <c r="AG551" s="484"/>
      <c r="AH551" s="484"/>
      <c r="AI551" s="484"/>
      <c r="AJ551" s="484"/>
    </row>
    <row r="552" spans="2:36" x14ac:dyDescent="0.35">
      <c r="B552" s="30" t="str">
        <f t="shared" si="282"/>
        <v>SAPN</v>
      </c>
      <c r="C552" s="30" t="str">
        <f t="shared" si="283"/>
        <v>Small business</v>
      </c>
      <c r="D552" s="30" t="str">
        <f t="shared" si="284"/>
        <v>flat rate</v>
      </c>
      <c r="E552" s="30" t="s">
        <v>19</v>
      </c>
      <c r="F552" s="258">
        <f t="shared" si="288"/>
        <v>10000</v>
      </c>
      <c r="G552" s="30" t="s">
        <v>173</v>
      </c>
      <c r="H552" s="482"/>
      <c r="I552" s="482" cm="1">
        <f t="array" ref="I552">IFERROR(_xlfn.XLOOKUP(1,($B552=DistributionZone)*(I$5=Desc_FixedOrVar)*($G552=Description),valuesPY),0)</f>
        <v>5.0625427163511004E-2</v>
      </c>
      <c r="J552" s="482">
        <f t="shared" si="285"/>
        <v>0.50625427163511005</v>
      </c>
      <c r="K552" s="484">
        <f>IFERROR(J552/J558,"")</f>
        <v>2.6216342721256075E-3</v>
      </c>
      <c r="L552" s="484"/>
      <c r="M552" s="484">
        <f t="shared" si="286"/>
        <v>-1</v>
      </c>
      <c r="N552" s="563"/>
      <c r="O552" s="482"/>
      <c r="P552" s="482" cm="1">
        <f t="array" ref="P552">IFERROR(_xlfn.XLOOKUP(1,($B552=DistributionZone)*(P$5=Desc_FixedOrVar)*($G552=Description),valuesFY),0)</f>
        <v>0</v>
      </c>
      <c r="Q552" s="482">
        <f t="shared" si="289"/>
        <v>0</v>
      </c>
      <c r="R552" s="484">
        <f t="shared" si="287"/>
        <v>0</v>
      </c>
      <c r="S552" s="483"/>
      <c r="T552" s="607"/>
      <c r="U552" s="484"/>
      <c r="V552" s="484"/>
      <c r="W552" s="484"/>
      <c r="X552" s="484"/>
      <c r="Y552" s="484"/>
      <c r="Z552" s="484"/>
      <c r="AA552" s="484"/>
      <c r="AB552" s="484"/>
      <c r="AC552" s="484"/>
      <c r="AD552" s="484"/>
      <c r="AE552" s="484"/>
      <c r="AF552" s="484"/>
      <c r="AG552" s="484"/>
      <c r="AH552" s="484"/>
      <c r="AI552" s="484"/>
      <c r="AJ552" s="484"/>
    </row>
    <row r="553" spans="2:36" x14ac:dyDescent="0.35">
      <c r="B553" s="30" t="str">
        <f t="shared" si="282"/>
        <v>SAPN</v>
      </c>
      <c r="C553" s="30" t="str">
        <f t="shared" si="283"/>
        <v>Small business</v>
      </c>
      <c r="D553" s="30" t="str">
        <f t="shared" si="284"/>
        <v>flat rate</v>
      </c>
      <c r="E553" s="30" t="s">
        <v>19</v>
      </c>
      <c r="F553" s="258">
        <f t="shared" si="288"/>
        <v>10000</v>
      </c>
      <c r="G553" s="30" t="s">
        <v>130</v>
      </c>
      <c r="H553" s="482"/>
      <c r="I553" s="482" cm="1">
        <f t="array" ref="I553">IFERROR(_xlfn.XLOOKUP(1,($B553=DistributionZone)*(I$5=Desc_FixedOrVar)*($G553=Description),valuesPY),0)</f>
        <v>3.6927728105909479</v>
      </c>
      <c r="J553" s="482">
        <f t="shared" si="285"/>
        <v>36.92772810590948</v>
      </c>
      <c r="K553" s="484">
        <f>IFERROR(J553/J557,"")</f>
        <v>1.9122998662610049E-2</v>
      </c>
      <c r="L553" s="484"/>
      <c r="M553" s="484">
        <f t="shared" si="286"/>
        <v>-4.5781075827627804E-2</v>
      </c>
      <c r="N553" s="563"/>
      <c r="O553" s="482"/>
      <c r="P553" s="482" cm="1">
        <f t="array" ref="P553">IFERROR(_xlfn.XLOOKUP(1,($B553=DistributionZone)*(P$5=Desc_FixedOrVar)*($G553=Description),valuesFY),0)</f>
        <v>3.5237136985350812</v>
      </c>
      <c r="Q553" s="482">
        <f t="shared" si="289"/>
        <v>35.237136985350816</v>
      </c>
      <c r="R553" s="484">
        <f t="shared" si="287"/>
        <v>1.8587177881767052E-2</v>
      </c>
      <c r="S553" s="483"/>
      <c r="T553" s="607"/>
      <c r="U553" s="484"/>
      <c r="V553" s="484"/>
      <c r="W553" s="484"/>
      <c r="X553" s="484"/>
      <c r="Y553" s="484"/>
      <c r="Z553" s="484"/>
      <c r="AA553" s="484"/>
      <c r="AB553" s="484"/>
      <c r="AC553" s="484"/>
      <c r="AD553" s="484"/>
      <c r="AE553" s="484"/>
      <c r="AF553" s="484"/>
      <c r="AG553" s="484"/>
      <c r="AH553" s="484"/>
      <c r="AI553" s="484"/>
      <c r="AJ553" s="484"/>
    </row>
    <row r="554" spans="2:36" x14ac:dyDescent="0.35">
      <c r="B554" s="30" t="str">
        <f t="shared" si="282"/>
        <v>SAPN</v>
      </c>
      <c r="C554" s="30" t="str">
        <f t="shared" si="283"/>
        <v>Small business</v>
      </c>
      <c r="D554" s="30" t="str">
        <f t="shared" si="284"/>
        <v>flat rate</v>
      </c>
      <c r="E554" s="30" t="s">
        <v>19</v>
      </c>
      <c r="F554" s="258">
        <f t="shared" si="288"/>
        <v>10000</v>
      </c>
      <c r="G554" s="30" t="s">
        <v>302</v>
      </c>
      <c r="H554" s="482"/>
      <c r="I554" s="482"/>
      <c r="J554" s="482"/>
      <c r="K554" s="484"/>
      <c r="L554" s="484"/>
      <c r="M554" s="484"/>
      <c r="N554" s="563"/>
      <c r="O554" s="482"/>
      <c r="P554" s="489" cm="1">
        <f t="array" ref="P554">IFERROR(_xlfn.XLOOKUP(1,($B554=DistributionZone)*(P$5=Desc_FixedOrVar)*($G554=Description)*($E554=tariffType),valuesFY),0)</f>
        <v>1.0139999999999987</v>
      </c>
      <c r="Q554" s="482">
        <f t="shared" ref="Q554" si="290">IF(AND(O554="",P554=""),"",O554+P554*$F554/1000)</f>
        <v>10.139999999999988</v>
      </c>
      <c r="R554" s="484">
        <f t="shared" si="287"/>
        <v>5.3487314760978519E-3</v>
      </c>
      <c r="S554" s="483"/>
      <c r="T554" s="607"/>
      <c r="U554" s="484"/>
      <c r="V554" s="484"/>
      <c r="W554" s="484"/>
      <c r="X554" s="484"/>
      <c r="Y554" s="484"/>
      <c r="Z554" s="484"/>
      <c r="AA554" s="484"/>
      <c r="AB554" s="484"/>
      <c r="AC554" s="484"/>
      <c r="AD554" s="484"/>
      <c r="AE554" s="484"/>
      <c r="AF554" s="484"/>
      <c r="AG554" s="484"/>
      <c r="AH554" s="484"/>
      <c r="AI554" s="484"/>
      <c r="AJ554" s="484"/>
    </row>
    <row r="555" spans="2:36" x14ac:dyDescent="0.35">
      <c r="B555" s="30" t="str">
        <f>B553</f>
        <v>SAPN</v>
      </c>
      <c r="C555" s="30" t="str">
        <f>C553</f>
        <v>Small business</v>
      </c>
      <c r="D555" s="30" t="str">
        <f>D553</f>
        <v>flat rate</v>
      </c>
      <c r="E555" s="30" t="s">
        <v>19</v>
      </c>
      <c r="F555" s="258">
        <f>F553</f>
        <v>10000</v>
      </c>
      <c r="G555" s="30" t="s">
        <v>157</v>
      </c>
      <c r="H555" s="482"/>
      <c r="I555" s="482" cm="1">
        <f t="array" ref="I555">IFERROR(_xlfn.XLOOKUP(1,($B555=DistributionZone)*(I$5=Desc_FixedOrVar)*($G555=Description),valuesPY),0)</f>
        <v>5.712785518640878</v>
      </c>
      <c r="J555" s="482">
        <f t="shared" si="285"/>
        <v>57.12785518640878</v>
      </c>
      <c r="K555" s="484">
        <f>IFERROR(J555/J557,"")</f>
        <v>2.9583620611435657E-2</v>
      </c>
      <c r="L555" s="484"/>
      <c r="M555" s="484">
        <f t="shared" si="286"/>
        <v>-0.78484131590226114</v>
      </c>
      <c r="N555" s="563"/>
      <c r="O555" s="482"/>
      <c r="P555" s="482" cm="1">
        <f t="array" ref="P555">IFERROR(_xlfn.XLOOKUP(1,($B555=DistributionZone)*(P$5=Desc_FixedOrVar)*($G555=Description),valuesFY),0)</f>
        <v>1.2291554147233901</v>
      </c>
      <c r="Q555" s="482">
        <f t="shared" si="289"/>
        <v>12.291554147233901</v>
      </c>
      <c r="R555" s="484">
        <f t="shared" si="287"/>
        <v>6.4836511397900528E-3</v>
      </c>
      <c r="S555" s="483"/>
      <c r="T555" s="607"/>
      <c r="U555" s="484"/>
      <c r="V555" s="484"/>
      <c r="W555" s="484"/>
      <c r="X555" s="484"/>
      <c r="Y555" s="484"/>
      <c r="Z555" s="484"/>
      <c r="AA555" s="484"/>
      <c r="AB555" s="484"/>
      <c r="AC555" s="484"/>
      <c r="AD555" s="484"/>
      <c r="AE555" s="484"/>
      <c r="AF555" s="484"/>
      <c r="AG555" s="484"/>
      <c r="AH555" s="484"/>
      <c r="AI555" s="484"/>
      <c r="AJ555" s="484"/>
    </row>
    <row r="556" spans="2:36" x14ac:dyDescent="0.35">
      <c r="B556" s="30" t="str">
        <f t="shared" si="282"/>
        <v>SAPN</v>
      </c>
      <c r="C556" s="30" t="str">
        <f t="shared" si="283"/>
        <v>Small business</v>
      </c>
      <c r="D556" s="30" t="str">
        <f t="shared" si="284"/>
        <v>flat rate</v>
      </c>
      <c r="E556" s="30" t="s">
        <v>19</v>
      </c>
      <c r="F556" s="258">
        <f t="shared" si="288"/>
        <v>10000</v>
      </c>
      <c r="G556" s="30" t="s">
        <v>72</v>
      </c>
      <c r="H556" s="482"/>
      <c r="I556" s="482" cm="1">
        <f t="array" ref="I556">IFERROR(_xlfn.XLOOKUP(1,($B556=DistributionZone)*($C556=CustomerType)*($E556=tariffType)*($G556=Description),valuesPY),0)*SUM(I548:I555)</f>
        <v>12.94516306580341</v>
      </c>
      <c r="J556" s="482">
        <f t="shared" si="285"/>
        <v>129.45163065803411</v>
      </c>
      <c r="K556" s="484">
        <f>IFERROR(J556/J557,"")</f>
        <v>6.703643811627083E-2</v>
      </c>
      <c r="L556" s="484"/>
      <c r="M556" s="484">
        <f t="shared" si="286"/>
        <v>0.49465078477739088</v>
      </c>
      <c r="N556" s="563"/>
      <c r="O556" s="482"/>
      <c r="P556" s="482" cm="1">
        <f t="array" ref="P556">IFERROR(_xlfn.XLOOKUP(1,($B556=DistributionZone)*($C556=CustomerType)*($E556=tariffType)*($G556=Description),valuesFY),0)*SUM(P548:P555)</f>
        <v>19.34849813537436</v>
      </c>
      <c r="Q556" s="482">
        <f>IF(AND(O556="",P556=""),"",O556+P556*$F556/1000)</f>
        <v>193.48498135374362</v>
      </c>
      <c r="R556" s="484">
        <f t="shared" si="287"/>
        <v>0.10206106606696014</v>
      </c>
      <c r="S556" s="483"/>
      <c r="T556" s="607"/>
      <c r="U556" s="484"/>
      <c r="V556" s="484"/>
      <c r="W556" s="484"/>
      <c r="X556" s="484"/>
      <c r="Y556" s="484"/>
      <c r="Z556" s="484"/>
      <c r="AA556" s="484"/>
      <c r="AB556" s="484"/>
      <c r="AC556" s="484"/>
      <c r="AD556" s="484"/>
      <c r="AE556" s="484"/>
      <c r="AF556" s="484"/>
      <c r="AG556" s="484"/>
      <c r="AH556" s="484"/>
      <c r="AI556" s="484"/>
      <c r="AJ556" s="484"/>
    </row>
    <row r="557" spans="2:36" x14ac:dyDescent="0.35">
      <c r="B557" s="30" t="str">
        <f t="shared" si="282"/>
        <v>SAPN</v>
      </c>
      <c r="C557" s="30" t="str">
        <f t="shared" si="283"/>
        <v>Small business</v>
      </c>
      <c r="D557" s="30" t="str">
        <f t="shared" si="284"/>
        <v>flat rate</v>
      </c>
      <c r="E557" s="30" t="s">
        <v>19</v>
      </c>
      <c r="F557" s="258">
        <f t="shared" si="288"/>
        <v>10000</v>
      </c>
      <c r="G557" s="64" t="s">
        <v>55</v>
      </c>
      <c r="H557" s="487">
        <f>SUM(H548:H556)</f>
        <v>13.835244134497829</v>
      </c>
      <c r="I557" s="487">
        <f>SUM(I548:I556)</f>
        <v>191.72284325111457</v>
      </c>
      <c r="J557" s="487">
        <f>IF(AND(H557="",I557=""),"",H557+I557*+Usage!M$42/1000)</f>
        <v>1931.0636766456435</v>
      </c>
      <c r="K557" s="564"/>
      <c r="L557" s="565"/>
      <c r="M557" s="564">
        <f t="shared" si="286"/>
        <v>-1.8273385725476876E-2</v>
      </c>
      <c r="N557" s="566"/>
      <c r="O557" s="487">
        <f>SUM(O550:O556)</f>
        <v>13.125399999999999</v>
      </c>
      <c r="P557" s="487">
        <f>SUM(P548:P556)</f>
        <v>188.26512052218402</v>
      </c>
      <c r="Q557" s="487">
        <f t="shared" si="289"/>
        <v>1895.7766052218401</v>
      </c>
      <c r="R557" s="484"/>
      <c r="S557" s="483"/>
      <c r="T557" s="607"/>
      <c r="U557" s="484"/>
      <c r="V557" s="484"/>
      <c r="W557" s="484"/>
      <c r="X557" s="484"/>
      <c r="Y557" s="484"/>
      <c r="Z557" s="484"/>
      <c r="AA557" s="484"/>
      <c r="AB557" s="484"/>
      <c r="AC557" s="484"/>
      <c r="AD557" s="484"/>
      <c r="AE557" s="484"/>
      <c r="AF557" s="484"/>
      <c r="AG557" s="484"/>
      <c r="AH557" s="484"/>
      <c r="AI557" s="484"/>
      <c r="AJ557" s="484"/>
    </row>
    <row r="558" spans="2:36" x14ac:dyDescent="0.35">
      <c r="B558" s="30" t="str">
        <f t="shared" si="282"/>
        <v>SAPN</v>
      </c>
      <c r="C558" s="30" t="str">
        <f t="shared" si="283"/>
        <v>Small business</v>
      </c>
      <c r="D558" s="30" t="str">
        <f t="shared" si="284"/>
        <v>flat rate</v>
      </c>
      <c r="F558" s="568"/>
      <c r="G558" s="30" t="s">
        <v>38</v>
      </c>
      <c r="H558" s="482"/>
      <c r="I558" s="482"/>
      <c r="J558" s="482">
        <f>J557*GST</f>
        <v>193.10636766456435</v>
      </c>
      <c r="K558" s="484"/>
      <c r="L558" s="567"/>
      <c r="M558" s="484"/>
      <c r="N558" s="568"/>
      <c r="O558" s="482"/>
      <c r="P558" s="482"/>
      <c r="Q558" s="482">
        <f>Q557*GST</f>
        <v>189.57766052218403</v>
      </c>
      <c r="R558" s="484"/>
      <c r="S558" s="484"/>
      <c r="T558" s="607"/>
      <c r="U558" s="484"/>
      <c r="V558" s="484"/>
      <c r="W558" s="484"/>
      <c r="X558" s="484"/>
      <c r="Y558" s="484"/>
      <c r="Z558" s="484"/>
      <c r="AA558" s="484"/>
      <c r="AB558" s="484"/>
      <c r="AC558" s="484"/>
      <c r="AD558" s="484"/>
      <c r="AE558" s="484"/>
      <c r="AF558" s="484"/>
      <c r="AG558" s="484"/>
      <c r="AH558" s="484"/>
      <c r="AI558" s="484"/>
      <c r="AJ558" s="484"/>
    </row>
    <row r="559" spans="2:36" x14ac:dyDescent="0.35">
      <c r="B559" s="30" t="str">
        <f t="shared" si="282"/>
        <v>SAPN</v>
      </c>
      <c r="C559" s="30" t="str">
        <f t="shared" si="283"/>
        <v>Small business</v>
      </c>
      <c r="D559" s="30" t="str">
        <f t="shared" si="284"/>
        <v>flat rate</v>
      </c>
      <c r="E559" s="30" t="s">
        <v>19</v>
      </c>
      <c r="F559" s="568"/>
      <c r="G559" s="64" t="s">
        <v>79</v>
      </c>
      <c r="H559" s="487"/>
      <c r="I559" s="487"/>
      <c r="J559" s="487">
        <f>SUM(J557:J558)</f>
        <v>2124.1700443102077</v>
      </c>
      <c r="K559" s="564"/>
      <c r="L559" s="565"/>
      <c r="M559" s="564">
        <f>IF(OR(J559=0,Q559=""),"",Q559/J559-1)</f>
        <v>-1.8273385725476876E-2</v>
      </c>
      <c r="N559" s="566"/>
      <c r="O559" s="487"/>
      <c r="P559" s="487"/>
      <c r="Q559" s="487">
        <f>SUM(Q557:Q558)</f>
        <v>2085.3542657440239</v>
      </c>
      <c r="R559" s="484"/>
      <c r="S559" s="484"/>
      <c r="T559" s="607"/>
      <c r="U559" s="596"/>
      <c r="V559" s="484"/>
      <c r="W559" s="484"/>
      <c r="X559" s="484"/>
      <c r="Y559" s="484"/>
      <c r="Z559" s="484"/>
      <c r="AA559" s="484"/>
      <c r="AB559" s="484"/>
      <c r="AC559" s="484"/>
      <c r="AD559" s="484"/>
      <c r="AE559" s="484"/>
      <c r="AF559" s="484"/>
      <c r="AG559" s="484"/>
      <c r="AH559" s="484"/>
      <c r="AI559" s="484"/>
      <c r="AJ559" s="484"/>
    </row>
    <row r="560" spans="2:36" x14ac:dyDescent="0.35">
      <c r="F560" s="30"/>
      <c r="H560" s="30"/>
      <c r="I560" s="30"/>
      <c r="J560" s="30"/>
      <c r="K560" s="30"/>
      <c r="L560" s="30"/>
      <c r="M560" s="30"/>
      <c r="N560" s="30"/>
      <c r="O560" s="30"/>
      <c r="P560" s="30"/>
      <c r="Q560" s="30"/>
      <c r="R560" s="30"/>
      <c r="S560" s="30"/>
      <c r="U560" s="30"/>
      <c r="V560" s="30"/>
      <c r="W560" s="30"/>
      <c r="X560" s="30"/>
      <c r="Y560" s="30"/>
      <c r="Z560" s="30"/>
      <c r="AA560" s="30"/>
      <c r="AB560" s="30"/>
      <c r="AC560" s="30"/>
      <c r="AD560" s="30"/>
      <c r="AE560" s="30"/>
      <c r="AF560" s="30"/>
      <c r="AG560" s="30"/>
      <c r="AH560" s="30"/>
      <c r="AI560" s="30"/>
      <c r="AJ560" s="30"/>
    </row>
    <row r="561" spans="2:36" s="570" customFormat="1" x14ac:dyDescent="0.35">
      <c r="B561" s="571" t="s">
        <v>5</v>
      </c>
      <c r="C561" s="571" t="s">
        <v>13</v>
      </c>
      <c r="D561" s="571" t="s">
        <v>272</v>
      </c>
      <c r="F561" s="485"/>
      <c r="H561" s="574"/>
      <c r="I561" s="574"/>
      <c r="J561" s="574"/>
      <c r="K561" s="575"/>
      <c r="L561" s="581"/>
      <c r="M561" s="575"/>
      <c r="N561" s="582"/>
      <c r="O561" s="574"/>
      <c r="P561" s="574"/>
      <c r="Q561" s="574"/>
      <c r="R561" s="575"/>
      <c r="S561" s="575"/>
      <c r="T561" s="612"/>
      <c r="U561" s="575"/>
      <c r="V561" s="575"/>
      <c r="W561" s="575"/>
      <c r="X561" s="575"/>
      <c r="Y561" s="575"/>
      <c r="Z561" s="575"/>
      <c r="AA561" s="575"/>
      <c r="AB561" s="575"/>
      <c r="AC561" s="575"/>
      <c r="AD561" s="575"/>
      <c r="AE561" s="575"/>
      <c r="AF561" s="575"/>
      <c r="AG561" s="575"/>
      <c r="AH561" s="575"/>
      <c r="AI561" s="575"/>
      <c r="AJ561" s="575"/>
    </row>
    <row r="562" spans="2:36" s="570" customFormat="1" x14ac:dyDescent="0.35">
      <c r="B562" s="570" t="str">
        <f t="shared" ref="B562:B594" si="291">B561</f>
        <v>SAPN</v>
      </c>
      <c r="C562" s="570" t="str">
        <f t="shared" ref="C562:C594" si="292">C561</f>
        <v>Small business</v>
      </c>
      <c r="D562" s="570" t="str">
        <f t="shared" ref="D562:D594" si="293">D561</f>
        <v>time of use</v>
      </c>
      <c r="E562" s="570" t="s">
        <v>279</v>
      </c>
      <c r="F562" s="485" cm="1">
        <f t="array" ref="F562">_xlfn.XLOOKUP(1,($B562=DistributionZone)*($C562=CustomerType)*($D562=tariffL2)*($F$5=Description),valuesPY)*_xlfn.XLOOKUP(1,($B562=DistributionZone)*($C562=CustomerType)*($D562=tariffL2)*($E562=tariffType)*("Usage proportion"=Description),valuesFY)</f>
        <v>5197.5109421105981</v>
      </c>
      <c r="G562" s="570" t="s">
        <v>69</v>
      </c>
      <c r="H562" s="574"/>
      <c r="I562" s="574" cm="1">
        <f t="array" ref="I562">IFERROR(_xlfn.XLOOKUP(1,($B562=DistributionZone)*($E562=tariffType)*("WEC scale"=Description),valuesPY),0)*$I548</f>
        <v>0</v>
      </c>
      <c r="J562" s="574">
        <f t="shared" ref="J562:J570" si="294">IF(AND(H562="",I562=""),"",H562+I562*F562/1000)</f>
        <v>0</v>
      </c>
      <c r="K562" s="575" t="str">
        <f>IFERROR(J562/J571,"")</f>
        <v/>
      </c>
      <c r="L562" s="575"/>
      <c r="M562" s="575" t="str">
        <f t="shared" ref="M562:M570" si="295">IF(OR(J562=0,Q562=""),"",Q562/J562-1)</f>
        <v/>
      </c>
      <c r="N562" s="576"/>
      <c r="O562" s="574"/>
      <c r="P562" s="574" cm="1">
        <f t="array" ref="P562">IFERROR(_xlfn.XLOOKUP(1,($B562=DistributionZone)*(C562=CustomerType)*($E562=tariffType)*("WEC"=Description),valuesFY),0)</f>
        <v>148.10339592686745</v>
      </c>
      <c r="Q562" s="574">
        <f>IF(AND(O562="",P562=""),"",O562+P562*$F562/1000)</f>
        <v>769.7690208936317</v>
      </c>
      <c r="R562" s="575">
        <f>IFERROR(Q562/Q571,"")</f>
        <v>0.80046851651217832</v>
      </c>
      <c r="S562" s="575"/>
      <c r="T562" s="613"/>
      <c r="U562" s="575"/>
      <c r="V562" s="575"/>
      <c r="W562" s="575"/>
      <c r="X562" s="575"/>
      <c r="Y562" s="575"/>
      <c r="Z562" s="575"/>
      <c r="AA562" s="575"/>
      <c r="AB562" s="575"/>
      <c r="AC562" s="575"/>
      <c r="AD562" s="575"/>
      <c r="AE562" s="575"/>
      <c r="AF562" s="575"/>
      <c r="AG562" s="575"/>
      <c r="AH562" s="575"/>
      <c r="AI562" s="575"/>
      <c r="AJ562" s="575"/>
    </row>
    <row r="563" spans="2:36" s="570" customFormat="1" x14ac:dyDescent="0.35">
      <c r="B563" s="570" t="str">
        <f t="shared" si="291"/>
        <v>SAPN</v>
      </c>
      <c r="C563" s="570" t="str">
        <f t="shared" si="292"/>
        <v>Small business</v>
      </c>
      <c r="D563" s="570" t="str">
        <f t="shared" si="293"/>
        <v>time of use</v>
      </c>
      <c r="E563" s="570" t="s">
        <v>279</v>
      </c>
      <c r="F563" s="485" cm="1">
        <f t="array" ref="F563">_xlfn.XLOOKUP(1,($B563=DistributionZone)*($C563=CustomerType)*($D563=tariffL2)*($F$5=Description),valuesPY)*_xlfn.XLOOKUP(1,($B563=DistributionZone)*($C563=CustomerType)*($D563=tariffL2)*($E563=tariffType)*("Usage proportion"=Description),valuesFY)</f>
        <v>5197.5109421105981</v>
      </c>
      <c r="G563" s="570" t="s">
        <v>70</v>
      </c>
      <c r="H563" s="574"/>
      <c r="I563" s="574" cm="1">
        <f t="array" ref="I563">IFERROR(_xlfn.XLOOKUP(1,($B563=DistributionZone)*(I$5=Desc_FixedOrVar)*($G563=Description),valuesPY),0)</f>
        <v>0.58531011875289041</v>
      </c>
      <c r="J563" s="574">
        <f t="shared" si="294"/>
        <v>3.0421557467462015</v>
      </c>
      <c r="K563" s="575" t="str">
        <f>IFERROR(J563/J571,"")</f>
        <v/>
      </c>
      <c r="L563" s="575"/>
      <c r="M563" s="575">
        <f t="shared" si="295"/>
        <v>13.214982373945881</v>
      </c>
      <c r="N563" s="576"/>
      <c r="O563" s="574"/>
      <c r="P563" s="574" cm="1">
        <f t="array" ref="P563">IFERROR(_xlfn.XLOOKUP(1,($B563=DistributionZone)*(P$5=Desc_FixedOrVar)*($G563=Description),valuesFY),0)</f>
        <v>8.3201730213645071</v>
      </c>
      <c r="Q563" s="574">
        <f t="shared" ref="Q563:Q570" si="296">IF(AND(O563="",P563=""),"",O563+P563*$F563/1000)</f>
        <v>43.244190318795425</v>
      </c>
      <c r="R563" s="575">
        <f>IFERROR(Q563/Q571,"")</f>
        <v>4.4968830821576718E-2</v>
      </c>
      <c r="S563" s="575"/>
      <c r="T563" s="612"/>
      <c r="U563" s="575"/>
      <c r="V563" s="575"/>
      <c r="W563" s="575"/>
      <c r="X563" s="575"/>
      <c r="Y563" s="575"/>
      <c r="Z563" s="575"/>
      <c r="AA563" s="575"/>
      <c r="AB563" s="575"/>
      <c r="AC563" s="575"/>
      <c r="AD563" s="575"/>
      <c r="AE563" s="575"/>
      <c r="AF563" s="575"/>
      <c r="AG563" s="575"/>
      <c r="AH563" s="575"/>
      <c r="AI563" s="575"/>
      <c r="AJ563" s="575"/>
    </row>
    <row r="564" spans="2:36" s="570" customFormat="1" x14ac:dyDescent="0.35">
      <c r="B564" s="570" t="str">
        <f t="shared" si="291"/>
        <v>SAPN</v>
      </c>
      <c r="C564" s="570" t="str">
        <f t="shared" si="292"/>
        <v>Small business</v>
      </c>
      <c r="D564" s="570" t="str">
        <f t="shared" si="293"/>
        <v>time of use</v>
      </c>
      <c r="E564" s="570" t="s">
        <v>279</v>
      </c>
      <c r="F564" s="485" cm="1">
        <f t="array" ref="F564">_xlfn.XLOOKUP(1,($B564=DistributionZone)*($C564=CustomerType)*($D564=tariffL2)*($F$5=Description),valuesPY)*_xlfn.XLOOKUP(1,($B564=DistributionZone)*($C564=CustomerType)*($D564=tariffL2)*($E564=tariffType)*("Usage proportion"=Description),valuesFY)</f>
        <v>5197.5109421105981</v>
      </c>
      <c r="G564" s="570" t="s">
        <v>77</v>
      </c>
      <c r="H564" s="574" cm="1">
        <f t="array" ref="H564">IFERROR(_xlfn.XLOOKUP(1,($B564=DistributionZone)*(H$5=Desc_FixedOrVar)*($G564=Description),valuesPY),0)*Days/7</f>
        <v>13.835244134497829</v>
      </c>
      <c r="I564" s="574" cm="1">
        <f t="array" ref="I564">IFERROR(_xlfn.XLOOKUP(1,($B564=DistributionZone)*(I$5=Desc_FixedOrVar)*($G564=Description),valuesPY),0)</f>
        <v>0.57443</v>
      </c>
      <c r="J564" s="574">
        <f t="shared" si="294"/>
        <v>16.820850344974421</v>
      </c>
      <c r="K564" s="575" t="str">
        <f>IFERROR(J564/J571,"")</f>
        <v/>
      </c>
      <c r="L564" s="575"/>
      <c r="M564" s="575">
        <f t="shared" si="295"/>
        <v>-5.9204091423339489E-2</v>
      </c>
      <c r="N564" s="576"/>
      <c r="O564" s="574" cm="1">
        <f t="array" ref="O564">IFERROR(_xlfn.XLOOKUP(1,($B564=DistributionZone)*(O$5=Desc_FixedOrVar)*($G564=Description),valuesFY),0)*Days/7</f>
        <v>13.125399999999999</v>
      </c>
      <c r="P564" s="574" cm="1">
        <f t="array" ref="P564">IFERROR(_xlfn.XLOOKUP(1,($B564=DistributionZone)*(P$5=Desc_FixedOrVar)*($G564=Description),valuesFY),0)</f>
        <v>0.51939999999999997</v>
      </c>
      <c r="Q564" s="574">
        <f t="shared" si="296"/>
        <v>15.824987183332244</v>
      </c>
      <c r="R564" s="575">
        <f>IFERROR(Q564/Q571,"")</f>
        <v>1.6456110431360946E-2</v>
      </c>
      <c r="S564" s="575"/>
      <c r="T564" s="612"/>
      <c r="U564" s="575"/>
      <c r="V564" s="575"/>
      <c r="W564" s="575"/>
      <c r="X564" s="575"/>
      <c r="Y564" s="575"/>
      <c r="Z564" s="575"/>
      <c r="AA564" s="575"/>
      <c r="AB564" s="575"/>
      <c r="AC564" s="575"/>
      <c r="AD564" s="575"/>
      <c r="AE564" s="575"/>
      <c r="AF564" s="575"/>
      <c r="AG564" s="575"/>
      <c r="AH564" s="575"/>
      <c r="AI564" s="575"/>
      <c r="AJ564" s="575"/>
    </row>
    <row r="565" spans="2:36" s="570" customFormat="1" x14ac:dyDescent="0.35">
      <c r="B565" s="570" t="str">
        <f t="shared" si="291"/>
        <v>SAPN</v>
      </c>
      <c r="C565" s="570" t="str">
        <f t="shared" si="292"/>
        <v>Small business</v>
      </c>
      <c r="D565" s="570" t="str">
        <f t="shared" si="293"/>
        <v>time of use</v>
      </c>
      <c r="E565" s="570" t="s">
        <v>279</v>
      </c>
      <c r="F565" s="485" cm="1">
        <f t="array" ref="F565">_xlfn.XLOOKUP(1,($B565=DistributionZone)*($C565=CustomerType)*($D565=tariffL2)*($F$5=Description),valuesPY)*_xlfn.XLOOKUP(1,($B565=DistributionZone)*($C565=CustomerType)*($D565=tariffL2)*($E565=tariffType)*("Usage proportion"=Description),valuesFY)</f>
        <v>5197.5109421105981</v>
      </c>
      <c r="G565" s="570" t="s">
        <v>71</v>
      </c>
      <c r="H565" s="574"/>
      <c r="I565" s="574" cm="1">
        <f t="array" ref="I565">IFERROR(_xlfn.XLOOKUP(1,($B565=DistributionZone)*(I$5=Desc_FixedOrVar)*($G565=Description),valuesPY),0)</f>
        <v>6.7563101629320773E-3</v>
      </c>
      <c r="J565" s="574">
        <f t="shared" si="294"/>
        <v>3.5115996000132509E-2</v>
      </c>
      <c r="K565" s="575" t="str">
        <f>IFERROR(J565/J571,"")</f>
        <v/>
      </c>
      <c r="L565" s="575"/>
      <c r="M565" s="575">
        <f t="shared" si="295"/>
        <v>151.47675540987953</v>
      </c>
      <c r="N565" s="576"/>
      <c r="O565" s="574"/>
      <c r="P565" s="574" cm="1">
        <f t="array" ref="P565">IFERROR(_xlfn.XLOOKUP(1,($B565=DistributionZone)*(P$5=Desc_FixedOrVar)*($G565=Description),valuesFY),0)</f>
        <v>1.0301802521866776</v>
      </c>
      <c r="Q565" s="574">
        <f t="shared" si="296"/>
        <v>5.3543731330865123</v>
      </c>
      <c r="R565" s="575">
        <f>IFERROR(Q565/Q571,"")</f>
        <v>5.5679132341786902E-3</v>
      </c>
      <c r="S565" s="575"/>
      <c r="T565" s="612"/>
      <c r="U565" s="575"/>
      <c r="V565" s="575"/>
      <c r="W565" s="575"/>
      <c r="X565" s="575"/>
      <c r="Y565" s="575"/>
      <c r="Z565" s="575"/>
      <c r="AA565" s="575"/>
      <c r="AB565" s="575"/>
      <c r="AC565" s="575"/>
      <c r="AD565" s="575"/>
      <c r="AE565" s="575"/>
      <c r="AF565" s="575"/>
      <c r="AG565" s="575"/>
      <c r="AH565" s="575"/>
      <c r="AI565" s="575"/>
      <c r="AJ565" s="575"/>
    </row>
    <row r="566" spans="2:36" s="570" customFormat="1" x14ac:dyDescent="0.35">
      <c r="B566" s="570" t="str">
        <f t="shared" si="291"/>
        <v>SAPN</v>
      </c>
      <c r="C566" s="570" t="str">
        <f t="shared" si="292"/>
        <v>Small business</v>
      </c>
      <c r="D566" s="570" t="str">
        <f t="shared" si="293"/>
        <v>time of use</v>
      </c>
      <c r="E566" s="570" t="s">
        <v>279</v>
      </c>
      <c r="F566" s="485" cm="1">
        <f t="array" ref="F566">_xlfn.XLOOKUP(1,($B566=DistributionZone)*($C566=CustomerType)*($D566=tariffL2)*($F$5=Description),valuesPY)*_xlfn.XLOOKUP(1,($B566=DistributionZone)*($C566=CustomerType)*($D566=tariffL2)*($E566=tariffType)*("Usage proportion"=Description),valuesFY)</f>
        <v>5197.5109421105981</v>
      </c>
      <c r="G566" s="570" t="s">
        <v>173</v>
      </c>
      <c r="H566" s="574"/>
      <c r="I566" s="574" cm="1">
        <f t="array" ref="I566">IFERROR(_xlfn.XLOOKUP(1,($B566=DistributionZone)*(I$5=Desc_FixedOrVar)*($G566=Description),valuesPY),0)</f>
        <v>5.0625427163511004E-2</v>
      </c>
      <c r="J566" s="574">
        <f t="shared" si="294"/>
        <v>0.26312621163137151</v>
      </c>
      <c r="K566" s="575" t="str">
        <f>IFERROR(J566/J571,"")</f>
        <v/>
      </c>
      <c r="L566" s="575"/>
      <c r="M566" s="575">
        <f t="shared" si="295"/>
        <v>-1</v>
      </c>
      <c r="N566" s="576"/>
      <c r="O566" s="574"/>
      <c r="P566" s="574" cm="1">
        <f t="array" ref="P566">IFERROR(_xlfn.XLOOKUP(1,($B566=DistributionZone)*(P$5=Desc_FixedOrVar)*($G566=Description),valuesFY),0)</f>
        <v>0</v>
      </c>
      <c r="Q566" s="574">
        <f t="shared" si="296"/>
        <v>0</v>
      </c>
      <c r="R566" s="575">
        <f>IFERROR(Q566/Q571,"")</f>
        <v>0</v>
      </c>
      <c r="S566" s="575"/>
      <c r="T566" s="612"/>
      <c r="U566" s="575"/>
      <c r="V566" s="575"/>
      <c r="W566" s="575"/>
      <c r="X566" s="575"/>
      <c r="Y566" s="575"/>
      <c r="Z566" s="575"/>
      <c r="AA566" s="575"/>
      <c r="AB566" s="575"/>
      <c r="AC566" s="575"/>
      <c r="AD566" s="575"/>
      <c r="AE566" s="575"/>
      <c r="AF566" s="575"/>
      <c r="AG566" s="575"/>
      <c r="AH566" s="575"/>
      <c r="AI566" s="575"/>
      <c r="AJ566" s="575"/>
    </row>
    <row r="567" spans="2:36" s="570" customFormat="1" x14ac:dyDescent="0.35">
      <c r="B567" s="570" t="str">
        <f t="shared" si="291"/>
        <v>SAPN</v>
      </c>
      <c r="C567" s="570" t="str">
        <f t="shared" si="292"/>
        <v>Small business</v>
      </c>
      <c r="D567" s="570" t="str">
        <f t="shared" si="293"/>
        <v>time of use</v>
      </c>
      <c r="E567" s="570" t="s">
        <v>279</v>
      </c>
      <c r="F567" s="485" cm="1">
        <f t="array" ref="F567">_xlfn.XLOOKUP(1,($B567=DistributionZone)*($C567=CustomerType)*($D567=tariffL2)*($F$5=Description),valuesPY)*_xlfn.XLOOKUP(1,($B567=DistributionZone)*($C567=CustomerType)*($D567=tariffL2)*($E567=tariffType)*("Usage proportion"=Description),valuesFY)</f>
        <v>5197.5109421105981</v>
      </c>
      <c r="G567" s="570" t="s">
        <v>130</v>
      </c>
      <c r="H567" s="574"/>
      <c r="I567" s="574" cm="1">
        <f t="array" ref="I567">IFERROR(_xlfn.XLOOKUP(1,($B567=DistributionZone)*(I$5=Desc_FixedOrVar)*($G567=Description),valuesPY),0)</f>
        <v>3.6927728105909479</v>
      </c>
      <c r="J567" s="574">
        <f t="shared" si="294"/>
        <v>19.193227089774958</v>
      </c>
      <c r="K567" s="575" t="str">
        <f>IFERROR(J567/J571,"")</f>
        <v/>
      </c>
      <c r="L567" s="575"/>
      <c r="M567" s="575">
        <f t="shared" si="295"/>
        <v>-4.5781075827627915E-2</v>
      </c>
      <c r="N567" s="576"/>
      <c r="O567" s="574"/>
      <c r="P567" s="574" cm="1">
        <f t="array" ref="P567">IFERROR(_xlfn.XLOOKUP(1,($B567=DistributionZone)*(P$5=Desc_FixedOrVar)*($G567=Description),valuesFY),0)</f>
        <v>3.5237136985350812</v>
      </c>
      <c r="Q567" s="574">
        <f t="shared" si="296"/>
        <v>18.314540505001087</v>
      </c>
      <c r="R567" s="575">
        <f>IFERROR(Q567/Q571,"")</f>
        <v>1.9044950719920177E-2</v>
      </c>
      <c r="S567" s="575"/>
      <c r="T567" s="612"/>
      <c r="U567" s="575"/>
      <c r="V567" s="575"/>
      <c r="W567" s="575"/>
      <c r="X567" s="575"/>
      <c r="Y567" s="575"/>
      <c r="Z567" s="575"/>
      <c r="AA567" s="575"/>
      <c r="AB567" s="575"/>
      <c r="AC567" s="575"/>
      <c r="AD567" s="575"/>
      <c r="AE567" s="575"/>
      <c r="AF567" s="575"/>
      <c r="AG567" s="575"/>
      <c r="AH567" s="575"/>
      <c r="AI567" s="575"/>
      <c r="AJ567" s="575"/>
    </row>
    <row r="568" spans="2:36" s="570" customFormat="1" x14ac:dyDescent="0.35">
      <c r="B568" s="570" t="str">
        <f t="shared" si="291"/>
        <v>SAPN</v>
      </c>
      <c r="C568" s="570" t="str">
        <f t="shared" si="292"/>
        <v>Small business</v>
      </c>
      <c r="D568" s="570" t="str">
        <f t="shared" si="293"/>
        <v>time of use</v>
      </c>
      <c r="E568" s="570" t="s">
        <v>279</v>
      </c>
      <c r="F568" s="485" cm="1">
        <f t="array" ref="F568">_xlfn.XLOOKUP(1,($B568=DistributionZone)*($C568=CustomerType)*($D568=tariffL2)*($F$5=Description),valuesPY)*_xlfn.XLOOKUP(1,($B568=DistributionZone)*($C568=CustomerType)*($D568=tariffL2)*($E568=tariffType)*("Usage proportion"=Description),valuesFY)</f>
        <v>5197.5109421105981</v>
      </c>
      <c r="G568" s="570" t="s">
        <v>302</v>
      </c>
      <c r="H568" s="574"/>
      <c r="I568" s="574"/>
      <c r="J568" s="574"/>
      <c r="K568" s="575"/>
      <c r="L568" s="575"/>
      <c r="M568" s="575"/>
      <c r="N568" s="576"/>
      <c r="O568" s="574"/>
      <c r="P568" s="574" cm="1">
        <f t="array" ref="P568">IFERROR(_xlfn.XLOOKUP(1,($B568=DistributionZone)*($P$5=Desc_FixedOrVar)*($D568=tariffL2)*($G568=Description),valuesFY),0)</f>
        <v>1.0139999999999987</v>
      </c>
      <c r="Q568" s="574">
        <f t="shared" ref="Q568" si="297">IF(AND(O568="",P568=""),"",O568+P568*$F568/1000)</f>
        <v>5.2702760953001402</v>
      </c>
      <c r="R568" s="575">
        <f>IFERROR(Q568/Q571,"")</f>
        <v>5.4804622855788403E-3</v>
      </c>
      <c r="S568" s="575"/>
      <c r="T568" s="612"/>
      <c r="U568" s="575"/>
      <c r="V568" s="575"/>
      <c r="W568" s="575"/>
      <c r="X568" s="575"/>
      <c r="Y568" s="575"/>
      <c r="Z568" s="575"/>
      <c r="AA568" s="575"/>
      <c r="AB568" s="575"/>
      <c r="AC568" s="575"/>
      <c r="AD568" s="575"/>
      <c r="AE568" s="575"/>
      <c r="AF568" s="575"/>
      <c r="AG568" s="575"/>
      <c r="AH568" s="575"/>
      <c r="AI568" s="575"/>
      <c r="AJ568" s="575"/>
    </row>
    <row r="569" spans="2:36" s="570" customFormat="1" x14ac:dyDescent="0.35">
      <c r="B569" s="570" t="str">
        <f>B567</f>
        <v>SAPN</v>
      </c>
      <c r="C569" s="570" t="str">
        <f>C567</f>
        <v>Small business</v>
      </c>
      <c r="D569" s="570" t="str">
        <f>D567</f>
        <v>time of use</v>
      </c>
      <c r="E569" s="570" t="s">
        <v>279</v>
      </c>
      <c r="F569" s="485" cm="1">
        <f t="array" ref="F569">_xlfn.XLOOKUP(1,($B569=DistributionZone)*($C569=CustomerType)*($D569=tariffL2)*($F$5=Description),valuesPY)*_xlfn.XLOOKUP(1,($B569=DistributionZone)*($C569=CustomerType)*($D569=tariffL2)*($E569=tariffType)*("Usage proportion"=Description),valuesFY)</f>
        <v>5197.5109421105981</v>
      </c>
      <c r="G569" s="570" t="s">
        <v>157</v>
      </c>
      <c r="H569" s="574"/>
      <c r="I569" s="574" cm="1">
        <f t="array" ref="I569">IFERROR(_xlfn.XLOOKUP(1,($B569=DistributionZone)*(I$5=Desc_FixedOrVar)*($G569=Description),valuesPY),0)</f>
        <v>5.712785518640878</v>
      </c>
      <c r="J569" s="574">
        <f t="shared" si="294"/>
        <v>29.692265243066934</v>
      </c>
      <c r="K569" s="575" t="str">
        <f>IFERROR(J569/J572,"")</f>
        <v/>
      </c>
      <c r="L569" s="575"/>
      <c r="M569" s="575">
        <f t="shared" si="295"/>
        <v>-0.78484131590226114</v>
      </c>
      <c r="N569" s="576"/>
      <c r="O569" s="574"/>
      <c r="P569" s="574" cm="1">
        <f t="array" ref="P569">IFERROR(_xlfn.XLOOKUP(1,($B569=DistributionZone)*(P$5=Desc_FixedOrVar)*($G569=Description),valuesFY),0)</f>
        <v>1.2291554147233901</v>
      </c>
      <c r="Q569" s="574">
        <f t="shared" si="296"/>
        <v>6.3885487175793099</v>
      </c>
      <c r="R569" s="575">
        <f>IFERROR(Q569/Q571,"")</f>
        <v>6.6433332283102227E-3</v>
      </c>
      <c r="S569" s="575"/>
      <c r="T569" s="612"/>
      <c r="U569" s="575"/>
      <c r="V569" s="575"/>
      <c r="W569" s="575"/>
      <c r="X569" s="575"/>
      <c r="Y569" s="575"/>
      <c r="Z569" s="575"/>
      <c r="AA569" s="575"/>
      <c r="AB569" s="575"/>
      <c r="AC569" s="575"/>
      <c r="AD569" s="575"/>
      <c r="AE569" s="575"/>
      <c r="AF569" s="575"/>
      <c r="AG569" s="575"/>
      <c r="AH569" s="575"/>
      <c r="AI569" s="575"/>
      <c r="AJ569" s="575"/>
    </row>
    <row r="570" spans="2:36" s="570" customFormat="1" x14ac:dyDescent="0.35">
      <c r="B570" s="570" t="str">
        <f t="shared" si="291"/>
        <v>SAPN</v>
      </c>
      <c r="C570" s="570" t="str">
        <f t="shared" si="292"/>
        <v>Small business</v>
      </c>
      <c r="D570" s="570" t="str">
        <f t="shared" si="293"/>
        <v>time of use</v>
      </c>
      <c r="E570" s="570" t="s">
        <v>279</v>
      </c>
      <c r="F570" s="485" cm="1">
        <f t="array" ref="F570">_xlfn.XLOOKUP(1,($B570=DistributionZone)*($C570=CustomerType)*($D570=tariffL2)*($F$5=Description),valuesPY)*_xlfn.XLOOKUP(1,($B570=DistributionZone)*($C570=CustomerType)*($D570=tariffL2)*($E570=tariffType)*("Usage proportion"=Description),valuesFY)</f>
        <v>5197.5109421105981</v>
      </c>
      <c r="G570" s="570" t="s">
        <v>72</v>
      </c>
      <c r="H570" s="574"/>
      <c r="I570" s="574" cm="1">
        <f t="array" ref="I570">IFERROR(_xlfn.XLOOKUP(1,($B570=DistributionZone)*($C570=CustomerType)*($D570=tariffL2)*($G570=Description),valuesPY),0)*SUM(I562:I569)</f>
        <v>0</v>
      </c>
      <c r="J570" s="574">
        <f t="shared" si="294"/>
        <v>0</v>
      </c>
      <c r="K570" s="575" t="str">
        <f>IFERROR(J570/J571,"")</f>
        <v/>
      </c>
      <c r="L570" s="575"/>
      <c r="M570" s="575" t="str">
        <f t="shared" si="295"/>
        <v/>
      </c>
      <c r="N570" s="576"/>
      <c r="O570" s="574"/>
      <c r="P570" s="574" cm="1">
        <f t="array" ref="P570">IFERROR(_xlfn.XLOOKUP(1,($B570=DistributionZone)*($C570=CustomerType)*("Losses"=Description)*($D570=tariffType)*($P$5=Desc_FixedOrVar),valuesFY),0)*SUM(P562:P569)</f>
        <v>18.755545749509</v>
      </c>
      <c r="Q570" s="574">
        <f t="shared" si="296"/>
        <v>97.482154258328947</v>
      </c>
      <c r="R570" s="575">
        <f>IFERROR(Q570/Q571,"")</f>
        <v>0.10136988276689618</v>
      </c>
      <c r="S570" s="575"/>
      <c r="T570" s="638"/>
      <c r="U570" s="575"/>
      <c r="V570" s="575"/>
      <c r="W570" s="575"/>
      <c r="X570" s="575"/>
      <c r="Y570" s="575"/>
      <c r="Z570" s="575"/>
      <c r="AA570" s="575"/>
      <c r="AB570" s="575"/>
      <c r="AC570" s="575"/>
      <c r="AD570" s="575"/>
      <c r="AE570" s="575"/>
      <c r="AF570" s="575"/>
      <c r="AG570" s="575"/>
      <c r="AH570" s="575"/>
      <c r="AI570" s="575"/>
      <c r="AJ570" s="575"/>
    </row>
    <row r="571" spans="2:36" s="570" customFormat="1" x14ac:dyDescent="0.35">
      <c r="B571" s="570" t="str">
        <f t="shared" si="291"/>
        <v>SAPN</v>
      </c>
      <c r="C571" s="570" t="str">
        <f t="shared" si="292"/>
        <v>Small business</v>
      </c>
      <c r="D571" s="570" t="str">
        <f t="shared" si="293"/>
        <v>time of use</v>
      </c>
      <c r="E571" s="570" t="s">
        <v>279</v>
      </c>
      <c r="F571" s="485"/>
      <c r="G571" s="571" t="s">
        <v>55</v>
      </c>
      <c r="H571" s="574"/>
      <c r="I571" s="487">
        <f>IF($H$3=PY,0,SUM(I562:I570))</f>
        <v>0</v>
      </c>
      <c r="J571" s="487">
        <f>IF($H$3=PY,0,SUM(J562:J570))</f>
        <v>0</v>
      </c>
      <c r="K571" s="578"/>
      <c r="L571" s="578"/>
      <c r="M571" s="578"/>
      <c r="N571" s="624"/>
      <c r="O571" s="577"/>
      <c r="P571" s="577">
        <f>SUM(P562:P570)</f>
        <v>182.49556406318609</v>
      </c>
      <c r="Q571" s="577">
        <f>SUM(Q562:Q570)</f>
        <v>961.6480911050553</v>
      </c>
      <c r="R571" s="575"/>
      <c r="S571" s="575"/>
      <c r="T571" s="612"/>
      <c r="U571" s="575"/>
      <c r="V571" s="575"/>
      <c r="W571" s="575"/>
      <c r="X571" s="575"/>
      <c r="Y571" s="575"/>
      <c r="Z571" s="575"/>
      <c r="AA571" s="575"/>
      <c r="AB571" s="575"/>
      <c r="AC571" s="575"/>
      <c r="AD571" s="575"/>
      <c r="AE571" s="575"/>
      <c r="AF571" s="575"/>
      <c r="AG571" s="575"/>
      <c r="AH571" s="575"/>
      <c r="AI571" s="575"/>
      <c r="AJ571" s="575"/>
    </row>
    <row r="572" spans="2:36" s="570" customFormat="1" x14ac:dyDescent="0.35">
      <c r="B572" s="570" t="str">
        <f t="shared" si="291"/>
        <v>SAPN</v>
      </c>
      <c r="C572" s="570" t="str">
        <f t="shared" si="292"/>
        <v>Small business</v>
      </c>
      <c r="D572" s="570" t="str">
        <f t="shared" si="293"/>
        <v>time of use</v>
      </c>
      <c r="E572" s="570" t="s">
        <v>278</v>
      </c>
      <c r="F572" s="485" cm="1">
        <f t="array" ref="F572">_xlfn.XLOOKUP(1,($B572=DistributionZone)*($C572=CustomerType)*($D572=tariffL2)*($F$5=Description),valuesPY)*_xlfn.XLOOKUP(1,($B572=DistributionZone)*($C572=CustomerType)*($D572=tariffL2)*($E572=tariffType)*("Usage proportion"=Description),valuesFY)</f>
        <v>818.79677302339985</v>
      </c>
      <c r="G572" s="570" t="s">
        <v>69</v>
      </c>
      <c r="H572" s="574"/>
      <c r="I572" s="574" cm="1">
        <f t="array" ref="I572">IFERROR(_xlfn.XLOOKUP(1,($B572=DistributionZone)*($E572=tariffType)*("WEC scale"=Description),valuesPY),0)*$I548</f>
        <v>0</v>
      </c>
      <c r="J572" s="574">
        <f t="shared" ref="J572:J577" si="298">IF(AND(H572="",I572=""),"",H572+I572*F572/1000)</f>
        <v>0</v>
      </c>
      <c r="K572" s="575" t="str">
        <f>IFERROR(J572/J581,"")</f>
        <v/>
      </c>
      <c r="L572" s="575"/>
      <c r="M572" s="575" t="str">
        <f t="shared" ref="M572:M580" si="299">IF(OR(J572=0,Q572=""),"",Q572/J572-1)</f>
        <v/>
      </c>
      <c r="N572" s="576"/>
      <c r="O572" s="574"/>
      <c r="P572" s="574" cm="1">
        <f t="array" ref="P572">IFERROR(_xlfn.XLOOKUP(1,($B572=DistributionZone)*(C572=CustomerType)*($E572=tariffType)*("WEC"=Description),valuesFY),0)</f>
        <v>299.26210291852112</v>
      </c>
      <c r="Q572" s="574">
        <f>IF(AND(O572="",P572=""),"",O572+P572*$F572/1000)</f>
        <v>245.03484415788165</v>
      </c>
      <c r="R572" s="575">
        <f>IFERROR(Q572/Q581,"")</f>
        <v>0.85267463292145085</v>
      </c>
      <c r="S572" s="575"/>
      <c r="T572" s="613"/>
      <c r="U572" s="575"/>
      <c r="V572" s="575"/>
      <c r="W572" s="575"/>
      <c r="X572" s="575"/>
      <c r="Y572" s="575"/>
      <c r="Z572" s="575"/>
      <c r="AA572" s="575"/>
      <c r="AB572" s="575"/>
      <c r="AC572" s="575"/>
      <c r="AD572" s="575"/>
      <c r="AE572" s="575"/>
      <c r="AF572" s="575"/>
      <c r="AG572" s="575"/>
      <c r="AH572" s="575"/>
      <c r="AI572" s="575"/>
      <c r="AJ572" s="575"/>
    </row>
    <row r="573" spans="2:36" s="570" customFormat="1" x14ac:dyDescent="0.35">
      <c r="B573" s="570" t="str">
        <f t="shared" si="291"/>
        <v>SAPN</v>
      </c>
      <c r="C573" s="570" t="str">
        <f t="shared" si="292"/>
        <v>Small business</v>
      </c>
      <c r="D573" s="570" t="str">
        <f t="shared" si="293"/>
        <v>time of use</v>
      </c>
      <c r="E573" s="570" t="s">
        <v>278</v>
      </c>
      <c r="F573" s="485" cm="1">
        <f t="array" ref="F573">_xlfn.XLOOKUP(1,($B573=DistributionZone)*($C573=CustomerType)*($D573=tariffL2)*($F$5=Description),valuesPY)*_xlfn.XLOOKUP(1,($B573=DistributionZone)*($C573=CustomerType)*($D573=tariffL2)*($E573=tariffType)*("Usage proportion"=Description),valuesFY)</f>
        <v>818.79677302339985</v>
      </c>
      <c r="G573" s="570" t="s">
        <v>70</v>
      </c>
      <c r="H573" s="574"/>
      <c r="I573" s="574" cm="1">
        <f t="array" ref="I573">IFERROR(_xlfn.XLOOKUP(1,($B573=DistributionZone)*(I$5=Desc_FixedOrVar)*($G573=Description),valuesPY),0)</f>
        <v>0.58531011875289041</v>
      </c>
      <c r="J573" s="574">
        <f t="shared" si="298"/>
        <v>0.47925003645280961</v>
      </c>
      <c r="K573" s="575" t="str">
        <f>IFERROR(J573/J581,"")</f>
        <v/>
      </c>
      <c r="L573" s="575"/>
      <c r="M573" s="575">
        <f t="shared" si="299"/>
        <v>13.214982373945881</v>
      </c>
      <c r="N573" s="576"/>
      <c r="O573" s="574"/>
      <c r="P573" s="574" cm="1">
        <f t="array" ref="P573">IFERROR(_xlfn.XLOOKUP(1,($B573=DistributionZone)*(P$5=Desc_FixedOrVar)*($G573=Description),valuesFY),0)</f>
        <v>8.3201730213645071</v>
      </c>
      <c r="Q573" s="574">
        <f t="shared" ref="Q573:Q580" si="300">IF(AND(O573="",P573=""),"",O573+P573*$F573/1000)</f>
        <v>6.8125308208896094</v>
      </c>
      <c r="R573" s="575">
        <f>IFERROR(Q573/Q581,"")</f>
        <v>2.3706310981736648E-2</v>
      </c>
      <c r="S573" s="575"/>
      <c r="T573" s="612"/>
      <c r="U573" s="575"/>
      <c r="V573" s="575"/>
      <c r="W573" s="575"/>
      <c r="X573" s="575"/>
      <c r="Y573" s="575"/>
      <c r="Z573" s="575"/>
      <c r="AA573" s="575"/>
      <c r="AB573" s="575"/>
      <c r="AC573" s="575"/>
      <c r="AD573" s="575"/>
      <c r="AE573" s="575"/>
      <c r="AF573" s="575"/>
      <c r="AG573" s="575"/>
      <c r="AH573" s="575"/>
      <c r="AI573" s="575"/>
      <c r="AJ573" s="575"/>
    </row>
    <row r="574" spans="2:36" s="570" customFormat="1" x14ac:dyDescent="0.35">
      <c r="B574" s="570" t="str">
        <f t="shared" si="291"/>
        <v>SAPN</v>
      </c>
      <c r="C574" s="570" t="str">
        <f t="shared" si="292"/>
        <v>Small business</v>
      </c>
      <c r="D574" s="570" t="str">
        <f t="shared" si="293"/>
        <v>time of use</v>
      </c>
      <c r="E574" s="570" t="s">
        <v>278</v>
      </c>
      <c r="F574" s="485" cm="1">
        <f t="array" ref="F574">_xlfn.XLOOKUP(1,($B574=DistributionZone)*($C574=CustomerType)*($D574=tariffL2)*($F$5=Description),valuesPY)*_xlfn.XLOOKUP(1,($B574=DistributionZone)*($C574=CustomerType)*($D574=tariffL2)*($E574=tariffType)*("Usage proportion"=Description),valuesFY)</f>
        <v>818.79677302339985</v>
      </c>
      <c r="G574" s="570" t="s">
        <v>77</v>
      </c>
      <c r="H574" s="574"/>
      <c r="I574" s="574" cm="1">
        <f t="array" ref="I574">IFERROR(_xlfn.XLOOKUP(1,($B574=DistributionZone)*(I$5=Desc_FixedOrVar)*($G574=Description),valuesPY),0)</f>
        <v>0.57443</v>
      </c>
      <c r="J574" s="574">
        <f t="shared" si="298"/>
        <v>0.4703414303278316</v>
      </c>
      <c r="K574" s="575" t="str">
        <f>IFERROR(J574/J581,"")</f>
        <v/>
      </c>
      <c r="L574" s="575"/>
      <c r="M574" s="575">
        <f t="shared" si="299"/>
        <v>-9.5799314102675837E-2</v>
      </c>
      <c r="N574" s="576"/>
      <c r="O574" s="574"/>
      <c r="P574" s="574" cm="1">
        <f t="array" ref="P574">IFERROR(_xlfn.XLOOKUP(1,($B574=DistributionZone)*(P$5=Desc_FixedOrVar)*($G574=Description),valuesFY),0)</f>
        <v>0.51939999999999997</v>
      </c>
      <c r="Q574" s="574">
        <f t="shared" si="300"/>
        <v>0.42528304390835386</v>
      </c>
      <c r="R574" s="575">
        <f>IFERROR(Q574/Q581,"")</f>
        <v>1.4799040707803304E-3</v>
      </c>
      <c r="S574" s="575"/>
      <c r="T574" s="612"/>
      <c r="U574" s="575"/>
      <c r="V574" s="575"/>
      <c r="W574" s="575"/>
      <c r="X574" s="575"/>
      <c r="Y574" s="575"/>
      <c r="Z574" s="575"/>
      <c r="AA574" s="575"/>
      <c r="AB574" s="575"/>
      <c r="AC574" s="575"/>
      <c r="AD574" s="575"/>
      <c r="AE574" s="575"/>
      <c r="AF574" s="575"/>
      <c r="AG574" s="575"/>
      <c r="AH574" s="575"/>
      <c r="AI574" s="575"/>
      <c r="AJ574" s="575"/>
    </row>
    <row r="575" spans="2:36" s="570" customFormat="1" x14ac:dyDescent="0.35">
      <c r="B575" s="570" t="str">
        <f t="shared" si="291"/>
        <v>SAPN</v>
      </c>
      <c r="C575" s="570" t="str">
        <f t="shared" si="292"/>
        <v>Small business</v>
      </c>
      <c r="D575" s="570" t="str">
        <f t="shared" si="293"/>
        <v>time of use</v>
      </c>
      <c r="E575" s="570" t="s">
        <v>278</v>
      </c>
      <c r="F575" s="485" cm="1">
        <f t="array" ref="F575">_xlfn.XLOOKUP(1,($B575=DistributionZone)*($C575=CustomerType)*($D575=tariffL2)*($F$5=Description),valuesPY)*_xlfn.XLOOKUP(1,($B575=DistributionZone)*($C575=CustomerType)*($D575=tariffL2)*($E575=tariffType)*("Usage proportion"=Description),valuesFY)</f>
        <v>818.79677302339985</v>
      </c>
      <c r="G575" s="570" t="s">
        <v>71</v>
      </c>
      <c r="H575" s="574"/>
      <c r="I575" s="574" cm="1">
        <f t="array" ref="I575">IFERROR(_xlfn.XLOOKUP(1,($B575=DistributionZone)*(I$5=Desc_FixedOrVar)*($G575=Description),valuesPY),0)</f>
        <v>6.7563101629320773E-3</v>
      </c>
      <c r="J575" s="574">
        <f t="shared" si="298"/>
        <v>5.5320449589539855E-3</v>
      </c>
      <c r="K575" s="575" t="str">
        <f>IFERROR(J575/J581,"")</f>
        <v/>
      </c>
      <c r="L575" s="575"/>
      <c r="M575" s="575">
        <f t="shared" si="299"/>
        <v>151.47675540987953</v>
      </c>
      <c r="N575" s="576"/>
      <c r="O575" s="574"/>
      <c r="P575" s="574" cm="1">
        <f t="array" ref="P575">IFERROR(_xlfn.XLOOKUP(1,($B575=DistributionZone)*(P$5=Desc_FixedOrVar)*($G575=Description),valuesFY),0)</f>
        <v>1.0301802521866776</v>
      </c>
      <c r="Q575" s="574">
        <f t="shared" si="300"/>
        <v>0.84350826612288388</v>
      </c>
      <c r="R575" s="575">
        <f>IFERROR(Q575/Q581,"")</f>
        <v>2.9352482650145777E-3</v>
      </c>
      <c r="S575" s="575"/>
      <c r="T575" s="612"/>
      <c r="U575" s="575"/>
      <c r="V575" s="575"/>
      <c r="W575" s="575"/>
      <c r="X575" s="575"/>
      <c r="Y575" s="575"/>
      <c r="Z575" s="575"/>
      <c r="AA575" s="575"/>
      <c r="AB575" s="575"/>
      <c r="AC575" s="575"/>
      <c r="AD575" s="575"/>
      <c r="AE575" s="575"/>
      <c r="AF575" s="575"/>
      <c r="AG575" s="575"/>
      <c r="AH575" s="575"/>
      <c r="AI575" s="575"/>
      <c r="AJ575" s="575"/>
    </row>
    <row r="576" spans="2:36" s="570" customFormat="1" x14ac:dyDescent="0.35">
      <c r="B576" s="570" t="str">
        <f t="shared" si="291"/>
        <v>SAPN</v>
      </c>
      <c r="C576" s="570" t="str">
        <f t="shared" si="292"/>
        <v>Small business</v>
      </c>
      <c r="D576" s="570" t="str">
        <f t="shared" si="293"/>
        <v>time of use</v>
      </c>
      <c r="E576" s="570" t="s">
        <v>278</v>
      </c>
      <c r="F576" s="485" cm="1">
        <f t="array" ref="F576">_xlfn.XLOOKUP(1,($B576=DistributionZone)*($C576=CustomerType)*($D576=tariffL2)*($F$5=Description),valuesPY)*_xlfn.XLOOKUP(1,($B576=DistributionZone)*($C576=CustomerType)*($D576=tariffL2)*($E576=tariffType)*("Usage proportion"=Description),valuesFY)</f>
        <v>818.79677302339985</v>
      </c>
      <c r="G576" s="570" t="s">
        <v>173</v>
      </c>
      <c r="H576" s="574"/>
      <c r="I576" s="574" cm="1">
        <f t="array" ref="I576">IFERROR(_xlfn.XLOOKUP(1,($B576=DistributionZone)*(I$5=Desc_FixedOrVar)*($G576=Description),valuesPY),0)</f>
        <v>5.0625427163511004E-2</v>
      </c>
      <c r="J576" s="574">
        <f t="shared" si="298"/>
        <v>4.1451936394413982E-2</v>
      </c>
      <c r="K576" s="575" t="str">
        <f>IFERROR(J576/J581,"")</f>
        <v/>
      </c>
      <c r="L576" s="575"/>
      <c r="M576" s="575">
        <f t="shared" si="299"/>
        <v>-1</v>
      </c>
      <c r="N576" s="576"/>
      <c r="O576" s="574"/>
      <c r="P576" s="574" cm="1">
        <f t="array" ref="P576">IFERROR(_xlfn.XLOOKUP(1,($B576=DistributionZone)*(P$5=Desc_FixedOrVar)*($G576=Description),valuesFY),0)</f>
        <v>0</v>
      </c>
      <c r="Q576" s="574">
        <f t="shared" si="300"/>
        <v>0</v>
      </c>
      <c r="R576" s="575">
        <f>IFERROR(Q576/Q581,"")</f>
        <v>0</v>
      </c>
      <c r="S576" s="575"/>
      <c r="T576" s="612"/>
      <c r="U576" s="575"/>
      <c r="V576" s="575"/>
      <c r="W576" s="575"/>
      <c r="X576" s="575"/>
      <c r="Y576" s="575"/>
      <c r="Z576" s="575"/>
      <c r="AA576" s="575"/>
      <c r="AB576" s="575"/>
      <c r="AC576" s="575"/>
      <c r="AD576" s="575"/>
      <c r="AE576" s="575"/>
      <c r="AF576" s="575"/>
      <c r="AG576" s="575"/>
      <c r="AH576" s="575"/>
      <c r="AI576" s="575"/>
      <c r="AJ576" s="575"/>
    </row>
    <row r="577" spans="2:36" s="570" customFormat="1" x14ac:dyDescent="0.35">
      <c r="B577" s="570" t="str">
        <f t="shared" si="291"/>
        <v>SAPN</v>
      </c>
      <c r="C577" s="570" t="str">
        <f t="shared" si="292"/>
        <v>Small business</v>
      </c>
      <c r="D577" s="570" t="str">
        <f t="shared" si="293"/>
        <v>time of use</v>
      </c>
      <c r="E577" s="570" t="s">
        <v>278</v>
      </c>
      <c r="F577" s="485" cm="1">
        <f t="array" ref="F577">_xlfn.XLOOKUP(1,($B577=DistributionZone)*($C577=CustomerType)*($D577=tariffL2)*($F$5=Description),valuesPY)*_xlfn.XLOOKUP(1,($B577=DistributionZone)*($C577=CustomerType)*($D577=tariffL2)*($E577=tariffType)*("Usage proportion"=Description),valuesFY)</f>
        <v>818.79677302339985</v>
      </c>
      <c r="G577" s="570" t="s">
        <v>130</v>
      </c>
      <c r="H577" s="574"/>
      <c r="I577" s="574" cm="1">
        <f t="array" ref="I577">IFERROR(_xlfn.XLOOKUP(1,($B577=DistributionZone)*(I$5=Desc_FixedOrVar)*($G577=Description),valuesPY),0)</f>
        <v>3.6927728105909479</v>
      </c>
      <c r="J577" s="574">
        <f t="shared" si="298"/>
        <v>3.0236304608204185</v>
      </c>
      <c r="K577" s="575" t="str">
        <f>IFERROR(J577/J581,"")</f>
        <v/>
      </c>
      <c r="L577" s="575"/>
      <c r="M577" s="575">
        <f t="shared" si="299"/>
        <v>-4.5781075827627693E-2</v>
      </c>
      <c r="N577" s="576"/>
      <c r="O577" s="574"/>
      <c r="P577" s="574" cm="1">
        <f t="array" ref="P577">IFERROR(_xlfn.XLOOKUP(1,($B577=DistributionZone)*(P$5=Desc_FixedOrVar)*($G577=Description),valuesFY),0)</f>
        <v>3.5237136985350812</v>
      </c>
      <c r="Q577" s="574">
        <f t="shared" si="300"/>
        <v>2.885205405418874</v>
      </c>
      <c r="R577" s="575">
        <f>IFERROR(Q577/Q581,"")</f>
        <v>1.0039965819650522E-2</v>
      </c>
      <c r="S577" s="575"/>
      <c r="T577" s="612"/>
      <c r="U577" s="575"/>
      <c r="V577" s="575"/>
      <c r="W577" s="575"/>
      <c r="X577" s="575"/>
      <c r="Y577" s="575"/>
      <c r="Z577" s="575"/>
      <c r="AA577" s="575"/>
      <c r="AB577" s="575"/>
      <c r="AC577" s="575"/>
      <c r="AD577" s="575"/>
      <c r="AE577" s="575"/>
      <c r="AF577" s="575"/>
      <c r="AG577" s="575"/>
      <c r="AH577" s="575"/>
      <c r="AI577" s="575"/>
      <c r="AJ577" s="575"/>
    </row>
    <row r="578" spans="2:36" s="570" customFormat="1" x14ac:dyDescent="0.35">
      <c r="B578" s="570" t="str">
        <f t="shared" si="291"/>
        <v>SAPN</v>
      </c>
      <c r="C578" s="570" t="str">
        <f t="shared" si="292"/>
        <v>Small business</v>
      </c>
      <c r="D578" s="570" t="str">
        <f t="shared" si="293"/>
        <v>time of use</v>
      </c>
      <c r="E578" s="570" t="s">
        <v>278</v>
      </c>
      <c r="F578" s="485" cm="1">
        <f t="array" ref="F578">_xlfn.XLOOKUP(1,($B578=DistributionZone)*($C578=CustomerType)*($D578=tariffL2)*($F$5=Description),valuesPY)*_xlfn.XLOOKUP(1,($B578=DistributionZone)*($C578=CustomerType)*($D578=tariffL2)*($E578=tariffType)*("Usage proportion"=Description),valuesFY)</f>
        <v>818.79677302339985</v>
      </c>
      <c r="G578" s="570" t="s">
        <v>302</v>
      </c>
      <c r="H578" s="574"/>
      <c r="I578" s="574"/>
      <c r="J578" s="574"/>
      <c r="K578" s="575"/>
      <c r="L578" s="575"/>
      <c r="M578" s="575"/>
      <c r="N578" s="576"/>
      <c r="O578" s="574"/>
      <c r="P578" s="574" cm="1">
        <f t="array" ref="P578">IFERROR(_xlfn.XLOOKUP(1,($B578=DistributionZone)*($P$5=Desc_FixedOrVar)*($D578=tariffL2)*($G578=Description),valuesFY),0)</f>
        <v>1.0139999999999987</v>
      </c>
      <c r="Q578" s="574">
        <f t="shared" ref="Q578" si="301">IF(AND(O578="",P578=""),"",O578+P578*$F578/1000)</f>
        <v>0.83025992784572633</v>
      </c>
      <c r="R578" s="575">
        <f>IFERROR(Q578/Q581,"")</f>
        <v>2.8891465686778071E-3</v>
      </c>
      <c r="S578" s="575"/>
      <c r="T578" s="612"/>
      <c r="U578" s="575"/>
      <c r="V578" s="575"/>
      <c r="W578" s="575"/>
      <c r="X578" s="575"/>
      <c r="Y578" s="575"/>
      <c r="Z578" s="575"/>
      <c r="AA578" s="575"/>
      <c r="AB578" s="575"/>
      <c r="AC578" s="575"/>
      <c r="AD578" s="575"/>
      <c r="AE578" s="575"/>
      <c r="AF578" s="575"/>
      <c r="AG578" s="575"/>
      <c r="AH578" s="575"/>
      <c r="AI578" s="575"/>
      <c r="AJ578" s="575"/>
    </row>
    <row r="579" spans="2:36" s="570" customFormat="1" x14ac:dyDescent="0.35">
      <c r="B579" s="570" t="str">
        <f>B577</f>
        <v>SAPN</v>
      </c>
      <c r="C579" s="570" t="str">
        <f>C577</f>
        <v>Small business</v>
      </c>
      <c r="D579" s="570" t="str">
        <f>D577</f>
        <v>time of use</v>
      </c>
      <c r="E579" s="570" t="s">
        <v>278</v>
      </c>
      <c r="F579" s="485" cm="1">
        <f t="array" ref="F579">_xlfn.XLOOKUP(1,($B579=DistributionZone)*($C579=CustomerType)*($D579=tariffL2)*($F$5=Description),valuesPY)*_xlfn.XLOOKUP(1,($B579=DistributionZone)*($C579=CustomerType)*($D579=tariffL2)*($E579=tariffType)*("Usage proportion"=Description),valuesFY)</f>
        <v>818.79677302339985</v>
      </c>
      <c r="G579" s="570" t="s">
        <v>157</v>
      </c>
      <c r="H579" s="574"/>
      <c r="I579" s="574" cm="1">
        <f t="array" ref="I579">IFERROR(_xlfn.XLOOKUP(1,($B579=DistributionZone)*(I$5=Desc_FixedOrVar)*($G579=Description),valuesPY),0)</f>
        <v>5.712785518640878</v>
      </c>
      <c r="J579" s="574">
        <f>IF(AND(H579="",I579=""),"",H579+I579*F579/1000)</f>
        <v>4.6776103476379607</v>
      </c>
      <c r="K579" s="575" t="str">
        <f>IFERROR(J579/J582,"")</f>
        <v/>
      </c>
      <c r="L579" s="575"/>
      <c r="M579" s="575">
        <f t="shared" si="299"/>
        <v>-0.78484131590226114</v>
      </c>
      <c r="N579" s="576"/>
      <c r="O579" s="574"/>
      <c r="P579" s="574" cm="1">
        <f t="array" ref="P579">IFERROR(_xlfn.XLOOKUP(1,($B579=DistributionZone)*(P$5=Desc_FixedOrVar)*($G579=Description),valuesFY),0)</f>
        <v>1.2291554147233901</v>
      </c>
      <c r="Q579" s="574">
        <f>IF(AND(O579="",P579=""),"",O579+P579*$F579/1000)</f>
        <v>1.0064284871197506</v>
      </c>
      <c r="R579" s="575">
        <f>IFERROR(Q579/Q581,"")</f>
        <v>3.5021796339446101E-3</v>
      </c>
      <c r="S579" s="575"/>
      <c r="T579" s="612"/>
      <c r="U579" s="575"/>
      <c r="V579" s="575"/>
      <c r="W579" s="575"/>
      <c r="X579" s="575"/>
      <c r="Y579" s="575"/>
      <c r="Z579" s="575"/>
      <c r="AA579" s="575"/>
      <c r="AB579" s="575"/>
      <c r="AC579" s="575"/>
      <c r="AD579" s="575"/>
      <c r="AE579" s="575"/>
      <c r="AF579" s="575"/>
      <c r="AG579" s="575"/>
      <c r="AH579" s="575"/>
      <c r="AI579" s="575"/>
      <c r="AJ579" s="575"/>
    </row>
    <row r="580" spans="2:36" s="570" customFormat="1" x14ac:dyDescent="0.35">
      <c r="B580" s="570" t="str">
        <f t="shared" si="291"/>
        <v>SAPN</v>
      </c>
      <c r="C580" s="570" t="str">
        <f t="shared" si="292"/>
        <v>Small business</v>
      </c>
      <c r="D580" s="570" t="str">
        <f t="shared" si="293"/>
        <v>time of use</v>
      </c>
      <c r="E580" s="570" t="s">
        <v>278</v>
      </c>
      <c r="F580" s="485" cm="1">
        <f t="array" ref="F580">_xlfn.XLOOKUP(1,($B580=DistributionZone)*($C580=CustomerType)*($D580=tariffL2)*($F$5=Description),valuesPY)*_xlfn.XLOOKUP(1,($B580=DistributionZone)*($C580=CustomerType)*($D580=tariffL2)*($E580=tariffType)*("Usage proportion"=Description),valuesFY)</f>
        <v>818.79677302339985</v>
      </c>
      <c r="G580" s="570" t="s">
        <v>72</v>
      </c>
      <c r="H580" s="574"/>
      <c r="I580" s="574" cm="1">
        <f t="array" ref="I580">IFERROR(_xlfn.XLOOKUP(1,($B580=DistributionZone)*($C580=CustomerType)*($D580=tariffL2)*($G580=Description),valuesPY),0)*SUM(I572:I579)</f>
        <v>0</v>
      </c>
      <c r="J580" s="574">
        <f>IF(AND(H580="",I580=""),"",H580+I580*F580/1000)</f>
        <v>0</v>
      </c>
      <c r="K580" s="575" t="str">
        <f>IFERROR(J580/J581,"")</f>
        <v/>
      </c>
      <c r="L580" s="575"/>
      <c r="M580" s="575" t="str">
        <f t="shared" si="299"/>
        <v/>
      </c>
      <c r="N580" s="576"/>
      <c r="O580" s="574"/>
      <c r="P580" s="574" cm="1">
        <f t="array" ref="P580">IFERROR(_xlfn.XLOOKUP(1,($B580=DistributionZone)*($C580=CustomerType)*("Losses"=Description)*($D580=tariffType)*($P$5=Desc_FixedOrVar),valuesFY),0)*SUM(P572:P579)</f>
        <v>36.069969392649483</v>
      </c>
      <c r="Q580" s="574">
        <f t="shared" si="300"/>
        <v>29.533974541754201</v>
      </c>
      <c r="R580" s="575">
        <f>IFERROR(Q580/Q581,"")</f>
        <v>0.10277261173874451</v>
      </c>
      <c r="S580" s="575"/>
      <c r="T580" s="612"/>
      <c r="U580" s="575"/>
      <c r="V580" s="575"/>
      <c r="W580" s="575"/>
      <c r="X580" s="575"/>
      <c r="Y580" s="575"/>
      <c r="Z580" s="575"/>
      <c r="AA580" s="575"/>
      <c r="AB580" s="575"/>
      <c r="AC580" s="575"/>
      <c r="AD580" s="575"/>
      <c r="AE580" s="575"/>
      <c r="AF580" s="575"/>
      <c r="AG580" s="575"/>
      <c r="AH580" s="575"/>
      <c r="AI580" s="575"/>
      <c r="AJ580" s="575"/>
    </row>
    <row r="581" spans="2:36" s="570" customFormat="1" x14ac:dyDescent="0.35">
      <c r="B581" s="570" t="str">
        <f t="shared" si="291"/>
        <v>SAPN</v>
      </c>
      <c r="C581" s="570" t="str">
        <f t="shared" si="292"/>
        <v>Small business</v>
      </c>
      <c r="D581" s="570" t="str">
        <f t="shared" si="293"/>
        <v>time of use</v>
      </c>
      <c r="E581" s="570" t="s">
        <v>278</v>
      </c>
      <c r="F581" s="485"/>
      <c r="G581" s="571" t="s">
        <v>55</v>
      </c>
      <c r="H581" s="574"/>
      <c r="I581" s="487">
        <f>IF($H$3=PY,0,SUM(I572:I580))</f>
        <v>0</v>
      </c>
      <c r="J581" s="487">
        <f>IF($H$3=PY,0,SUM(J572:J580))</f>
        <v>0</v>
      </c>
      <c r="K581" s="578"/>
      <c r="L581" s="578"/>
      <c r="M581" s="578"/>
      <c r="N581" s="624"/>
      <c r="O581" s="577"/>
      <c r="P581" s="577">
        <f>SUM(P572:P580)</f>
        <v>350.96869469798025</v>
      </c>
      <c r="Q581" s="577">
        <f>SUM(Q572:Q580)</f>
        <v>287.37203465094109</v>
      </c>
      <c r="R581" s="575"/>
      <c r="S581" s="575"/>
      <c r="T581" s="612"/>
      <c r="U581" s="575"/>
      <c r="V581" s="575"/>
      <c r="W581" s="575"/>
      <c r="X581" s="575"/>
      <c r="Y581" s="575"/>
      <c r="Z581" s="575"/>
      <c r="AA581" s="575"/>
      <c r="AB581" s="575"/>
      <c r="AC581" s="575"/>
      <c r="AD581" s="575"/>
      <c r="AE581" s="575"/>
      <c r="AF581" s="575"/>
      <c r="AG581" s="575"/>
      <c r="AH581" s="575"/>
      <c r="AI581" s="575"/>
      <c r="AJ581" s="575"/>
    </row>
    <row r="582" spans="2:36" s="570" customFormat="1" x14ac:dyDescent="0.35">
      <c r="B582" s="570" t="str">
        <f t="shared" si="291"/>
        <v>SAPN</v>
      </c>
      <c r="C582" s="570" t="str">
        <f t="shared" si="292"/>
        <v>Small business</v>
      </c>
      <c r="D582" s="570" t="str">
        <f t="shared" si="293"/>
        <v>time of use</v>
      </c>
      <c r="E582" s="570" t="s">
        <v>284</v>
      </c>
      <c r="F582" s="485" cm="1">
        <f t="array" ref="F582">_xlfn.XLOOKUP(1,($B582=DistributionZone)*($C582=CustomerType)*($D582=tariffL2)*($F$5=Description),valuesPY)*_xlfn.XLOOKUP(1,($B582=DistributionZone)*($C582=CustomerType)*($D582=tariffL2)*($E582=tariffType)*("Usage proportion"=Description),valuesFY)</f>
        <v>3983.692284866001</v>
      </c>
      <c r="G582" s="570" t="s">
        <v>69</v>
      </c>
      <c r="H582" s="574"/>
      <c r="I582" s="574" cm="1">
        <f t="array" ref="I582">IFERROR(_xlfn.XLOOKUP(1,($B582=DistributionZone)*($E582=tariffType)*("WEC scale"=Description),valuesPY),0)*$I548</f>
        <v>0</v>
      </c>
      <c r="J582" s="574">
        <f t="shared" ref="J582:J589" si="302">IF(AND(H582="",I582=""),"",H582+I582*F582/1000)</f>
        <v>0</v>
      </c>
      <c r="K582" s="575" t="str">
        <f>IFERROR(J582/J591,"")</f>
        <v/>
      </c>
      <c r="L582" s="575"/>
      <c r="M582" s="575" t="str">
        <f t="shared" ref="M582:M590" si="303">IF(OR(J582=0,Q582=""),"",Q582/J582-1)</f>
        <v/>
      </c>
      <c r="N582" s="576"/>
      <c r="O582" s="574"/>
      <c r="P582" s="574" cm="1">
        <f t="array" ref="P582">IFERROR(_xlfn.XLOOKUP(1,($B582=DistributionZone)*(C582=CustomerType)*($E582=tariffType)*("WEC"=Description),valuesFY),0)</f>
        <v>130.02915333504743</v>
      </c>
      <c r="Q582" s="574">
        <f>IF(AND(O582="",P582=""),"",O582+P582*$F582/1000)</f>
        <v>517.99613494848666</v>
      </c>
      <c r="R582" s="575">
        <f>IFERROR(Q582/Q591,"")</f>
        <v>0.80091371543165635</v>
      </c>
      <c r="S582" s="575"/>
      <c r="T582" s="613"/>
      <c r="U582" s="575"/>
      <c r="V582" s="575"/>
      <c r="W582" s="575"/>
      <c r="X582" s="575"/>
      <c r="Y582" s="575"/>
      <c r="Z582" s="575"/>
      <c r="AA582" s="575"/>
      <c r="AB582" s="575"/>
      <c r="AC582" s="575"/>
      <c r="AD582" s="575"/>
      <c r="AE582" s="575"/>
      <c r="AF582" s="575"/>
      <c r="AG582" s="575"/>
      <c r="AH582" s="575"/>
      <c r="AI582" s="575"/>
      <c r="AJ582" s="575"/>
    </row>
    <row r="583" spans="2:36" s="570" customFormat="1" x14ac:dyDescent="0.35">
      <c r="B583" s="570" t="str">
        <f t="shared" si="291"/>
        <v>SAPN</v>
      </c>
      <c r="C583" s="570" t="str">
        <f t="shared" si="292"/>
        <v>Small business</v>
      </c>
      <c r="D583" s="570" t="str">
        <f t="shared" si="293"/>
        <v>time of use</v>
      </c>
      <c r="E583" s="570" t="s">
        <v>284</v>
      </c>
      <c r="F583" s="485" cm="1">
        <f t="array" ref="F583">_xlfn.XLOOKUP(1,($B583=DistributionZone)*($C583=CustomerType)*($D583=tariffL2)*($F$5=Description),valuesPY)*_xlfn.XLOOKUP(1,($B583=DistributionZone)*($C583=CustomerType)*($D583=tariffL2)*($E583=tariffType)*("Usage proportion"=Description),valuesFY)</f>
        <v>3983.692284866001</v>
      </c>
      <c r="G583" s="570" t="s">
        <v>70</v>
      </c>
      <c r="H583" s="574"/>
      <c r="I583" s="574" cm="1">
        <f t="array" ref="I583">IFERROR(_xlfn.XLOOKUP(1,($B583=DistributionZone)*(I$5=Desc_FixedOrVar)*($G583=Description),valuesPY),0)</f>
        <v>0.58531011875289041</v>
      </c>
      <c r="J583" s="574">
        <f t="shared" si="302"/>
        <v>2.3316954043298925</v>
      </c>
      <c r="K583" s="575" t="str">
        <f>IFERROR(J583/J591,"")</f>
        <v/>
      </c>
      <c r="L583" s="575"/>
      <c r="M583" s="575">
        <f t="shared" si="303"/>
        <v>13.21498237394588</v>
      </c>
      <c r="N583" s="576"/>
      <c r="O583" s="574"/>
      <c r="P583" s="574" cm="1">
        <f t="array" ref="P583">IFERROR(_xlfn.XLOOKUP(1,($B583=DistributionZone)*(P$5=Desc_FixedOrVar)*($G583=Description),valuesFY),0)</f>
        <v>8.3201730213645071</v>
      </c>
      <c r="Q583" s="574">
        <f t="shared" ref="Q583:Q590" si="304">IF(AND(O583="",P583=""),"",O583+P583*$F583/1000)</f>
        <v>33.145009073960033</v>
      </c>
      <c r="R583" s="575">
        <f>IFERROR(Q583/Q591,"")</f>
        <v>5.1248051045943134E-2</v>
      </c>
      <c r="S583" s="575"/>
      <c r="T583" s="612"/>
      <c r="U583" s="575"/>
      <c r="V583" s="575"/>
      <c r="W583" s="575"/>
      <c r="X583" s="575"/>
      <c r="Y583" s="575"/>
      <c r="Z583" s="575"/>
      <c r="AA583" s="575"/>
      <c r="AB583" s="575"/>
      <c r="AC583" s="575"/>
      <c r="AD583" s="575"/>
      <c r="AE583" s="575"/>
      <c r="AF583" s="575"/>
      <c r="AG583" s="575"/>
      <c r="AH583" s="575"/>
      <c r="AI583" s="575"/>
      <c r="AJ583" s="575"/>
    </row>
    <row r="584" spans="2:36" s="570" customFormat="1" x14ac:dyDescent="0.35">
      <c r="B584" s="570" t="str">
        <f t="shared" si="291"/>
        <v>SAPN</v>
      </c>
      <c r="C584" s="570" t="str">
        <f t="shared" si="292"/>
        <v>Small business</v>
      </c>
      <c r="D584" s="570" t="str">
        <f t="shared" si="293"/>
        <v>time of use</v>
      </c>
      <c r="E584" s="570" t="s">
        <v>284</v>
      </c>
      <c r="F584" s="485" cm="1">
        <f t="array" ref="F584">_xlfn.XLOOKUP(1,($B584=DistributionZone)*($C584=CustomerType)*($D584=tariffL2)*($F$5=Description),valuesPY)*_xlfn.XLOOKUP(1,($B584=DistributionZone)*($C584=CustomerType)*($D584=tariffL2)*($E584=tariffType)*("Usage proportion"=Description),valuesFY)</f>
        <v>3983.692284866001</v>
      </c>
      <c r="G584" s="570" t="s">
        <v>77</v>
      </c>
      <c r="H584" s="574"/>
      <c r="I584" s="574" cm="1">
        <f t="array" ref="I584">IFERROR(_xlfn.XLOOKUP(1,($B584=DistributionZone)*(I$5=Desc_FixedOrVar)*($G584=Description),valuesPY),0)</f>
        <v>0.57443</v>
      </c>
      <c r="J584" s="574">
        <f t="shared" si="302"/>
        <v>2.288352359195577</v>
      </c>
      <c r="K584" s="575" t="str">
        <f>IFERROR(J584/J591,"")</f>
        <v/>
      </c>
      <c r="L584" s="575"/>
      <c r="M584" s="575">
        <f t="shared" si="303"/>
        <v>-9.5799314102675615E-2</v>
      </c>
      <c r="N584" s="576"/>
      <c r="O584" s="574"/>
      <c r="P584" s="574" cm="1">
        <f t="array" ref="P584">IFERROR(_xlfn.XLOOKUP(1,($B584=DistributionZone)*(P$5=Desc_FixedOrVar)*($G584=Description),valuesFY),0)</f>
        <v>0.51939999999999997</v>
      </c>
      <c r="Q584" s="574">
        <f t="shared" si="304"/>
        <v>2.0691297727594011</v>
      </c>
      <c r="R584" s="575">
        <f>IFERROR(Q584/Q591,"")</f>
        <v>3.1992408865672219E-3</v>
      </c>
      <c r="S584" s="575"/>
      <c r="T584" s="612"/>
      <c r="U584" s="575"/>
      <c r="V584" s="575"/>
      <c r="W584" s="575"/>
      <c r="X584" s="575"/>
      <c r="Y584" s="575"/>
      <c r="Z584" s="575"/>
      <c r="AA584" s="575"/>
      <c r="AB584" s="575"/>
      <c r="AC584" s="575"/>
      <c r="AD584" s="575"/>
      <c r="AE584" s="575"/>
      <c r="AF584" s="575"/>
      <c r="AG584" s="575"/>
      <c r="AH584" s="575"/>
      <c r="AI584" s="575"/>
      <c r="AJ584" s="575"/>
    </row>
    <row r="585" spans="2:36" s="570" customFormat="1" x14ac:dyDescent="0.35">
      <c r="B585" s="570" t="str">
        <f t="shared" si="291"/>
        <v>SAPN</v>
      </c>
      <c r="C585" s="570" t="str">
        <f t="shared" si="292"/>
        <v>Small business</v>
      </c>
      <c r="D585" s="570" t="str">
        <f t="shared" si="293"/>
        <v>time of use</v>
      </c>
      <c r="E585" s="570" t="s">
        <v>284</v>
      </c>
      <c r="F585" s="485" cm="1">
        <f t="array" ref="F585">_xlfn.XLOOKUP(1,($B585=DistributionZone)*($C585=CustomerType)*($D585=tariffL2)*($F$5=Description),valuesPY)*_xlfn.XLOOKUP(1,($B585=DistributionZone)*($C585=CustomerType)*($D585=tariffL2)*($E585=tariffType)*("Usage proportion"=Description),valuesFY)</f>
        <v>3983.692284866001</v>
      </c>
      <c r="G585" s="570" t="s">
        <v>71</v>
      </c>
      <c r="H585" s="574"/>
      <c r="I585" s="574" cm="1">
        <f t="array" ref="I585">IFERROR(_xlfn.XLOOKUP(1,($B585=DistributionZone)*(I$5=Desc_FixedOrVar)*($G585=Description),valuesPY),0)</f>
        <v>6.7563101629320773E-3</v>
      </c>
      <c r="J585" s="574">
        <f t="shared" si="302"/>
        <v>2.6915060670234272E-2</v>
      </c>
      <c r="K585" s="575" t="str">
        <f>IFERROR(J585/J591,"")</f>
        <v/>
      </c>
      <c r="L585" s="575"/>
      <c r="M585" s="575">
        <f t="shared" si="303"/>
        <v>151.47675540987953</v>
      </c>
      <c r="N585" s="576"/>
      <c r="O585" s="574"/>
      <c r="P585" s="574" cm="1">
        <f t="array" ref="P585">IFERROR(_xlfn.XLOOKUP(1,($B585=DistributionZone)*(P$5=Desc_FixedOrVar)*($G585=Description),valuesFY),0)</f>
        <v>1.0301802521866776</v>
      </c>
      <c r="Q585" s="574">
        <f t="shared" si="304"/>
        <v>4.1039211226573791</v>
      </c>
      <c r="R585" s="575">
        <f>IFERROR(Q585/Q591,"")</f>
        <v>6.3453884931262044E-3</v>
      </c>
      <c r="S585" s="575"/>
      <c r="T585" s="612"/>
      <c r="U585" s="575"/>
      <c r="V585" s="575"/>
      <c r="W585" s="575"/>
      <c r="X585" s="575"/>
      <c r="Y585" s="575"/>
      <c r="Z585" s="575"/>
      <c r="AA585" s="575"/>
      <c r="AB585" s="575"/>
      <c r="AC585" s="575"/>
      <c r="AD585" s="575"/>
      <c r="AE585" s="575"/>
      <c r="AF585" s="575"/>
      <c r="AG585" s="575"/>
      <c r="AH585" s="575"/>
      <c r="AI585" s="575"/>
      <c r="AJ585" s="575"/>
    </row>
    <row r="586" spans="2:36" s="570" customFormat="1" x14ac:dyDescent="0.35">
      <c r="B586" s="570" t="str">
        <f t="shared" si="291"/>
        <v>SAPN</v>
      </c>
      <c r="C586" s="570" t="str">
        <f t="shared" si="292"/>
        <v>Small business</v>
      </c>
      <c r="D586" s="570" t="str">
        <f t="shared" si="293"/>
        <v>time of use</v>
      </c>
      <c r="E586" s="570" t="s">
        <v>284</v>
      </c>
      <c r="F586" s="485" cm="1">
        <f t="array" ref="F586">_xlfn.XLOOKUP(1,($B586=DistributionZone)*($C586=CustomerType)*($D586=tariffL2)*($F$5=Description),valuesPY)*_xlfn.XLOOKUP(1,($B586=DistributionZone)*($C586=CustomerType)*($D586=tariffL2)*($E586=tariffType)*("Usage proportion"=Description),valuesFY)</f>
        <v>3983.692284866001</v>
      </c>
      <c r="G586" s="570" t="s">
        <v>173</v>
      </c>
      <c r="H586" s="574"/>
      <c r="I586" s="574" cm="1">
        <f t="array" ref="I586">IFERROR(_xlfn.XLOOKUP(1,($B586=DistributionZone)*(I$5=Desc_FixedOrVar)*($G586=Description),valuesPY),0)</f>
        <v>5.0625427163511004E-2</v>
      </c>
      <c r="J586" s="574">
        <f t="shared" si="302"/>
        <v>0.20167612360932446</v>
      </c>
      <c r="K586" s="575" t="str">
        <f>IFERROR(J586/J591,"")</f>
        <v/>
      </c>
      <c r="L586" s="575"/>
      <c r="M586" s="575">
        <f t="shared" si="303"/>
        <v>-1</v>
      </c>
      <c r="N586" s="576"/>
      <c r="O586" s="574"/>
      <c r="P586" s="574" cm="1">
        <f t="array" ref="P586">IFERROR(_xlfn.XLOOKUP(1,($B586=DistributionZone)*(P$5=Desc_FixedOrVar)*($G586=Description),valuesFY),0)</f>
        <v>0</v>
      </c>
      <c r="Q586" s="574">
        <f t="shared" si="304"/>
        <v>0</v>
      </c>
      <c r="R586" s="575">
        <f>IFERROR(Q586/Q591,"")</f>
        <v>0</v>
      </c>
      <c r="S586" s="575"/>
      <c r="T586" s="612"/>
      <c r="U586" s="575"/>
      <c r="V586" s="575"/>
      <c r="W586" s="575"/>
      <c r="X586" s="575"/>
      <c r="Y586" s="575"/>
      <c r="Z586" s="575"/>
      <c r="AA586" s="575"/>
      <c r="AB586" s="575"/>
      <c r="AC586" s="575"/>
      <c r="AD586" s="575"/>
      <c r="AE586" s="575"/>
      <c r="AF586" s="575"/>
      <c r="AG586" s="575"/>
      <c r="AH586" s="575"/>
      <c r="AI586" s="575"/>
      <c r="AJ586" s="575"/>
    </row>
    <row r="587" spans="2:36" s="570" customFormat="1" x14ac:dyDescent="0.35">
      <c r="B587" s="570" t="str">
        <f t="shared" si="291"/>
        <v>SAPN</v>
      </c>
      <c r="C587" s="570" t="str">
        <f t="shared" si="292"/>
        <v>Small business</v>
      </c>
      <c r="D587" s="570" t="str">
        <f t="shared" si="293"/>
        <v>time of use</v>
      </c>
      <c r="E587" s="570" t="s">
        <v>284</v>
      </c>
      <c r="F587" s="485" cm="1">
        <f t="array" ref="F587">_xlfn.XLOOKUP(1,($B587=DistributionZone)*($C587=CustomerType)*($D587=tariffL2)*($F$5=Description),valuesPY)*_xlfn.XLOOKUP(1,($B587=DistributionZone)*($C587=CustomerType)*($D587=tariffL2)*($E587=tariffType)*("Usage proportion"=Description),valuesFY)</f>
        <v>3983.692284866001</v>
      </c>
      <c r="G587" s="570" t="s">
        <v>130</v>
      </c>
      <c r="H587" s="574"/>
      <c r="I587" s="574" cm="1">
        <f t="array" ref="I587">IFERROR(_xlfn.XLOOKUP(1,($B587=DistributionZone)*(I$5=Desc_FixedOrVar)*($G587=Description),valuesPY),0)</f>
        <v>3.6927728105909479</v>
      </c>
      <c r="J587" s="574">
        <f t="shared" si="302"/>
        <v>14.710870555314097</v>
      </c>
      <c r="K587" s="575" t="str">
        <f>IFERROR(J587/J591,"")</f>
        <v/>
      </c>
      <c r="L587" s="575"/>
      <c r="M587" s="575">
        <f t="shared" si="303"/>
        <v>-4.5781075827627804E-2</v>
      </c>
      <c r="N587" s="576"/>
      <c r="O587" s="574"/>
      <c r="P587" s="574" cm="1">
        <f t="array" ref="P587">IFERROR(_xlfn.XLOOKUP(1,($B587=DistributionZone)*(P$5=Desc_FixedOrVar)*($G587=Description),valuesFY),0)</f>
        <v>3.5237136985350812</v>
      </c>
      <c r="Q587" s="574">
        <f t="shared" si="304"/>
        <v>14.037391074930845</v>
      </c>
      <c r="R587" s="575">
        <f>IFERROR(Q587/Q591,"")</f>
        <v>2.170429136871474E-2</v>
      </c>
      <c r="S587" s="575"/>
      <c r="T587" s="612"/>
      <c r="U587" s="575"/>
      <c r="V587" s="575"/>
      <c r="W587" s="575"/>
      <c r="X587" s="575"/>
      <c r="Y587" s="575"/>
      <c r="Z587" s="575"/>
      <c r="AA587" s="575"/>
      <c r="AB587" s="575"/>
      <c r="AC587" s="575"/>
      <c r="AD587" s="575"/>
      <c r="AE587" s="575"/>
      <c r="AF587" s="575"/>
      <c r="AG587" s="575"/>
      <c r="AH587" s="575"/>
      <c r="AI587" s="575"/>
      <c r="AJ587" s="575"/>
    </row>
    <row r="588" spans="2:36" s="570" customFormat="1" x14ac:dyDescent="0.35">
      <c r="B588" s="570" t="str">
        <f t="shared" si="291"/>
        <v>SAPN</v>
      </c>
      <c r="C588" s="570" t="str">
        <f t="shared" si="292"/>
        <v>Small business</v>
      </c>
      <c r="D588" s="570" t="str">
        <f t="shared" si="293"/>
        <v>time of use</v>
      </c>
      <c r="E588" s="570" t="s">
        <v>284</v>
      </c>
      <c r="F588" s="485" cm="1">
        <f t="array" ref="F588">_xlfn.XLOOKUP(1,($B588=DistributionZone)*($C588=CustomerType)*($D588=tariffL2)*($F$5=Description),valuesPY)*_xlfn.XLOOKUP(1,($B588=DistributionZone)*($C588=CustomerType)*($D588=tariffL2)*($E588=tariffType)*("Usage proportion"=Description),valuesFY)</f>
        <v>3983.692284866001</v>
      </c>
      <c r="G588" s="570" t="s">
        <v>302</v>
      </c>
      <c r="H588" s="574"/>
      <c r="I588" s="574"/>
      <c r="J588" s="574"/>
      <c r="K588" s="575"/>
      <c r="L588" s="575"/>
      <c r="M588" s="575"/>
      <c r="N588" s="576"/>
      <c r="O588" s="574"/>
      <c r="P588" s="574" cm="1">
        <f t="array" ref="P588">IFERROR(_xlfn.XLOOKUP(1,($B588=DistributionZone)*($P$5=Desc_FixedOrVar)*($D588=tariffL2)*($G588=Description),valuesFY),0)</f>
        <v>1.0139999999999987</v>
      </c>
      <c r="Q588" s="574">
        <f t="shared" ref="Q588" si="305">IF(AND(O588="",P588=""),"",O588+P588*$F588/1000)</f>
        <v>4.0394639768541198</v>
      </c>
      <c r="R588" s="575">
        <f>IFERROR(Q588/Q591,"")</f>
        <v>6.2457263361169781E-3</v>
      </c>
      <c r="S588" s="575"/>
      <c r="T588" s="612"/>
      <c r="U588" s="575"/>
      <c r="V588" s="575"/>
      <c r="W588" s="575"/>
      <c r="X588" s="575"/>
      <c r="Y588" s="575"/>
      <c r="Z588" s="575"/>
      <c r="AA588" s="575"/>
      <c r="AB588" s="575"/>
      <c r="AC588" s="575"/>
      <c r="AD588" s="575"/>
      <c r="AE588" s="575"/>
      <c r="AF588" s="575"/>
      <c r="AG588" s="575"/>
      <c r="AH588" s="575"/>
      <c r="AI588" s="575"/>
      <c r="AJ588" s="575"/>
    </row>
    <row r="589" spans="2:36" s="570" customFormat="1" x14ac:dyDescent="0.35">
      <c r="B589" s="570" t="str">
        <f>B587</f>
        <v>SAPN</v>
      </c>
      <c r="C589" s="570" t="str">
        <f>C587</f>
        <v>Small business</v>
      </c>
      <c r="D589" s="570" t="str">
        <f>D587</f>
        <v>time of use</v>
      </c>
      <c r="E589" s="570" t="s">
        <v>284</v>
      </c>
      <c r="F589" s="485" cm="1">
        <f t="array" ref="F589">_xlfn.XLOOKUP(1,($B589=DistributionZone)*($C589=CustomerType)*($D589=tariffL2)*($F$5=Description),valuesPY)*_xlfn.XLOOKUP(1,($B589=DistributionZone)*($C589=CustomerType)*($D589=tariffL2)*($E589=tariffType)*("Usage proportion"=Description),valuesFY)</f>
        <v>3983.692284866001</v>
      </c>
      <c r="G589" s="570" t="s">
        <v>157</v>
      </c>
      <c r="H589" s="574"/>
      <c r="I589" s="574" cm="1">
        <f t="array" ref="I589">IFERROR(_xlfn.XLOOKUP(1,($B589=DistributionZone)*(I$5=Desc_FixedOrVar)*($G589=Description),valuesPY),0)</f>
        <v>5.712785518640878</v>
      </c>
      <c r="J589" s="574">
        <f t="shared" si="302"/>
        <v>22.75797959570388</v>
      </c>
      <c r="K589" s="575" t="str">
        <f>IFERROR(J589/J592,"")</f>
        <v/>
      </c>
      <c r="L589" s="575"/>
      <c r="M589" s="575">
        <f t="shared" si="303"/>
        <v>-0.78484131590226114</v>
      </c>
      <c r="N589" s="576"/>
      <c r="O589" s="574"/>
      <c r="P589" s="574" cm="1">
        <f t="array" ref="P589">IFERROR(_xlfn.XLOOKUP(1,($B589=DistributionZone)*(P$5=Desc_FixedOrVar)*($G589=Description),valuesFY),0)</f>
        <v>1.2291554147233901</v>
      </c>
      <c r="Q589" s="574">
        <f t="shared" si="304"/>
        <v>4.8965769425348391</v>
      </c>
      <c r="R589" s="575">
        <f>IFERROR(Q589/Q591,"")</f>
        <v>7.570974699130842E-3</v>
      </c>
      <c r="S589" s="575"/>
      <c r="T589" s="612"/>
      <c r="U589" s="575"/>
      <c r="V589" s="575"/>
      <c r="W589" s="575"/>
      <c r="X589" s="575"/>
      <c r="Y589" s="575"/>
      <c r="Z589" s="575"/>
      <c r="AA589" s="575"/>
      <c r="AB589" s="575"/>
      <c r="AC589" s="575"/>
      <c r="AD589" s="575"/>
      <c r="AE589" s="575"/>
      <c r="AF589" s="575"/>
      <c r="AG589" s="575"/>
      <c r="AH589" s="575"/>
      <c r="AI589" s="575"/>
      <c r="AJ589" s="575"/>
    </row>
    <row r="590" spans="2:36" s="570" customFormat="1" x14ac:dyDescent="0.35">
      <c r="B590" s="570" t="str">
        <f t="shared" si="291"/>
        <v>SAPN</v>
      </c>
      <c r="C590" s="570" t="str">
        <f t="shared" si="292"/>
        <v>Small business</v>
      </c>
      <c r="D590" s="570" t="str">
        <f t="shared" si="293"/>
        <v>time of use</v>
      </c>
      <c r="E590" s="570" t="s">
        <v>284</v>
      </c>
      <c r="F590" s="485" cm="1">
        <f t="array" ref="F590">_xlfn.XLOOKUP(1,($B590=DistributionZone)*($C590=CustomerType)*($D590=tariffL2)*($F$5=Description),valuesPY)*_xlfn.XLOOKUP(1,($B590=DistributionZone)*($C590=CustomerType)*($D590=tariffL2)*($E590=tariffType)*("Usage proportion"=Description),valuesFY)</f>
        <v>3983.692284866001</v>
      </c>
      <c r="G590" s="570" t="s">
        <v>72</v>
      </c>
      <c r="H590" s="574"/>
      <c r="I590" s="574" cm="1">
        <f t="array" ref="I590">IFERROR(_xlfn.XLOOKUP(1,($B590=DistributionZone)*($C590=CustomerType)*($D590=tariffL2)*($G590=Description),valuesPY),0)*SUM(I582:I589)</f>
        <v>0</v>
      </c>
      <c r="J590" s="574">
        <f>IF(AND(H590="",I590=""),"",H590+I590*F590/1000)</f>
        <v>0</v>
      </c>
      <c r="K590" s="575" t="str">
        <f>IFERROR(J590/J591,"")</f>
        <v/>
      </c>
      <c r="L590" s="575"/>
      <c r="M590" s="575" t="str">
        <f t="shared" si="303"/>
        <v/>
      </c>
      <c r="N590" s="576"/>
      <c r="O590" s="574"/>
      <c r="P590" s="574" cm="1">
        <f t="array" ref="P590">IFERROR(_xlfn.XLOOKUP(1,($B590=DistributionZone)*($C590=CustomerType)*("Losses"=Description)*($D590=tariffType)*($P$5=Desc_FixedOrVar),valuesFY),0)*SUM(P582:P589)</f>
        <v>16.685237664107444</v>
      </c>
      <c r="Q590" s="574">
        <f t="shared" si="304"/>
        <v>66.46885255366044</v>
      </c>
      <c r="R590" s="575">
        <f>IFERROR(Q590/Q591,"")</f>
        <v>0.1027726117387445</v>
      </c>
      <c r="S590" s="575"/>
      <c r="T590" s="612"/>
      <c r="U590" s="575"/>
      <c r="V590" s="575"/>
      <c r="W590" s="575"/>
      <c r="X590" s="575"/>
      <c r="Y590" s="575"/>
      <c r="Z590" s="575"/>
      <c r="AA590" s="575"/>
      <c r="AB590" s="575"/>
      <c r="AC590" s="575"/>
      <c r="AD590" s="575"/>
      <c r="AE590" s="575"/>
      <c r="AF590" s="575"/>
      <c r="AG590" s="575"/>
      <c r="AH590" s="575"/>
      <c r="AI590" s="575"/>
      <c r="AJ590" s="575"/>
    </row>
    <row r="591" spans="2:36" s="570" customFormat="1" x14ac:dyDescent="0.35">
      <c r="B591" s="570" t="str">
        <f t="shared" si="291"/>
        <v>SAPN</v>
      </c>
      <c r="C591" s="570" t="str">
        <f t="shared" si="292"/>
        <v>Small business</v>
      </c>
      <c r="D591" s="570" t="str">
        <f t="shared" si="293"/>
        <v>time of use</v>
      </c>
      <c r="E591" s="570" t="s">
        <v>284</v>
      </c>
      <c r="F591" s="485"/>
      <c r="G591" s="571" t="s">
        <v>55</v>
      </c>
      <c r="H591" s="574"/>
      <c r="I591" s="487">
        <f>IF($H$3=PY,0,SUM(I582:I590))</f>
        <v>0</v>
      </c>
      <c r="J591" s="487">
        <f>IF($H$3=PY,0,SUM(J582:J590))</f>
        <v>0</v>
      </c>
      <c r="K591" s="578"/>
      <c r="L591" s="578"/>
      <c r="M591" s="578"/>
      <c r="N591" s="624"/>
      <c r="O591" s="577"/>
      <c r="P591" s="577">
        <f>SUM(P582:P590)</f>
        <v>162.35101338596451</v>
      </c>
      <c r="Q591" s="577">
        <f>SUM(Q582:Q590)</f>
        <v>646.75647946584377</v>
      </c>
      <c r="R591" s="575"/>
      <c r="S591" s="575"/>
      <c r="T591" s="612"/>
      <c r="U591" s="575"/>
      <c r="V591" s="575"/>
      <c r="W591" s="575"/>
      <c r="X591" s="575"/>
      <c r="Y591" s="575"/>
      <c r="Z591" s="575"/>
      <c r="AA591" s="575"/>
      <c r="AB591" s="575"/>
      <c r="AC591" s="575"/>
      <c r="AD591" s="575"/>
      <c r="AE591" s="575"/>
      <c r="AF591" s="575"/>
      <c r="AG591" s="575"/>
      <c r="AH591" s="575"/>
      <c r="AI591" s="575"/>
      <c r="AJ591" s="575"/>
    </row>
    <row r="592" spans="2:36" s="570" customFormat="1" x14ac:dyDescent="0.35">
      <c r="B592" s="570" t="str">
        <f t="shared" si="291"/>
        <v>SAPN</v>
      </c>
      <c r="C592" s="570" t="str">
        <f t="shared" si="292"/>
        <v>Small business</v>
      </c>
      <c r="D592" s="570" t="str">
        <f t="shared" si="293"/>
        <v>time of use</v>
      </c>
      <c r="E592" s="570" t="s">
        <v>272</v>
      </c>
      <c r="F592" s="485" cm="1">
        <f t="array" ref="F592">_xlfn.XLOOKUP(1,($B592=DistributionZone)*($C592=CustomerType)*($D592=tariffL2)*($F$5=Description),valuesPY)</f>
        <v>10000</v>
      </c>
      <c r="G592" s="571" t="s">
        <v>55</v>
      </c>
      <c r="H592" s="577">
        <f>IF(H3=PY,0,SUM(H582:H590,H572:H580,H562:H570))</f>
        <v>0</v>
      </c>
      <c r="I592" s="577"/>
      <c r="J592" s="577">
        <f>SUM(J571,J581,J591)</f>
        <v>0</v>
      </c>
      <c r="K592" s="578"/>
      <c r="L592" s="579"/>
      <c r="M592" s="578" t="str">
        <f>IF(OR(J592=0,Q592=""),"",Q592/J592-1)</f>
        <v/>
      </c>
      <c r="N592" s="580"/>
      <c r="O592" s="577">
        <f>SUM(O562:O590)</f>
        <v>13.125399999999999</v>
      </c>
      <c r="P592" s="577"/>
      <c r="Q592" s="577">
        <f>SUM(Q571,Q581,Q591)</f>
        <v>1895.7766052218401</v>
      </c>
      <c r="R592" s="578"/>
      <c r="S592" s="578"/>
      <c r="T592" s="621"/>
      <c r="U592" s="578"/>
      <c r="V592" s="578"/>
      <c r="W592" s="578"/>
      <c r="X592" s="578"/>
      <c r="Y592" s="578"/>
      <c r="Z592" s="578"/>
      <c r="AA592" s="578"/>
      <c r="AB592" s="578"/>
      <c r="AC592" s="578"/>
      <c r="AD592" s="578"/>
      <c r="AE592" s="578"/>
      <c r="AF592" s="578"/>
      <c r="AG592" s="578"/>
      <c r="AH592" s="578"/>
      <c r="AI592" s="578"/>
      <c r="AJ592" s="578"/>
    </row>
    <row r="593" spans="2:36" s="570" customFormat="1" x14ac:dyDescent="0.35">
      <c r="B593" s="570" t="str">
        <f t="shared" si="291"/>
        <v>SAPN</v>
      </c>
      <c r="C593" s="570" t="str">
        <f t="shared" si="292"/>
        <v>Small business</v>
      </c>
      <c r="D593" s="570" t="str">
        <f t="shared" si="293"/>
        <v>time of use</v>
      </c>
      <c r="F593" s="485"/>
      <c r="G593" s="570" t="s">
        <v>38</v>
      </c>
      <c r="H593" s="574"/>
      <c r="I593" s="574"/>
      <c r="J593" s="574">
        <f>J592*GST</f>
        <v>0</v>
      </c>
      <c r="K593" s="575"/>
      <c r="L593" s="581"/>
      <c r="M593" s="575"/>
      <c r="N593" s="582"/>
      <c r="O593" s="574"/>
      <c r="P593" s="574"/>
      <c r="Q593" s="574">
        <f>Q592*GST</f>
        <v>189.57766052218403</v>
      </c>
      <c r="R593" s="578"/>
      <c r="S593" s="578"/>
      <c r="T593" s="621"/>
      <c r="U593" s="578"/>
      <c r="V593" s="578"/>
      <c r="W593" s="578"/>
      <c r="X593" s="578"/>
      <c r="Y593" s="578"/>
      <c r="Z593" s="578"/>
      <c r="AA593" s="578"/>
      <c r="AB593" s="578"/>
      <c r="AC593" s="578"/>
      <c r="AD593" s="578"/>
      <c r="AE593" s="578"/>
      <c r="AF593" s="578"/>
      <c r="AG593" s="578"/>
      <c r="AH593" s="578"/>
      <c r="AI593" s="578"/>
      <c r="AJ593" s="578"/>
    </row>
    <row r="594" spans="2:36" s="570" customFormat="1" x14ac:dyDescent="0.35">
      <c r="B594" s="570" t="str">
        <f t="shared" si="291"/>
        <v>SAPN</v>
      </c>
      <c r="C594" s="570" t="str">
        <f t="shared" si="292"/>
        <v>Small business</v>
      </c>
      <c r="D594" s="570" t="str">
        <f t="shared" si="293"/>
        <v>time of use</v>
      </c>
      <c r="E594" s="570" t="s">
        <v>272</v>
      </c>
      <c r="F594" s="485" cm="1">
        <f t="array" ref="F594">_xlfn.XLOOKUP(1,($B594=DistributionZone)*($C594=CustomerType)*($D594=tariffL2)*($F$5=Description),valuesPY)</f>
        <v>10000</v>
      </c>
      <c r="G594" s="571" t="s">
        <v>79</v>
      </c>
      <c r="H594" s="577"/>
      <c r="I594" s="577"/>
      <c r="J594" s="577">
        <f>SUM(J592:J593)</f>
        <v>0</v>
      </c>
      <c r="K594" s="578"/>
      <c r="L594" s="579"/>
      <c r="M594" s="578" t="str">
        <f>IF(OR(J594=0,Q594=""),"",Q594/J594-1)</f>
        <v/>
      </c>
      <c r="N594" s="580"/>
      <c r="O594" s="577"/>
      <c r="P594" s="577"/>
      <c r="Q594" s="577">
        <f>SUM(Q592:Q593)</f>
        <v>2085.3542657440239</v>
      </c>
      <c r="R594" s="578"/>
      <c r="S594" s="578"/>
      <c r="T594" s="621"/>
      <c r="U594" s="578"/>
      <c r="V594" s="578"/>
      <c r="W594" s="578"/>
      <c r="X594" s="578"/>
      <c r="Y594" s="578"/>
      <c r="Z594" s="578"/>
      <c r="AA594" s="578"/>
      <c r="AB594" s="578"/>
      <c r="AC594" s="578"/>
      <c r="AD594" s="578"/>
      <c r="AE594" s="578"/>
      <c r="AF594" s="578"/>
      <c r="AG594" s="578"/>
      <c r="AH594" s="578"/>
      <c r="AI594" s="578"/>
      <c r="AJ594" s="578"/>
    </row>
    <row r="595" spans="2:36" x14ac:dyDescent="0.35">
      <c r="F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row>
    <row r="596" spans="2:36" x14ac:dyDescent="0.35">
      <c r="F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row>
    <row r="597" spans="2:36" x14ac:dyDescent="0.35">
      <c r="F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row>
    <row r="598" spans="2:36" x14ac:dyDescent="0.35">
      <c r="F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row>
    <row r="599" spans="2:36" x14ac:dyDescent="0.35">
      <c r="F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row>
    <row r="600" spans="2:36" x14ac:dyDescent="0.35">
      <c r="F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row>
    <row r="601" spans="2:36" x14ac:dyDescent="0.35">
      <c r="F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row>
    <row r="602" spans="2:36" x14ac:dyDescent="0.35">
      <c r="F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row>
    <row r="603" spans="2:36" x14ac:dyDescent="0.35">
      <c r="F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row>
    <row r="604" spans="2:36" x14ac:dyDescent="0.35">
      <c r="F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row>
    <row r="605" spans="2:36" x14ac:dyDescent="0.35">
      <c r="F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row>
  </sheetData>
  <sheetProtection algorithmName="SHA-256" hashValue="Xo+U7B3OuEzpwrZYj00oHA2r6+tQOjRTuQH7Ie7q36k=" saltValue="oR8W6HcbixVp39KkGwZ0Uw==" spinCount="100000" sheet="1" autoFilter="0"/>
  <mergeCells count="3">
    <mergeCell ref="O3:R3"/>
    <mergeCell ref="H3:K3"/>
    <mergeCell ref="A1:B1"/>
  </mergeCells>
  <phoneticPr fontId="13" type="noConversion"/>
  <conditionalFormatting sqref="B7:D36 B69:D75 B77:D80 B137:D142 B215:D220 B561:D568 B570:D578 B580:D588 B590:D594">
    <cfRule type="expression" dxfId="869" priority="92">
      <formula>AND(B7=B6,MOD(ROW(),2)=0)</formula>
    </cfRule>
    <cfRule type="expression" dxfId="868" priority="91">
      <formula>AND(B7=B6,MOD(ROW(),2)=1)</formula>
    </cfRule>
  </conditionalFormatting>
  <conditionalFormatting sqref="B14:D17 B74:D76 B143:D143 B221:D221 B569:D569 B579:D579 B589:D589">
    <cfRule type="expression" dxfId="867" priority="93">
      <formula>AND(B14=B12,MOD(ROW(),2)=1)</formula>
    </cfRule>
    <cfRule type="expression" dxfId="866" priority="94">
      <formula>AND(B14=B12,MOD(ROW(),2)=0)</formula>
    </cfRule>
  </conditionalFormatting>
  <conditionalFormatting sqref="B17:D18">
    <cfRule type="expression" dxfId="865" priority="6746">
      <formula>AND(B17=B14,MOD(ROW(),2)=1)</formula>
    </cfRule>
    <cfRule type="expression" dxfId="864" priority="6747">
      <formula>AND(B17=B14,MOD(ROW(),2)=0)</formula>
    </cfRule>
  </conditionalFormatting>
  <conditionalFormatting sqref="B19:D19 B42:D43 B51:D53 B60:D62 B87:D89 B165:D167 B174:D176 B188:D190 B242:D244 B279:D281 B288:D290 B315:D317 B338:D340 B384:D386 B393:D395 B407:D409 B134:D134 B212:D212 B230:D230 B125:D125 B152:D152 B203:D203 B257:D257 B266:D266 B422:D422 B431:D431 B440:D440 B454:D454 B468:D468 B478:D478 B488:D488 B504:D504 B555:D555">
    <cfRule type="expression" dxfId="863" priority="2774">
      <formula>AND(B19=B17,MOD(ROW(),2)=0)</formula>
    </cfRule>
  </conditionalFormatting>
  <conditionalFormatting sqref="B23:D42 X125:AJ125 B328:D330">
    <cfRule type="expression" dxfId="862" priority="139">
      <formula>MOD(ROW(),2)=0</formula>
    </cfRule>
  </conditionalFormatting>
  <conditionalFormatting sqref="B29:D29 C296:D296 B446:C446 B491:D491 B53:D53 B62:D62 B89:D89 B125:D125 B134:D134 B152:D152 B167:D167 B176:D176 B190:D190 B203:D203 B212:D212 B230:D230 B244:D244 B257:D257 B266:D266 B281:D281 B290:D290 B317:D317 B340:D340 B386:D386 B395:D395 B409:D409 B422:D422 B431:D431 B440:D440 B454:D454 B468:D468 B478:D478 B488:D488 B504:D504 B555:D555 B112:D112 B98:D98 B326:D326 B304:D304 B17:D17 B143:D143 B221:D221">
    <cfRule type="expression" dxfId="861" priority="5076">
      <formula>AND(B17=B15,MOD(ROW(),2)=1)</formula>
    </cfRule>
  </conditionalFormatting>
  <conditionalFormatting sqref="B37:D38">
    <cfRule type="expression" dxfId="860" priority="100">
      <formula>AND(B37=B35,MOD(ROW(),2)=0)</formula>
    </cfRule>
    <cfRule type="expression" dxfId="859" priority="101">
      <formula>AND(B37=B35,MOD(ROW(),2)=1)</formula>
    </cfRule>
  </conditionalFormatting>
  <conditionalFormatting sqref="B39:D43 B45:D52 B54:D61 B63:D67 B82:D88 B90:D97 B99:D111 B113:D115 B117:D124 B126:D133 B135:D142 B144:D151 B153:D166 B168:D175 B177:D189 B191:D202 B204:D211 B213:D220 B222:D229 B231:D234 B236:D243 B245:D256 B258:D265 B267:D270 B272:D280 B282:D289 B291:D295 C296:D296 B297:D303 B305:D307 B310:D316 B318:D325 B327:D339 B341:D345 B378:D385 B387:D394 B396:D408 B410:D421 B423:D430 B432:D439 B441:D444 B447:D453 B455:D467 B469:D477 B479:D487 B489:D493 B495:D503 B505:D546 B548:D554 B556:D559">
    <cfRule type="expression" dxfId="858" priority="956">
      <formula>AND(B39=B38,MOD(ROW(),2)=0)</formula>
    </cfRule>
  </conditionalFormatting>
  <conditionalFormatting sqref="B41:D41">
    <cfRule type="expression" dxfId="857" priority="4844">
      <formula>AND(B41=#REF!,MOD(ROW(),2)=1)</formula>
    </cfRule>
    <cfRule type="expression" dxfId="856" priority="4845">
      <formula>AND(B41=#REF!,MOD(ROW(),2)=0)</formula>
    </cfRule>
  </conditionalFormatting>
  <conditionalFormatting sqref="B42:D43 B51:D52 B60:D61 B87:D88 B165:D166 B174:D175 B188:D189 B242:D243 B279:D280 B288:D289 B315:D316 B338:D339 B384:D385 B393:D394 B407:D408 B19:D19">
    <cfRule type="expression" dxfId="855" priority="2773">
      <formula>AND(B19=B17,MOD(ROW(),2)=1)</formula>
    </cfRule>
  </conditionalFormatting>
  <conditionalFormatting sqref="B44:D44">
    <cfRule type="expression" dxfId="854" priority="4809">
      <formula>AND(B44=B20,MOD(ROW(),2)=0)</formula>
    </cfRule>
    <cfRule type="expression" dxfId="853" priority="4808">
      <formula>AND(B44=B20,MOD(ROW(),2)=1)</formula>
    </cfRule>
  </conditionalFormatting>
  <conditionalFormatting sqref="B81:D81">
    <cfRule type="expression" dxfId="852" priority="5100">
      <formula>AND(B81=B67,MOD(ROW(),2)=0)</formula>
    </cfRule>
    <cfRule type="expression" dxfId="851" priority="5099">
      <formula>AND(B81=B67,MOD(ROW(),2)=1)</formula>
    </cfRule>
  </conditionalFormatting>
  <conditionalFormatting sqref="B96:D97">
    <cfRule type="expression" dxfId="850" priority="184">
      <formula>AND(B96=B94,MOD(ROW(),2)=1)</formula>
    </cfRule>
  </conditionalFormatting>
  <conditionalFormatting sqref="B96:D98">
    <cfRule type="expression" dxfId="849" priority="185">
      <formula>AND(B96=B94,MOD(ROW(),2)=0)</formula>
    </cfRule>
  </conditionalFormatting>
  <conditionalFormatting sqref="B99:D111 B126:D133 B479:D487 B135:D142 B144:D151 B153:D166 B213:D220 B204:D211 B222:D229 B231:D234 B455:D467 B469:D477 B90:D97 B318:D325 B297:D303 C296:D296 B39:D43 B45:D52 B54:D61 B63:D67 B82:D88 B113:D115 B117:D124 B168:D175 B177:D189 B191:D202 B236:D243 B245:D256 B258:D265 B267:D270 B272:D280 B282:D289 B291:D295 B305:D307 B310:D316 B327:D339 B341:D345 B378:D385 B387:D394 B396:D408 B410:D421 B423:D430 B432:D439 B441:D444 B447:D453 B489:D493 B495:D503 B505:D546 B548:D554 B556:D559">
    <cfRule type="expression" dxfId="848" priority="955">
      <formula>AND(B39=B38,MOD(ROW(),2)=1)</formula>
    </cfRule>
  </conditionalFormatting>
  <conditionalFormatting sqref="B100:D100">
    <cfRule type="expression" dxfId="847" priority="5095">
      <formula>AND(B100=#REF!,MOD(ROW(),2)=0)</formula>
    </cfRule>
    <cfRule type="expression" dxfId="846" priority="5098">
      <formula>AND(B100=#REF!,MOD(ROW(),2)=1)</formula>
    </cfRule>
    <cfRule type="expression" dxfId="845" priority="5091">
      <formula>AND(B100=B89,MOD(ROW(),2)=0)</formula>
    </cfRule>
    <cfRule type="expression" dxfId="844" priority="5090">
      <formula>AND(B100=B89,MOD(ROW(),2)=1)</formula>
    </cfRule>
  </conditionalFormatting>
  <conditionalFormatting sqref="B110:D111">
    <cfRule type="expression" dxfId="843" priority="332">
      <formula>AND(B110=B108,MOD(ROW(),2)=1)</formula>
    </cfRule>
  </conditionalFormatting>
  <conditionalFormatting sqref="B110:D112">
    <cfRule type="expression" dxfId="842" priority="333">
      <formula>AND(B110=B108,MOD(ROW(),2)=0)</formula>
    </cfRule>
  </conditionalFormatting>
  <conditionalFormatting sqref="B116:D116">
    <cfRule type="expression" dxfId="841" priority="4950">
      <formula>AND(B116=B102,MOD(ROW(),2)=1)</formula>
    </cfRule>
    <cfRule type="expression" dxfId="840" priority="4951">
      <formula>AND(B116=B102,MOD(ROW(),2)=0)</formula>
    </cfRule>
  </conditionalFormatting>
  <conditionalFormatting sqref="B127:D127">
    <cfRule type="expression" dxfId="839" priority="5044">
      <formula>AND(B127=B118,MOD(ROW(),2)=1)</formula>
    </cfRule>
    <cfRule type="expression" dxfId="838" priority="5043">
      <formula>AND(B127=B118,MOD(ROW(),2)=0)</formula>
    </cfRule>
  </conditionalFormatting>
  <conditionalFormatting sqref="B128:D133 B480:D480">
    <cfRule type="expression" dxfId="837" priority="296">
      <formula>AND(B128=B127,MOD(ROW(),2)=0)</formula>
    </cfRule>
    <cfRule type="expression" dxfId="836" priority="295">
      <formula>AND(B128=B127,MOD(ROW(),2)=1)</formula>
    </cfRule>
  </conditionalFormatting>
  <conditionalFormatting sqref="B134:D134">
    <cfRule type="expression" dxfId="835" priority="287">
      <formula>AND(B134=#REF!,MOD(ROW(),2)=0)</formula>
    </cfRule>
    <cfRule type="expression" dxfId="834" priority="288">
      <formula>AND(B134=#REF!,MOD(ROW(),2)=1)</formula>
    </cfRule>
  </conditionalFormatting>
  <conditionalFormatting sqref="B135:D135">
    <cfRule type="expression" dxfId="833" priority="291">
      <formula>AND(B135=B132,MOD(ROW(),2)=1)</formula>
    </cfRule>
    <cfRule type="expression" dxfId="832" priority="292">
      <formula>AND(B135=B132,MOD(ROW(),2)=0)</formula>
    </cfRule>
  </conditionalFormatting>
  <conditionalFormatting sqref="B136:D136">
    <cfRule type="expression" dxfId="831" priority="5045">
      <formula>AND(B136=B127,MOD(ROW(),2)=0)</formula>
    </cfRule>
    <cfRule type="expression" dxfId="830" priority="5046">
      <formula>AND(B136=B127,MOD(ROW(),2)=1)</formula>
    </cfRule>
  </conditionalFormatting>
  <conditionalFormatting sqref="B144:D144">
    <cfRule type="expression" dxfId="829" priority="290">
      <formula>AND(B144=B141,MOD(ROW(),2)=0)</formula>
    </cfRule>
    <cfRule type="expression" dxfId="828" priority="289">
      <formula>AND(B144=B141,MOD(ROW(),2)=1)</formula>
    </cfRule>
  </conditionalFormatting>
  <conditionalFormatting sqref="B145:D145">
    <cfRule type="expression" dxfId="827" priority="5042">
      <formula>AND(B145=B136,MOD(ROW(),2)=1)</formula>
    </cfRule>
    <cfRule type="expression" dxfId="826" priority="5039">
      <formula>AND(B145=B136,MOD(ROW(),2)=0)</formula>
    </cfRule>
  </conditionalFormatting>
  <conditionalFormatting sqref="B152:D154">
    <cfRule type="expression" dxfId="825" priority="283">
      <formula>AND(B152=#REF!,MOD(ROW(),2)=0)</formula>
    </cfRule>
  </conditionalFormatting>
  <conditionalFormatting sqref="B153:D154">
    <cfRule type="expression" dxfId="824" priority="284">
      <formula>AND(B153=#REF!,MOD(ROW(),2)=1)</formula>
    </cfRule>
  </conditionalFormatting>
  <conditionalFormatting sqref="B154:D154">
    <cfRule type="expression" dxfId="823" priority="4970">
      <formula>AND(B154=#REF!,MOD(ROW(),2)=1)</formula>
    </cfRule>
    <cfRule type="expression" dxfId="822" priority="4971">
      <formula>AND(B154=#REF!,MOD(ROW(),2)=0)</formula>
    </cfRule>
  </conditionalFormatting>
  <conditionalFormatting sqref="B205:D205">
    <cfRule type="expression" dxfId="821" priority="265">
      <formula>AND(B205=B196,MOD(ROW(),2)=0)</formula>
    </cfRule>
    <cfRule type="expression" dxfId="820" priority="266">
      <formula>AND(B205=B196,MOD(ROW(),2)=1)</formula>
    </cfRule>
  </conditionalFormatting>
  <conditionalFormatting sqref="B206:D211">
    <cfRule type="expression" dxfId="819" priority="258">
      <formula>AND(B206=B205,MOD(ROW(),2)=0)</formula>
    </cfRule>
    <cfRule type="expression" dxfId="818" priority="257">
      <formula>AND(B206=B205,MOD(ROW(),2)=1)</formula>
    </cfRule>
  </conditionalFormatting>
  <conditionalFormatting sqref="B212:D212">
    <cfRule type="expression" dxfId="817" priority="251">
      <formula>AND(B212=#REF!,MOD(ROW(),2)=0)</formula>
    </cfRule>
    <cfRule type="expression" dxfId="816" priority="252">
      <formula>AND(B212=#REF!,MOD(ROW(),2)=1)</formula>
    </cfRule>
  </conditionalFormatting>
  <conditionalFormatting sqref="B213:D213">
    <cfRule type="expression" dxfId="815" priority="256">
      <formula>AND(B213=B210,MOD(ROW(),2)=0)</formula>
    </cfRule>
    <cfRule type="expression" dxfId="814" priority="255">
      <formula>AND(B213=B210,MOD(ROW(),2)=1)</formula>
    </cfRule>
  </conditionalFormatting>
  <conditionalFormatting sqref="B214:D214">
    <cfRule type="expression" dxfId="813" priority="267">
      <formula>AND(B214=B205,MOD(ROW(),2)=0)</formula>
    </cfRule>
    <cfRule type="expression" dxfId="812" priority="268">
      <formula>AND(B214=B205,MOD(ROW(),2)=1)</formula>
    </cfRule>
  </conditionalFormatting>
  <conditionalFormatting sqref="B222:D222">
    <cfRule type="expression" dxfId="811" priority="253">
      <formula>AND(B222=B219,MOD(ROW(),2)=1)</formula>
    </cfRule>
    <cfRule type="expression" dxfId="810" priority="254">
      <formula>AND(B222=B219,MOD(ROW(),2)=0)</formula>
    </cfRule>
  </conditionalFormatting>
  <conditionalFormatting sqref="B223:D223">
    <cfRule type="expression" dxfId="809" priority="263">
      <formula>AND(B223=B214,MOD(ROW(),2)=0)</formula>
    </cfRule>
    <cfRule type="expression" dxfId="808" priority="264">
      <formula>AND(B223=B214,MOD(ROW(),2)=1)</formula>
    </cfRule>
  </conditionalFormatting>
  <conditionalFormatting sqref="B230:D232">
    <cfRule type="expression" dxfId="807" priority="247">
      <formula>AND(B230=#REF!,MOD(ROW(),2)=0)</formula>
    </cfRule>
    <cfRule type="expression" dxfId="806" priority="248">
      <formula>AND(B230=#REF!,MOD(ROW(),2)=1)</formula>
    </cfRule>
  </conditionalFormatting>
  <conditionalFormatting sqref="B232:D232">
    <cfRule type="expression" dxfId="805" priority="260">
      <formula>AND(B232=#REF!,MOD(ROW(),2)=0)</formula>
    </cfRule>
  </conditionalFormatting>
  <conditionalFormatting sqref="B235:D235">
    <cfRule type="expression" dxfId="804" priority="5068">
      <formula>AND(B235=B193,MOD(ROW(),2)=1)</formula>
    </cfRule>
    <cfRule type="expression" dxfId="803" priority="5065">
      <formula>AND(B235=B193,MOD(ROW(),2)=0)</formula>
    </cfRule>
  </conditionalFormatting>
  <conditionalFormatting sqref="B268:D268 B328:D328">
    <cfRule type="expression" dxfId="802" priority="7564">
      <formula>AND(B268=#REF!,MOD(ROW(),2)=1)</formula>
    </cfRule>
  </conditionalFormatting>
  <conditionalFormatting sqref="B271:D271">
    <cfRule type="expression" dxfId="801" priority="5022">
      <formula>AND(B271=B247,MOD(ROW(),2)=0)</formula>
    </cfRule>
    <cfRule type="expression" dxfId="800" priority="5023">
      <formula>AND(B271=B247,MOD(ROW(),2)=1)</formula>
    </cfRule>
  </conditionalFormatting>
  <conditionalFormatting sqref="B302:D303">
    <cfRule type="expression" dxfId="799" priority="160">
      <formula>AND(B302=B300,MOD(ROW(),2)=1)</formula>
    </cfRule>
  </conditionalFormatting>
  <conditionalFormatting sqref="B302:D304">
    <cfRule type="expression" dxfId="798" priority="161">
      <formula>AND(B302=B300,MOD(ROW(),2)=0)</formula>
    </cfRule>
  </conditionalFormatting>
  <conditionalFormatting sqref="B308:D308">
    <cfRule type="expression" dxfId="797" priority="5110">
      <formula>AND(B308=B295,MOD(ROW(),2)=0)</formula>
    </cfRule>
    <cfRule type="expression" dxfId="796" priority="5108">
      <formula>AND(B308=B295,MOD(ROW(),2)=1)</formula>
    </cfRule>
    <cfRule type="expression" dxfId="795" priority="5106">
      <formula>AND(B308=B296,MOD(ROW(),2)=1)</formula>
    </cfRule>
    <cfRule type="expression" dxfId="794" priority="5104">
      <formula>AND(B308=B296,MOD(ROW(),2)=0)</formula>
    </cfRule>
  </conditionalFormatting>
  <conditionalFormatting sqref="B309:D309">
    <cfRule type="expression" dxfId="793" priority="5102">
      <formula>AND(B309=B295,MOD(ROW(),2)=0)</formula>
    </cfRule>
    <cfRule type="expression" dxfId="792" priority="5101">
      <formula>AND(B309=B295,MOD(ROW(),2)=1)</formula>
    </cfRule>
  </conditionalFormatting>
  <conditionalFormatting sqref="B324:D325">
    <cfRule type="expression" dxfId="791" priority="180">
      <formula>AND(B324=B322,MOD(ROW(),2)=1)</formula>
    </cfRule>
  </conditionalFormatting>
  <conditionalFormatting sqref="B324:D326">
    <cfRule type="expression" dxfId="790" priority="181">
      <formula>AND(B324=B322,MOD(ROW(),2)=0)</formula>
    </cfRule>
  </conditionalFormatting>
  <conditionalFormatting sqref="B328:D328 B268:D268">
    <cfRule type="expression" dxfId="789" priority="7561">
      <formula>AND(B268=#REF!,MOD(ROW(),2)=0)</formula>
    </cfRule>
  </conditionalFormatting>
  <conditionalFormatting sqref="B328:D328">
    <cfRule type="expression" dxfId="788" priority="5093">
      <formula>AND(B328=B317,MOD(ROW(),2)=0)</formula>
    </cfRule>
    <cfRule type="expression" dxfId="787" priority="5092">
      <formula>AND(B328=B317,MOD(ROW(),2)=1)</formula>
    </cfRule>
  </conditionalFormatting>
  <conditionalFormatting sqref="B346:D361 B366:D370 B375:D375">
    <cfRule type="expression" dxfId="786" priority="243">
      <formula>AND(B346=B333,MOD(ROW(),2)=0)</formula>
    </cfRule>
    <cfRule type="expression" dxfId="785" priority="244">
      <formula>AND(B346=B333,MOD(ROW(),2)=1)</formula>
    </cfRule>
  </conditionalFormatting>
  <conditionalFormatting sqref="B362:D365 B371:D374">
    <cfRule type="expression" dxfId="784" priority="6758">
      <formula>AND(B362=B348,MOD(ROW(),2)=0)</formula>
    </cfRule>
    <cfRule type="expression" dxfId="783" priority="6759">
      <formula>AND(B362=B348,MOD(ROW(),2)=1)</formula>
    </cfRule>
  </conditionalFormatting>
  <conditionalFormatting sqref="B376:D376">
    <cfRule type="expression" dxfId="782" priority="4976">
      <formula>AND(B376=B344,MOD(ROW(),2)=1)</formula>
    </cfRule>
    <cfRule type="expression" dxfId="781" priority="4973">
      <formula>AND(B376=B344,MOD(ROW(),2)=0)</formula>
    </cfRule>
  </conditionalFormatting>
  <conditionalFormatting sqref="B462:D462">
    <cfRule type="expression" dxfId="780" priority="233">
      <formula>AND(B462=B452,MOD(ROW(),2)=0)</formula>
    </cfRule>
    <cfRule type="expression" dxfId="779" priority="234">
      <formula>AND(B462=B452,MOD(ROW(),2)=1)</formula>
    </cfRule>
  </conditionalFormatting>
  <conditionalFormatting sqref="B469:D469 B479:D479 B489:D489">
    <cfRule type="expression" dxfId="778" priority="6767">
      <formula>AND(B469=B466,MOD(ROW(),2)=0)</formula>
    </cfRule>
  </conditionalFormatting>
  <conditionalFormatting sqref="B471:D471">
    <cfRule type="expression" dxfId="777" priority="5080">
      <formula>AND(B471=B461,MOD(ROW(),2)=0)</formula>
    </cfRule>
    <cfRule type="expression" dxfId="776" priority="5083">
      <formula>AND(B471=B461,MOD(ROW(),2)=1)</formula>
    </cfRule>
  </conditionalFormatting>
  <conditionalFormatting sqref="B472:D472">
    <cfRule type="expression" dxfId="775" priority="231">
      <formula>AND(B472=B454,MOD(ROW(),2)=0)</formula>
    </cfRule>
    <cfRule type="expression" dxfId="774" priority="232">
      <formula>AND(B472=B454,MOD(ROW(),2)=1)</formula>
    </cfRule>
  </conditionalFormatting>
  <conditionalFormatting sqref="B481:D481">
    <cfRule type="expression" dxfId="773" priority="5084">
      <formula>AND(B481=B471,MOD(ROW(),2)=0)</formula>
    </cfRule>
    <cfRule type="expression" dxfId="772" priority="5086">
      <formula>AND(B481=B471,MOD(ROW(),2)=1)</formula>
    </cfRule>
    <cfRule type="expression" dxfId="771" priority="5088">
      <formula>AND(B481=B461,MOD(ROW(),2)=0)</formula>
    </cfRule>
    <cfRule type="expression" dxfId="770" priority="5089">
      <formula>AND(B481=B461,MOD(ROW(),2)=1)</formula>
    </cfRule>
  </conditionalFormatting>
  <conditionalFormatting sqref="B482:D482">
    <cfRule type="expression" dxfId="769" priority="5025">
      <formula>AND(B482=B461,MOD(ROW(),2)=0)</formula>
    </cfRule>
    <cfRule type="expression" dxfId="768" priority="5028">
      <formula>AND(B482=B461,MOD(ROW(),2)=1)</formula>
    </cfRule>
  </conditionalFormatting>
  <conditionalFormatting sqref="B489:D489 B469:D469 B479:D479">
    <cfRule type="expression" dxfId="767" priority="6760">
      <formula>AND(B469=B466,MOD(ROW(),2)=1)</formula>
    </cfRule>
  </conditionalFormatting>
  <conditionalFormatting sqref="B489:D491 B152:D152">
    <cfRule type="expression" dxfId="766" priority="5037">
      <formula>AND(B152=#REF!,MOD(ROW(),2)=1)</formula>
    </cfRule>
  </conditionalFormatting>
  <conditionalFormatting sqref="B489:D491">
    <cfRule type="expression" dxfId="765" priority="5034">
      <formula>AND(B489=#REF!,MOD(ROW(),2)=0)</formula>
    </cfRule>
  </conditionalFormatting>
  <conditionalFormatting sqref="B491:D491 C296:D296 B29:D29 B446:C446">
    <cfRule type="expression" dxfId="764" priority="5074">
      <formula>AND(B29=B27,MOD(ROW(),2)=0)</formula>
    </cfRule>
  </conditionalFormatting>
  <conditionalFormatting sqref="B491:D491">
    <cfRule type="expression" dxfId="763" priority="5032">
      <formula>AND(B491=#REF!,MOD(ROW(),2)=1)</formula>
    </cfRule>
    <cfRule type="expression" dxfId="762" priority="5030">
      <formula>AND(B491=#REF!,MOD(ROW(),2)=0)</formula>
    </cfRule>
  </conditionalFormatting>
  <conditionalFormatting sqref="B494:D494">
    <cfRule type="expression" dxfId="761" priority="4981">
      <formula>AND(B494=B458,MOD(ROW(),2)=1)</formula>
    </cfRule>
    <cfRule type="expression" dxfId="760" priority="4978">
      <formula>AND(B494=B458,MOD(ROW(),2)=0)</formula>
    </cfRule>
  </conditionalFormatting>
  <conditionalFormatting sqref="B497:D509">
    <cfRule type="expression" dxfId="759" priority="138">
      <formula>MOD(ROW(),2)=0</formula>
    </cfRule>
  </conditionalFormatting>
  <conditionalFormatting sqref="B513:D545">
    <cfRule type="expression" dxfId="758" priority="55">
      <formula>MOD(ROW(),2)=0</formula>
    </cfRule>
  </conditionalFormatting>
  <conditionalFormatting sqref="B547:D547">
    <cfRule type="expression" dxfId="757" priority="7004">
      <formula>AND(B547=B510,MOD(ROW(),2)=1)</formula>
    </cfRule>
    <cfRule type="expression" dxfId="756" priority="7001">
      <formula>AND(B547=B510,MOD(ROW(),2)=0)</formula>
    </cfRule>
  </conditionalFormatting>
  <conditionalFormatting sqref="B497:I503 G504:I506 B504:F507">
    <cfRule type="expression" dxfId="755" priority="157">
      <formula>MOD(ROW(),2)=0</formula>
    </cfRule>
  </conditionalFormatting>
  <conditionalFormatting sqref="B125:V125">
    <cfRule type="expression" dxfId="754" priority="29">
      <formula>MOD(ROW(),2)=0</formula>
    </cfRule>
  </conditionalFormatting>
  <conditionalFormatting sqref="B7:AJ22">
    <cfRule type="expression" dxfId="753" priority="187">
      <formula>MOD(ROW(),2)=0</formula>
    </cfRule>
  </conditionalFormatting>
  <conditionalFormatting sqref="B41:AJ67 C68:AJ68 B83:D102 B197:D234 C296:AJ296 E377:AJ377 B446:C446 E446:AJ446">
    <cfRule type="expression" dxfId="752" priority="298">
      <formula>MOD(ROW(),2)=0</formula>
    </cfRule>
  </conditionalFormatting>
  <conditionalFormatting sqref="B69:AJ101">
    <cfRule type="expression" dxfId="751" priority="1">
      <formula>MOD(ROW(),2)=0</formula>
    </cfRule>
  </conditionalFormatting>
  <conditionalFormatting sqref="B103:AJ124">
    <cfRule type="expression" dxfId="750" priority="116">
      <formula>MOD(ROW(),2)=0</formula>
    </cfRule>
  </conditionalFormatting>
  <conditionalFormatting sqref="B126:AJ233">
    <cfRule type="expression" dxfId="749" priority="22">
      <formula>MOD(ROW(),2)=0</formula>
    </cfRule>
  </conditionalFormatting>
  <conditionalFormatting sqref="B235:AJ295">
    <cfRule type="expression" dxfId="748" priority="20">
      <formula>MOD(ROW(),2)=0</formula>
    </cfRule>
  </conditionalFormatting>
  <conditionalFormatting sqref="B297:AJ329">
    <cfRule type="expression" dxfId="747" priority="18">
      <formula>MOD(ROW(),2)=0</formula>
    </cfRule>
  </conditionalFormatting>
  <conditionalFormatting sqref="B331:AJ376">
    <cfRule type="expression" dxfId="746" priority="15">
      <formula>MOD(ROW(),2)=0</formula>
    </cfRule>
  </conditionalFormatting>
  <conditionalFormatting sqref="B378:AJ444">
    <cfRule type="expression" dxfId="745" priority="12">
      <formula>MOD(ROW(),2)=0</formula>
    </cfRule>
  </conditionalFormatting>
  <conditionalFormatting sqref="B447:AJ496">
    <cfRule type="expression" dxfId="744" priority="3">
      <formula>MOD(ROW(),2)=0</formula>
    </cfRule>
  </conditionalFormatting>
  <conditionalFormatting sqref="B508:AJ510 B511:D511 F511:AJ511 B512:AJ512">
    <cfRule type="expression" dxfId="743" priority="73">
      <formula>MOD(ROW(),2)=0</formula>
    </cfRule>
  </conditionalFormatting>
  <conditionalFormatting sqref="B561:AJ594">
    <cfRule type="expression" dxfId="742" priority="6">
      <formula>MOD(ROW(),2)=0</formula>
    </cfRule>
  </conditionalFormatting>
  <conditionalFormatting sqref="C68:D68">
    <cfRule type="expression" dxfId="741" priority="165">
      <formula>AND(C68=C54,MOD(ROW(),2)=0)</formula>
    </cfRule>
    <cfRule type="expression" dxfId="740" priority="164">
      <formula>AND(C68=C54,MOD(ROW(),2)=1)</formula>
    </cfRule>
  </conditionalFormatting>
  <conditionalFormatting sqref="C296:D296">
    <cfRule type="expression" dxfId="739" priority="158">
      <formula>AND(C296=C282,MOD(ROW(),2)=1)</formula>
    </cfRule>
    <cfRule type="expression" dxfId="738" priority="159">
      <formula>AND(C296=C282,MOD(ROW(),2)=0)</formula>
    </cfRule>
  </conditionalFormatting>
  <conditionalFormatting sqref="D346:D357">
    <cfRule type="expression" dxfId="737" priority="81">
      <formula>AND(D346=D345,MOD(ROW(),2)=0)</formula>
    </cfRule>
    <cfRule type="expression" dxfId="736" priority="80">
      <formula>AND(D346=D345,MOD(ROW(),2)=1)</formula>
    </cfRule>
  </conditionalFormatting>
  <conditionalFormatting sqref="E23:E29 F24:F29 E30:AJ31">
    <cfRule type="expression" dxfId="735" priority="300">
      <formula>MOD(ROW(),2)=0</formula>
    </cfRule>
  </conditionalFormatting>
  <conditionalFormatting sqref="E32:E40">
    <cfRule type="expression" dxfId="734" priority="297">
      <formula>MOD(ROW(),2)=0</formula>
    </cfRule>
  </conditionalFormatting>
  <conditionalFormatting sqref="E513:E543">
    <cfRule type="expression" dxfId="733" priority="34">
      <formula>MOD(ROW(),2)=0</formula>
    </cfRule>
  </conditionalFormatting>
  <conditionalFormatting sqref="E102:AJ102">
    <cfRule type="expression" dxfId="732" priority="142">
      <formula>MOD(ROW(),2)=0</formula>
    </cfRule>
  </conditionalFormatting>
  <conditionalFormatting sqref="E234:AJ234">
    <cfRule type="expression" dxfId="731" priority="148">
      <formula>MOD(ROW(),2)=0</formula>
    </cfRule>
  </conditionalFormatting>
  <conditionalFormatting sqref="E330:AJ330">
    <cfRule type="expression" dxfId="730" priority="146">
      <formula>MOD(ROW(),2)=0</formula>
    </cfRule>
  </conditionalFormatting>
  <conditionalFormatting sqref="E544:AJ545 B546:AJ559">
    <cfRule type="expression" dxfId="729" priority="82">
      <formula>MOD(ROW(),2)=0</formula>
    </cfRule>
  </conditionalFormatting>
  <conditionalFormatting sqref="F33:F40">
    <cfRule type="expression" dxfId="728" priority="118">
      <formula>MOD(ROW(),2)=0</formula>
    </cfRule>
  </conditionalFormatting>
  <conditionalFormatting sqref="F540:F543">
    <cfRule type="expression" dxfId="727" priority="68">
      <formula>MOD(ROW(),2)=0</formula>
    </cfRule>
  </conditionalFormatting>
  <conditionalFormatting sqref="F513:I539">
    <cfRule type="expression" dxfId="726" priority="60">
      <formula>MOD(ROW(),2)=0</formula>
    </cfRule>
  </conditionalFormatting>
  <conditionalFormatting sqref="F23:AJ23 G24:AJ24 F32:J32 K32:K36 G33:J36">
    <cfRule type="expression" dxfId="725" priority="319">
      <formula>MOD(ROW(),2)=0</formula>
    </cfRule>
  </conditionalFormatting>
  <conditionalFormatting sqref="G540:I542">
    <cfRule type="expression" dxfId="724" priority="50">
      <formula>MOD(ROW(),2)=0</formula>
    </cfRule>
  </conditionalFormatting>
  <conditionalFormatting sqref="G37:K38">
    <cfRule type="expression" dxfId="723" priority="97">
      <formula>MOD(ROW(),2)=0</formula>
    </cfRule>
  </conditionalFormatting>
  <conditionalFormatting sqref="G25:M29">
    <cfRule type="expression" dxfId="722" priority="303">
      <formula>MOD(ROW(),2)=0</formula>
    </cfRule>
  </conditionalFormatting>
  <conditionalFormatting sqref="G39:AJ40 G507:AJ507">
    <cfRule type="expression" dxfId="721" priority="843">
      <formula>MOD(ROW(),2)=0</formula>
    </cfRule>
  </conditionalFormatting>
  <conditionalFormatting sqref="G543:AJ543">
    <cfRule type="expression" dxfId="720" priority="70">
      <formula>MOD(ROW(),2)=0</formula>
    </cfRule>
  </conditionalFormatting>
  <conditionalFormatting sqref="J497:AJ506">
    <cfRule type="expression" dxfId="719" priority="358">
      <formula>MOD(ROW(),2)=0</formula>
    </cfRule>
  </conditionalFormatting>
  <conditionalFormatting sqref="J513:AJ542">
    <cfRule type="expression" dxfId="718" priority="51">
      <formula>MOD(ROW(),2)=0</formula>
    </cfRule>
  </conditionalFormatting>
  <conditionalFormatting sqref="L32:AJ38">
    <cfRule type="expression" dxfId="717" priority="32">
      <formula>MOD(ROW(),2)=0</formula>
    </cfRule>
  </conditionalFormatting>
  <conditionalFormatting sqref="N28:O29">
    <cfRule type="expression" dxfId="716" priority="305">
      <formula>MOD(ROW(),2)=0</formula>
    </cfRule>
  </conditionalFormatting>
  <conditionalFormatting sqref="N25:AJ27">
    <cfRule type="expression" dxfId="715" priority="307">
      <formula>MOD(ROW(),2)=0</formula>
    </cfRule>
  </conditionalFormatting>
  <conditionalFormatting sqref="P28:P30">
    <cfRule type="expression" dxfId="714" priority="102">
      <formula>MOD(ROW(),2)=0</formula>
    </cfRule>
  </conditionalFormatting>
  <conditionalFormatting sqref="Q28:AJ29">
    <cfRule type="expression" dxfId="713" priority="302">
      <formula>MOD(ROW(),2)=0</formula>
    </cfRule>
  </conditionalFormatting>
  <hyperlinks>
    <hyperlink ref="A1" location="Index!A1" display="&lt;&lt;Back to Index" xr:uid="{00000000-0004-0000-1200-000000000000}"/>
  </hyperlinks>
  <pageMargins left="0.7" right="0.7" top="0.75" bottom="0.75" header="0.3" footer="0.3"/>
  <pageSetup paperSize="9" orientation="portrait" r:id="rId1"/>
  <headerFooter>
    <oddHeader>&amp;C&amp;"Calibri"&amp;10&amp;KFF0000 OFFICIAL SENSITIVE&amp;1#_x000D_</oddHeader>
  </headerFooter>
  <ignoredErrors>
    <ignoredError sqref="K54:L54 K168:L168 K282:L282 N54 N168 N28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70C0"/>
  </sheetPr>
  <dimension ref="A1:AQ357"/>
  <sheetViews>
    <sheetView zoomScale="85" zoomScaleNormal="85" workbookViewId="0">
      <pane xSplit="7" ySplit="6" topLeftCell="H7" activePane="bottomRight" state="frozen"/>
      <selection pane="topRight" activeCell="H1" sqref="H1"/>
      <selection pane="bottomLeft" activeCell="A7" sqref="A7"/>
      <selection pane="bottomRight" activeCell="R297" sqref="R297"/>
    </sheetView>
  </sheetViews>
  <sheetFormatPr defaultColWidth="8.81640625" defaultRowHeight="14" x14ac:dyDescent="0.35"/>
  <cols>
    <col min="1" max="1" width="1.81640625" style="30" customWidth="1"/>
    <col min="2" max="2" width="9.453125" style="30" customWidth="1"/>
    <col min="3" max="4" width="11.6328125" style="30" customWidth="1"/>
    <col min="5" max="5" width="13" style="30" customWidth="1"/>
    <col min="6" max="6" width="10.7265625" style="65" customWidth="1"/>
    <col min="7" max="7" width="13.7265625" style="30" customWidth="1"/>
    <col min="8" max="8" width="17.453125" style="458" customWidth="1"/>
    <col min="9" max="10" width="10.81640625" style="458" customWidth="1"/>
    <col min="11" max="11" width="15.54296875" style="65" bestFit="1" customWidth="1"/>
    <col min="12" max="12" width="0.81640625" style="65" customWidth="1"/>
    <col min="13" max="13" width="10.81640625" style="65" customWidth="1"/>
    <col min="14" max="14" width="0.81640625" style="65" customWidth="1"/>
    <col min="15" max="17" width="10.81640625" style="458" customWidth="1"/>
    <col min="18" max="18" width="14.7265625" style="65" bestFit="1" customWidth="1"/>
    <col min="19" max="19" width="11.81640625" style="65" customWidth="1"/>
    <col min="20" max="20" width="15.7265625" style="65" bestFit="1" customWidth="1"/>
    <col min="21" max="43" width="11.81640625" style="65" customWidth="1"/>
    <col min="44" max="16384" width="8.81640625" style="30"/>
  </cols>
  <sheetData>
    <row r="1" spans="1:43" ht="10.4" customHeight="1" x14ac:dyDescent="0.35">
      <c r="A1" s="815" t="s">
        <v>18</v>
      </c>
      <c r="B1" s="816"/>
    </row>
    <row r="2" spans="1:43" s="62" customFormat="1" ht="22.5" customHeight="1" x14ac:dyDescent="0.35">
      <c r="A2" s="61" t="s">
        <v>65</v>
      </c>
      <c r="F2" s="331"/>
      <c r="H2" s="459"/>
      <c r="I2" s="459"/>
      <c r="J2" s="459"/>
      <c r="K2" s="331"/>
      <c r="L2" s="331"/>
      <c r="M2" s="331"/>
      <c r="N2" s="331"/>
      <c r="O2" s="459"/>
      <c r="P2" s="459"/>
      <c r="Q2" s="459"/>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row>
    <row r="3" spans="1:43" s="129" customFormat="1" x14ac:dyDescent="0.3">
      <c r="B3" s="461"/>
      <c r="C3" s="461"/>
      <c r="D3" s="461"/>
      <c r="E3" s="461"/>
      <c r="F3" s="462"/>
      <c r="G3" s="461"/>
      <c r="H3" s="894" t="str">
        <f>PY</f>
        <v>2025-26</v>
      </c>
      <c r="I3" s="894"/>
      <c r="J3" s="894"/>
      <c r="K3" s="894"/>
      <c r="L3" s="463"/>
      <c r="M3" s="562" t="str">
        <f>FY</f>
        <v>2026-27</v>
      </c>
      <c r="N3" s="463"/>
      <c r="O3" s="894" t="str">
        <f>FY</f>
        <v>2026-27</v>
      </c>
      <c r="P3" s="894"/>
      <c r="Q3" s="894"/>
      <c r="R3" s="894"/>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row>
    <row r="4" spans="1:43" s="129" customFormat="1" x14ac:dyDescent="0.3">
      <c r="B4" s="461"/>
      <c r="C4" s="461"/>
      <c r="D4" s="461"/>
      <c r="E4" s="461"/>
      <c r="F4" s="464" t="str">
        <f>$H$3</f>
        <v>2025-26</v>
      </c>
      <c r="G4" s="461"/>
      <c r="H4" s="466" t="str">
        <f>$H$3</f>
        <v>2025-26</v>
      </c>
      <c r="I4" s="466" t="str">
        <f>$H$3</f>
        <v>2025-26</v>
      </c>
      <c r="J4" s="466" t="str">
        <f>$H$3</f>
        <v>2025-26</v>
      </c>
      <c r="K4" s="464" t="str">
        <f>H3</f>
        <v>2025-26</v>
      </c>
      <c r="L4" s="464"/>
      <c r="M4" s="464" t="str">
        <f>FY</f>
        <v>2026-27</v>
      </c>
      <c r="N4" s="464"/>
      <c r="O4" s="465" t="str">
        <f>$O$3</f>
        <v>2026-27</v>
      </c>
      <c r="P4" s="466" t="str">
        <f>$O$3</f>
        <v>2026-27</v>
      </c>
      <c r="Q4" s="466" t="str">
        <f>$O$3</f>
        <v>2026-27</v>
      </c>
      <c r="R4" s="464" t="str">
        <f>O3</f>
        <v>2026-27</v>
      </c>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row>
    <row r="5" spans="1:43" s="64" customFormat="1" x14ac:dyDescent="0.35">
      <c r="B5" s="361" t="s">
        <v>1</v>
      </c>
      <c r="C5" s="361" t="s">
        <v>36</v>
      </c>
      <c r="D5" s="361" t="s">
        <v>22</v>
      </c>
      <c r="E5" s="361" t="s">
        <v>11</v>
      </c>
      <c r="F5" s="363" t="s">
        <v>24</v>
      </c>
      <c r="G5" s="361" t="s">
        <v>32</v>
      </c>
      <c r="H5" s="468" t="s">
        <v>46</v>
      </c>
      <c r="I5" s="468" t="s">
        <v>47</v>
      </c>
      <c r="J5" s="468" t="s">
        <v>21</v>
      </c>
      <c r="K5" s="471" t="s">
        <v>23</v>
      </c>
      <c r="L5" s="471"/>
      <c r="M5" s="471" t="s">
        <v>20</v>
      </c>
      <c r="N5" s="471"/>
      <c r="O5" s="468" t="s">
        <v>46</v>
      </c>
      <c r="P5" s="468" t="s">
        <v>47</v>
      </c>
      <c r="Q5" s="468" t="s">
        <v>21</v>
      </c>
      <c r="R5" s="471" t="s">
        <v>23</v>
      </c>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row>
    <row r="6" spans="1:43" s="472" customFormat="1" x14ac:dyDescent="0.35">
      <c r="B6" s="473"/>
      <c r="C6" s="473"/>
      <c r="D6" s="473"/>
      <c r="E6" s="473"/>
      <c r="F6" s="474" t="s">
        <v>53</v>
      </c>
      <c r="G6" s="473"/>
      <c r="H6" s="475" t="s">
        <v>68</v>
      </c>
      <c r="I6" s="475" t="s">
        <v>44</v>
      </c>
      <c r="J6" s="475" t="s">
        <v>45</v>
      </c>
      <c r="K6" s="478" t="s">
        <v>27</v>
      </c>
      <c r="L6" s="478"/>
      <c r="M6" s="478" t="s">
        <v>27</v>
      </c>
      <c r="N6" s="478"/>
      <c r="O6" s="475" t="s">
        <v>68</v>
      </c>
      <c r="P6" s="475" t="s">
        <v>44</v>
      </c>
      <c r="Q6" s="475" t="s">
        <v>45</v>
      </c>
      <c r="R6" s="478" t="s">
        <v>27</v>
      </c>
      <c r="S6" s="478"/>
      <c r="T6" s="478"/>
      <c r="U6" s="478"/>
      <c r="V6" s="478"/>
      <c r="W6" s="478"/>
      <c r="X6" s="478"/>
      <c r="Y6" s="478"/>
      <c r="Z6" s="478"/>
      <c r="AA6" s="478"/>
      <c r="AB6" s="478"/>
      <c r="AC6" s="478"/>
      <c r="AD6" s="478"/>
      <c r="AE6" s="478"/>
      <c r="AF6" s="478"/>
      <c r="AG6" s="478"/>
      <c r="AH6" s="478"/>
      <c r="AI6" s="478"/>
      <c r="AJ6" s="478"/>
      <c r="AK6" s="478"/>
      <c r="AL6" s="478"/>
      <c r="AM6" s="478"/>
      <c r="AN6" s="478"/>
      <c r="AO6" s="478"/>
      <c r="AP6" s="478"/>
      <c r="AQ6" s="478"/>
    </row>
    <row r="7" spans="1:43" x14ac:dyDescent="0.35">
      <c r="F7" s="258"/>
      <c r="H7" s="482"/>
      <c r="I7" s="482"/>
      <c r="J7" s="482"/>
      <c r="K7" s="484"/>
      <c r="L7" s="484"/>
      <c r="M7" s="484"/>
      <c r="N7" s="563"/>
      <c r="O7" s="482"/>
      <c r="P7" s="482"/>
      <c r="Q7" s="482"/>
      <c r="R7" s="484"/>
      <c r="S7" s="484"/>
      <c r="T7" s="484"/>
      <c r="U7" s="484"/>
      <c r="V7" s="484"/>
      <c r="W7" s="484"/>
      <c r="X7" s="484"/>
      <c r="Y7" s="484"/>
      <c r="Z7" s="484"/>
      <c r="AA7" s="484"/>
      <c r="AB7" s="484"/>
      <c r="AC7" s="484"/>
      <c r="AD7" s="484"/>
      <c r="AE7" s="484"/>
      <c r="AF7" s="484"/>
      <c r="AG7" s="484"/>
      <c r="AH7" s="484"/>
      <c r="AI7" s="484"/>
      <c r="AJ7" s="484"/>
      <c r="AK7" s="484"/>
      <c r="AL7" s="484"/>
      <c r="AM7" s="484"/>
      <c r="AN7" s="484"/>
      <c r="AO7" s="484"/>
      <c r="AP7" s="484"/>
      <c r="AQ7" s="484"/>
    </row>
    <row r="8" spans="1:43" x14ac:dyDescent="0.35">
      <c r="B8" s="64" t="s">
        <v>2</v>
      </c>
      <c r="C8" s="64" t="s">
        <v>6</v>
      </c>
      <c r="D8" s="64" t="s">
        <v>276</v>
      </c>
      <c r="F8" s="258"/>
      <c r="H8" s="482"/>
      <c r="I8" s="482"/>
      <c r="J8" s="482"/>
      <c r="K8" s="484"/>
      <c r="L8" s="484"/>
      <c r="M8" s="484"/>
      <c r="N8" s="563"/>
      <c r="O8" s="482"/>
      <c r="P8" s="482"/>
      <c r="Q8" s="482"/>
      <c r="R8" s="484"/>
      <c r="S8" s="484"/>
      <c r="T8" s="484"/>
      <c r="U8" s="484"/>
      <c r="V8" s="484"/>
      <c r="W8" s="484"/>
      <c r="X8" s="484"/>
      <c r="Y8" s="484"/>
      <c r="Z8" s="484"/>
      <c r="AA8" s="484"/>
      <c r="AB8" s="484"/>
      <c r="AC8" s="484"/>
      <c r="AD8" s="484"/>
      <c r="AE8" s="484"/>
      <c r="AF8" s="484"/>
      <c r="AG8" s="484"/>
      <c r="AH8" s="484"/>
      <c r="AI8" s="484"/>
      <c r="AJ8" s="484"/>
      <c r="AK8" s="484"/>
      <c r="AL8" s="484"/>
      <c r="AM8" s="484"/>
      <c r="AN8" s="484"/>
      <c r="AO8" s="484"/>
      <c r="AP8" s="484"/>
      <c r="AQ8" s="484"/>
    </row>
    <row r="9" spans="1:43" x14ac:dyDescent="0.35">
      <c r="B9" s="30" t="str">
        <f>B$8</f>
        <v>Ausgrid</v>
      </c>
      <c r="C9" s="30" t="str">
        <f t="shared" ref="C9:D13" si="0">C$8</f>
        <v>Residential</v>
      </c>
      <c r="D9" s="30" t="str">
        <f>D$8</f>
        <v>flat rate</v>
      </c>
      <c r="E9" s="30" t="s">
        <v>19</v>
      </c>
      <c r="F9" s="258" cm="1">
        <f t="array" ref="F9">IFERROR(_xlfn.XLOOKUP(1,($B9=DistributionZone)*('Network cost'!$C9=CustomerType)*('Network cost'!$E9=tariffType)*('Network cost'!F$5=Description),valuesFY),0)</f>
        <v>3900</v>
      </c>
      <c r="G9" s="30" t="s">
        <v>57</v>
      </c>
      <c r="H9" s="482" cm="1">
        <f t="array" ref="H9">IFERROR(_xlfn.XLOOKUP(1,($B9=DistributionZone)*('Network cost'!$C9=CustomerType)*('Network cost'!$E9=tariffType)*('Network cost'!H$5=Desc_FixedOrVar)*('Network cost'!$G9=Description),valuesPY),0)</f>
        <v>163.36480830293462</v>
      </c>
      <c r="I9" s="482" cm="1">
        <f t="array" ref="I9">IFERROR(_xlfn.XLOOKUP(1,($B9=DistributionZone)*('Network cost'!$C9=CustomerType)*('Network cost'!$E9=tariffType)*('Network cost'!I$5=Desc_FixedOrVar)*('Network cost'!$G9=Description),valuesPY),0)</f>
        <v>116.999923689255</v>
      </c>
      <c r="J9" s="482">
        <f>H9+I9*F9/1000</f>
        <v>619.66451069102914</v>
      </c>
      <c r="K9" s="484">
        <f>IFERROR(J9/J11,"")</f>
        <v>0.95744776257724917</v>
      </c>
      <c r="L9" s="484"/>
      <c r="M9" s="484">
        <f>IF(OR(J9=0,J9="",Q9=""),"",Q9/J9-1)</f>
        <v>9.9037401279270076E-2</v>
      </c>
      <c r="N9" s="563"/>
      <c r="O9" s="482" cm="1">
        <f t="array" ref="O9">IFERROR(_xlfn.XLOOKUP(1,($B9=DistributionZone)*('Network cost'!$C9=CustomerType)*('Network cost'!$E9=tariffType)*('Network cost'!O$5=Desc_FixedOrVar)*('Network cost'!$G9=Description),valuesFY),0)</f>
        <v>185.62081437250197</v>
      </c>
      <c r="P9" s="482" cm="1">
        <f t="array" ref="P9">IFERROR(_xlfn.XLOOKUP(1,($B9=DistributionZone)*('Network cost'!$C9=CustomerType)*('Network cost'!$E9=tariffType)*('Network cost'!P$5=Desc_FixedOrVar)*('Network cost'!$G9=Description),valuesFY),0)</f>
        <v>127.029143364707</v>
      </c>
      <c r="Q9" s="482">
        <f>O9+P9*$F9/1000</f>
        <v>681.03447349485918</v>
      </c>
      <c r="R9" s="484">
        <f>IFERROR(Q9/Q11,"")</f>
        <v>0.95977871095132228</v>
      </c>
      <c r="S9" s="484"/>
      <c r="T9" s="484"/>
      <c r="U9" s="484"/>
      <c r="V9" s="484"/>
      <c r="W9" s="484"/>
      <c r="X9" s="484"/>
      <c r="Y9" s="484"/>
      <c r="Z9" s="484"/>
      <c r="AA9" s="484"/>
      <c r="AB9" s="484"/>
      <c r="AC9" s="484"/>
      <c r="AD9" s="484"/>
      <c r="AE9" s="484"/>
      <c r="AF9" s="484"/>
      <c r="AG9" s="484"/>
      <c r="AH9" s="484"/>
      <c r="AI9" s="484"/>
      <c r="AJ9" s="484"/>
      <c r="AK9" s="484"/>
      <c r="AL9" s="484"/>
      <c r="AM9" s="484"/>
      <c r="AN9" s="484"/>
      <c r="AO9" s="484"/>
      <c r="AP9" s="484"/>
      <c r="AQ9" s="484"/>
    </row>
    <row r="10" spans="1:43" x14ac:dyDescent="0.35">
      <c r="B10" s="30" t="str">
        <f>B$8</f>
        <v>Ausgrid</v>
      </c>
      <c r="C10" s="30" t="str">
        <f t="shared" si="0"/>
        <v>Residential</v>
      </c>
      <c r="D10" s="30" t="str">
        <f t="shared" si="0"/>
        <v>flat rate</v>
      </c>
      <c r="E10" s="30" t="s">
        <v>19</v>
      </c>
      <c r="F10" s="258" cm="1">
        <f t="array" ref="F10">IFERROR(_xlfn.XLOOKUP(1,($B10=DistributionZone)*('Network cost'!$C10=CustomerType)*('Network cost'!$E10=tariffType)*('Network cost'!F$5=Description),valuesFY),0)</f>
        <v>3900</v>
      </c>
      <c r="G10" s="30" t="s">
        <v>61</v>
      </c>
      <c r="H10" s="482" cm="1">
        <f t="array" ref="H10">IFERROR(_xlfn.XLOOKUP(1,($B10=DistributionZone)*('Network cost'!$C10=CustomerType)*('Network cost'!$E10=tariffType)*('Network cost'!H$5=Desc_FixedOrVar)*('Network cost'!$G10=Description),valuesPY),0)</f>
        <v>27.54</v>
      </c>
      <c r="I10" s="482" cm="1">
        <f t="array" ref="I10">IFERROR(_xlfn.XLOOKUP(1,($B10=DistributionZone)*('Network cost'!$C10=CustomerType)*('Network cost'!$E10=tariffType)*('Network cost'!I$5=Desc_FixedOrVar)*('Network cost'!$G10=Description),valuesPY),0)</f>
        <v>0</v>
      </c>
      <c r="J10" s="482">
        <f>H10+I10*F10/1000</f>
        <v>27.54</v>
      </c>
      <c r="K10" s="484">
        <f>IFERROR(J10/J11,"")</f>
        <v>4.255223742275091E-2</v>
      </c>
      <c r="L10" s="484"/>
      <c r="M10" s="484">
        <f>IF(OR(J10=0,J10="",Q10=""),"",Q10/J10-1)</f>
        <v>3.6310820624546158E-2</v>
      </c>
      <c r="N10" s="563"/>
      <c r="O10" s="482" cm="1">
        <f t="array" ref="O10">IFERROR(_xlfn.XLOOKUP(1,($B10=DistributionZone)*('Network cost'!$C10=CustomerType)*('Network cost'!$E10=tariffType)*('Network cost'!O$5=Desc_FixedOrVar)*('Network cost'!$G10=Description),valuesFY),0)</f>
        <v>28.54</v>
      </c>
      <c r="P10" s="482" cm="1">
        <f t="array" ref="P10">IFERROR(_xlfn.XLOOKUP(1,($B10=DistributionZone)*('Network cost'!$C10=CustomerType)*('Network cost'!$E10=tariffType)*('Network cost'!P$5=Desc_FixedOrVar)*('Network cost'!$G10=Description),valuesFY),0)</f>
        <v>0</v>
      </c>
      <c r="Q10" s="482">
        <f>O10+P10*$F10/1000</f>
        <v>28.54</v>
      </c>
      <c r="R10" s="484">
        <f>IFERROR(Q10/Q11,"")</f>
        <v>4.0221289048677659E-2</v>
      </c>
      <c r="S10" s="484"/>
      <c r="T10" s="484"/>
      <c r="U10" s="484"/>
      <c r="V10" s="484"/>
      <c r="W10" s="484"/>
      <c r="X10" s="484"/>
      <c r="Y10" s="484"/>
      <c r="Z10" s="484"/>
      <c r="AA10" s="484"/>
      <c r="AB10" s="484"/>
      <c r="AC10" s="484"/>
      <c r="AD10" s="484"/>
      <c r="AE10" s="484"/>
      <c r="AF10" s="484"/>
      <c r="AG10" s="484"/>
      <c r="AH10" s="484"/>
      <c r="AI10" s="484"/>
      <c r="AJ10" s="484"/>
      <c r="AK10" s="484"/>
      <c r="AL10" s="484"/>
      <c r="AM10" s="484"/>
      <c r="AN10" s="484"/>
      <c r="AO10" s="484"/>
      <c r="AP10" s="484"/>
      <c r="AQ10" s="484"/>
    </row>
    <row r="11" spans="1:43" s="64" customFormat="1" x14ac:dyDescent="0.35">
      <c r="B11" s="30" t="str">
        <f>B$8</f>
        <v>Ausgrid</v>
      </c>
      <c r="C11" s="30" t="str">
        <f t="shared" si="0"/>
        <v>Residential</v>
      </c>
      <c r="D11" s="30" t="str">
        <f t="shared" si="0"/>
        <v>flat rate</v>
      </c>
      <c r="E11" s="30" t="s">
        <v>19</v>
      </c>
      <c r="F11" s="258" cm="1">
        <f t="array" ref="F11">IFERROR(_xlfn.XLOOKUP(1,($B11=DistributionZone)*('Network cost'!$C11=CustomerType)*('Network cost'!$E11=tariffType)*('Network cost'!F$5=Description),valuesFY),0)</f>
        <v>3900</v>
      </c>
      <c r="G11" s="64" t="s">
        <v>55</v>
      </c>
      <c r="H11" s="487">
        <f>SUM(H9:H10)</f>
        <v>190.90480830293461</v>
      </c>
      <c r="I11" s="487">
        <f>SUM(I9:I10)</f>
        <v>116.999923689255</v>
      </c>
      <c r="J11" s="487">
        <f>SUM(J9:J10)</f>
        <v>647.2045106910291</v>
      </c>
      <c r="K11" s="564"/>
      <c r="L11" s="565"/>
      <c r="M11" s="564">
        <f>IF(OR(J11=0,J11="",Q11=""),"",Q11/J11-1)</f>
        <v>9.6368244926533286E-2</v>
      </c>
      <c r="N11" s="566"/>
      <c r="O11" s="487">
        <f>+O10+O9</f>
        <v>214.16081437250196</v>
      </c>
      <c r="P11" s="487">
        <f>SUM(P9:P10)</f>
        <v>127.029143364707</v>
      </c>
      <c r="Q11" s="487">
        <f>O11+P11*$F11/1000</f>
        <v>709.57447349485926</v>
      </c>
      <c r="R11" s="484"/>
      <c r="S11" s="484"/>
      <c r="T11" s="484"/>
      <c r="U11" s="484"/>
      <c r="V11" s="484"/>
      <c r="W11" s="484"/>
      <c r="X11" s="484"/>
      <c r="Y11" s="484"/>
      <c r="Z11" s="484"/>
      <c r="AA11" s="484"/>
      <c r="AB11" s="484"/>
      <c r="AC11" s="484"/>
      <c r="AD11" s="484"/>
      <c r="AE11" s="484"/>
      <c r="AF11" s="484"/>
      <c r="AG11" s="484"/>
      <c r="AH11" s="484"/>
      <c r="AI11" s="484"/>
      <c r="AJ11" s="484"/>
      <c r="AK11" s="484"/>
      <c r="AL11" s="484"/>
      <c r="AM11" s="484"/>
      <c r="AN11" s="484"/>
      <c r="AO11" s="484"/>
      <c r="AP11" s="484"/>
      <c r="AQ11" s="484"/>
    </row>
    <row r="12" spans="1:43" s="64" customFormat="1" x14ac:dyDescent="0.35">
      <c r="B12" s="30" t="str">
        <f>B$8</f>
        <v>Ausgrid</v>
      </c>
      <c r="C12" s="30" t="str">
        <f t="shared" si="0"/>
        <v>Residential</v>
      </c>
      <c r="D12" s="30" t="str">
        <f t="shared" si="0"/>
        <v>flat rate</v>
      </c>
      <c r="E12" s="30" t="s">
        <v>19</v>
      </c>
      <c r="F12" s="258"/>
      <c r="G12" s="30" t="s">
        <v>38</v>
      </c>
      <c r="H12" s="482"/>
      <c r="I12" s="482"/>
      <c r="J12" s="482">
        <f>J11*GST</f>
        <v>64.720451069102907</v>
      </c>
      <c r="K12" s="484"/>
      <c r="L12" s="567"/>
      <c r="M12" s="484">
        <f>IF(OR(J12=0,J12="",Q12=""),"",Q12/J12-1)</f>
        <v>9.6368244926533286E-2</v>
      </c>
      <c r="N12" s="568"/>
      <c r="O12" s="482"/>
      <c r="P12" s="482"/>
      <c r="Q12" s="482">
        <f>Q11*GST</f>
        <v>70.957447349485932</v>
      </c>
      <c r="R12" s="484"/>
      <c r="S12" s="484"/>
      <c r="T12" s="484"/>
      <c r="U12" s="484"/>
      <c r="V12" s="484"/>
      <c r="W12" s="484"/>
      <c r="X12" s="484"/>
      <c r="Y12" s="484"/>
      <c r="Z12" s="484"/>
      <c r="AA12" s="484"/>
      <c r="AB12" s="484"/>
      <c r="AC12" s="484"/>
      <c r="AD12" s="484"/>
      <c r="AE12" s="484"/>
      <c r="AF12" s="484"/>
      <c r="AG12" s="484"/>
      <c r="AH12" s="484"/>
      <c r="AI12" s="484"/>
      <c r="AJ12" s="484"/>
      <c r="AK12" s="484"/>
      <c r="AL12" s="484"/>
      <c r="AM12" s="484"/>
      <c r="AN12" s="484"/>
      <c r="AO12" s="484"/>
      <c r="AP12" s="484"/>
      <c r="AQ12" s="484"/>
    </row>
    <row r="13" spans="1:43" s="64" customFormat="1" x14ac:dyDescent="0.35">
      <c r="B13" s="30" t="str">
        <f>B$8</f>
        <v>Ausgrid</v>
      </c>
      <c r="C13" s="30" t="str">
        <f t="shared" si="0"/>
        <v>Residential</v>
      </c>
      <c r="D13" s="30" t="str">
        <f t="shared" si="0"/>
        <v>flat rate</v>
      </c>
      <c r="E13" s="30" t="s">
        <v>19</v>
      </c>
      <c r="F13" s="258"/>
      <c r="G13" s="64" t="s">
        <v>79</v>
      </c>
      <c r="H13" s="487"/>
      <c r="I13" s="487"/>
      <c r="J13" s="487">
        <f>SUM(J11:J12)</f>
        <v>711.92496176013196</v>
      </c>
      <c r="K13" s="564"/>
      <c r="L13" s="565"/>
      <c r="M13" s="564">
        <f>IF(OR(J13=0,J13="",Q13=""),"",Q13/J13-1)</f>
        <v>9.6368244926533286E-2</v>
      </c>
      <c r="N13" s="566"/>
      <c r="O13" s="487"/>
      <c r="P13" s="487"/>
      <c r="Q13" s="487">
        <f>SUM(Q11:Q12)</f>
        <v>780.53192084434522</v>
      </c>
      <c r="R13" s="564"/>
      <c r="S13" s="564"/>
      <c r="T13" s="564"/>
      <c r="U13" s="564"/>
      <c r="V13" s="564"/>
      <c r="W13" s="564"/>
      <c r="X13" s="484"/>
      <c r="Y13" s="484"/>
      <c r="Z13" s="564"/>
      <c r="AA13" s="564"/>
      <c r="AB13" s="564"/>
      <c r="AC13" s="564"/>
      <c r="AD13" s="564"/>
      <c r="AE13" s="564"/>
      <c r="AF13" s="564"/>
      <c r="AG13" s="564"/>
      <c r="AH13" s="564"/>
      <c r="AI13" s="564"/>
      <c r="AJ13" s="564"/>
      <c r="AK13" s="564"/>
      <c r="AL13" s="564"/>
      <c r="AM13" s="564"/>
      <c r="AN13" s="564"/>
      <c r="AO13" s="564"/>
      <c r="AP13" s="564"/>
      <c r="AQ13" s="564"/>
    </row>
    <row r="14" spans="1:43" x14ac:dyDescent="0.35">
      <c r="F14" s="569"/>
      <c r="H14" s="482"/>
      <c r="I14" s="482"/>
      <c r="J14" s="482"/>
      <c r="K14" s="484"/>
      <c r="L14" s="484"/>
      <c r="M14" s="484"/>
      <c r="N14" s="484"/>
      <c r="O14" s="484"/>
      <c r="P14" s="484"/>
      <c r="Q14" s="482"/>
      <c r="R14" s="484"/>
      <c r="S14" s="484"/>
      <c r="T14" s="484"/>
      <c r="U14" s="484"/>
      <c r="V14" s="484"/>
      <c r="W14" s="484"/>
      <c r="X14" s="484"/>
      <c r="Y14" s="484"/>
      <c r="Z14" s="484"/>
      <c r="AA14" s="484"/>
      <c r="AB14" s="484"/>
      <c r="AC14" s="484"/>
      <c r="AD14" s="484"/>
      <c r="AE14" s="484"/>
      <c r="AF14" s="484"/>
      <c r="AG14" s="484"/>
      <c r="AH14" s="484"/>
      <c r="AI14" s="484"/>
      <c r="AJ14" s="484"/>
      <c r="AK14" s="484"/>
      <c r="AL14" s="484"/>
      <c r="AM14" s="484"/>
      <c r="AN14" s="484"/>
      <c r="AO14" s="484"/>
      <c r="AP14" s="484"/>
      <c r="AQ14" s="484"/>
    </row>
    <row r="15" spans="1:43" s="570" customFormat="1" x14ac:dyDescent="0.35">
      <c r="B15" s="571" t="s">
        <v>2</v>
      </c>
      <c r="C15" s="571" t="s">
        <v>6</v>
      </c>
      <c r="D15" s="571" t="s">
        <v>272</v>
      </c>
      <c r="F15" s="572"/>
      <c r="H15" s="573"/>
      <c r="I15" s="574"/>
      <c r="J15" s="574"/>
      <c r="K15" s="575"/>
      <c r="L15" s="575"/>
      <c r="M15" s="575"/>
      <c r="N15" s="576"/>
      <c r="O15" s="574"/>
      <c r="P15" s="574"/>
      <c r="Q15" s="574"/>
      <c r="R15" s="575"/>
      <c r="S15" s="575"/>
      <c r="T15" s="575"/>
      <c r="U15" s="575"/>
      <c r="V15" s="575"/>
      <c r="W15" s="575"/>
      <c r="X15" s="484"/>
      <c r="Y15" s="484"/>
      <c r="Z15" s="575"/>
      <c r="AA15" s="575"/>
      <c r="AB15" s="575"/>
      <c r="AC15" s="575"/>
      <c r="AD15" s="575"/>
      <c r="AE15" s="575"/>
      <c r="AF15" s="575"/>
      <c r="AG15" s="575"/>
      <c r="AH15" s="575"/>
      <c r="AI15" s="575"/>
      <c r="AJ15" s="575"/>
      <c r="AK15" s="575"/>
      <c r="AL15" s="575"/>
      <c r="AM15" s="575"/>
      <c r="AN15" s="575"/>
      <c r="AO15" s="575"/>
      <c r="AP15" s="575"/>
      <c r="AQ15" s="575"/>
    </row>
    <row r="16" spans="1:43" s="570" customFormat="1" x14ac:dyDescent="0.35">
      <c r="B16" s="570" t="str">
        <f t="shared" ref="B16:B21" si="1">B$8</f>
        <v>Ausgrid</v>
      </c>
      <c r="C16" s="570" t="str">
        <f t="shared" ref="C16:C21" si="2">C$8</f>
        <v>Residential</v>
      </c>
      <c r="D16" s="570" t="str">
        <f t="shared" ref="D16:D21" si="3">D15</f>
        <v>time of use</v>
      </c>
      <c r="E16" s="570" t="s">
        <v>279</v>
      </c>
      <c r="F16" s="485" cm="1">
        <f t="array" ref="F16">_xlfn.XLOOKUP(1,($B16=DistributionZone)*('Network cost'!$C16=CustomerType)*('Network cost'!$D16=tariffL2)*($F$5=Description),valuesPY)*_xlfn.XLOOKUP(1,($B16=DistributionZone)*($C16=CustomerType)*('Network cost'!$D16=tariffL2)*($E16=tariffType)*("Usage proportion"=Description),valuesFY)</f>
        <v>3037.4321036753113</v>
      </c>
      <c r="G16" s="570" t="s">
        <v>57</v>
      </c>
      <c r="H16" s="574" cm="1">
        <f t="array" ref="H16">IFERROR(_xlfn.XLOOKUP(1,($B16=DistributionZone)*('Network cost'!$C16=CustomerType)*('Network cost'!$E16=tariffType)*('Network cost'!H$5=Desc_FixedOrVar)*('Network cost'!$G16=Description),valuesPY),0)*_xlfn.XLOOKUP(1,($B16=DistributionZone)*('Network cost'!$D16=tariffL2)*($E16=tariffType)*("Usage proportion"=Description),valuesPY)</f>
        <v>0</v>
      </c>
      <c r="I16" s="574" cm="1">
        <f t="array" ref="I16">IFERROR(_xlfn.XLOOKUP(1,($B16=DistributionZone)*('Network cost'!$C16=CustomerType)*('Network cost'!$E16=tariffType)*('Network cost'!I$5=Desc_FixedOrVar)*('Network cost'!$G16=Description),valuesPY),0)</f>
        <v>0</v>
      </c>
      <c r="J16" s="574">
        <f>H16+(I16*F16/1000)</f>
        <v>0</v>
      </c>
      <c r="K16" s="575" t="str">
        <f>IFERROR(J16/J19,"")</f>
        <v/>
      </c>
      <c r="L16" s="575"/>
      <c r="M16" s="575" t="str">
        <f t="shared" ref="M16:M21" si="4">IF(OR(J16=0,J16="",Q16=""),"",Q16/J16-1)</f>
        <v/>
      </c>
      <c r="N16" s="576"/>
      <c r="O16" s="574" cm="1">
        <f t="array" ref="O16">IFERROR(_xlfn.XLOOKUP(1,($B16=DistributionZone)*('Network cost'!$C16=CustomerType)*('Network cost'!$E16=tariffType)*('Network cost'!O$5=Desc_FixedOrVar)*('Network cost'!$G16=Description),valuesFY),0)*_xlfn.XLOOKUP(1,($B16=DistributionZone)*('Network cost'!$D16=tariffL2)*($E16=tariffType)*("Usage proportion"=Description),valuesFY)</f>
        <v>179.75413108518859</v>
      </c>
      <c r="P16" s="574" cm="1">
        <f t="array" ref="P16">IFERROR(_xlfn.XLOOKUP(1,($B16=DistributionZone)*('Network cost'!$C16=CustomerType)*('Network cost'!$E16=tariffType)*('Network cost'!P$5=Desc_FixedOrVar)*('Network cost'!$G16=Description),valuesFY),0)</f>
        <v>53.569697424744199</v>
      </c>
      <c r="Q16" s="574">
        <f>O16+P16*$F16/1000</f>
        <v>342.4684498272793</v>
      </c>
      <c r="R16" s="575">
        <f>IFERROR(Q16/Q19,"")</f>
        <v>0.4874778650054496</v>
      </c>
      <c r="S16" s="603"/>
      <c r="T16" s="603"/>
      <c r="U16" s="603"/>
      <c r="V16" s="603"/>
      <c r="W16" s="603"/>
      <c r="X16" s="484"/>
      <c r="Y16" s="484"/>
      <c r="Z16" s="575"/>
      <c r="AA16" s="575"/>
      <c r="AB16" s="575"/>
      <c r="AC16" s="575"/>
      <c r="AD16" s="575"/>
      <c r="AE16" s="575"/>
      <c r="AF16" s="575"/>
      <c r="AG16" s="575"/>
      <c r="AH16" s="575"/>
      <c r="AI16" s="575"/>
      <c r="AJ16" s="575"/>
      <c r="AK16" s="575"/>
      <c r="AL16" s="575"/>
      <c r="AM16" s="575"/>
      <c r="AN16" s="575"/>
      <c r="AO16" s="575"/>
      <c r="AP16" s="575"/>
      <c r="AQ16" s="575"/>
    </row>
    <row r="17" spans="2:43" s="570" customFormat="1" x14ac:dyDescent="0.35">
      <c r="B17" s="570" t="str">
        <f t="shared" si="1"/>
        <v>Ausgrid</v>
      </c>
      <c r="C17" s="570" t="str">
        <f t="shared" si="2"/>
        <v>Residential</v>
      </c>
      <c r="D17" s="570" t="str">
        <f t="shared" si="3"/>
        <v>time of use</v>
      </c>
      <c r="E17" s="570" t="s">
        <v>278</v>
      </c>
      <c r="F17" s="485" cm="1">
        <f t="array" ref="F17">_xlfn.XLOOKUP(1,($B17=DistributionZone)*('Network cost'!$C17=CustomerType)*('Network cost'!$D17=tariffL2)*($F$5=Description),valuesPY)*_xlfn.XLOOKUP(1,($B17=DistributionZone)*($C17=CustomerType)*('Network cost'!$D17=tariffL2)*($E17=tariffType)*("Usage proportion"=Description),valuesFY)</f>
        <v>862.56789632468883</v>
      </c>
      <c r="G17" s="570" t="s">
        <v>57</v>
      </c>
      <c r="H17" s="574" cm="1">
        <f t="array" ref="H17">IFERROR(_xlfn.XLOOKUP(1,($B17=DistributionZone)*('Network cost'!$C17=CustomerType)*('Network cost'!$E17=tariffType)*('Network cost'!H$5=Desc_FixedOrVar)*('Network cost'!$G17=Description),valuesPY),0)*_xlfn.XLOOKUP(1,($B17=DistributionZone)*('Network cost'!$D17=tariffL2)*($E17=tariffType)*("Usage proportion"=Description),valuesPY)</f>
        <v>0</v>
      </c>
      <c r="I17" s="574" cm="1">
        <f t="array" ref="I17">IFERROR(_xlfn.XLOOKUP(1,($B17=DistributionZone)*('Network cost'!$C17=CustomerType)*('Network cost'!$E17=tariffType)*('Network cost'!I$5=Desc_FixedOrVar)*('Network cost'!$G17=Description),valuesPY),0)</f>
        <v>0</v>
      </c>
      <c r="J17" s="574">
        <f>H17+I17*F17/1000</f>
        <v>0</v>
      </c>
      <c r="K17" s="575" t="str">
        <f>IFERROR(J17/J19,"")</f>
        <v/>
      </c>
      <c r="L17" s="575"/>
      <c r="M17" s="575" t="str">
        <f t="shared" si="4"/>
        <v/>
      </c>
      <c r="N17" s="576"/>
      <c r="O17" s="574" cm="1">
        <f t="array" ref="O17">IFERROR(_xlfn.XLOOKUP(1,($B17=DistributionZone)*('Network cost'!$C17=CustomerType)*('Network cost'!$E17=tariffType)*('Network cost'!O$5=Desc_FixedOrVar)*('Network cost'!$G17=Description),valuesFY),0)*_xlfn.XLOOKUP(1,($B17=DistributionZone)*('Network cost'!$D17=tariffL2)*($E17=tariffType)*("Usage proportion"=Description),valuesFY)</f>
        <v>51.046455497132548</v>
      </c>
      <c r="P17" s="574" cm="1">
        <f t="array" ref="P17">IFERROR(_xlfn.XLOOKUP(1,($B17=DistributionZone)*('Network cost'!$C17=CustomerType)*('Network cost'!$E17=tariffType)*('Network cost'!P$5=Desc_FixedOrVar)*('Network cost'!$G17=Description),valuesFY),0)</f>
        <v>325.16440577821595</v>
      </c>
      <c r="Q17" s="574">
        <f>O17+P17*$F17/1000</f>
        <v>331.52283294891578</v>
      </c>
      <c r="R17" s="575">
        <f>IFERROR(Q17/Q19,"")</f>
        <v>0.47189760951118931</v>
      </c>
      <c r="S17" s="603"/>
      <c r="T17" s="603"/>
      <c r="U17" s="603"/>
      <c r="V17" s="603"/>
      <c r="W17" s="603"/>
      <c r="X17" s="484"/>
      <c r="Y17" s="484"/>
      <c r="Z17" s="575"/>
      <c r="AA17" s="575"/>
      <c r="AB17" s="575"/>
      <c r="AC17" s="575"/>
      <c r="AD17" s="575"/>
      <c r="AE17" s="575"/>
      <c r="AF17" s="575"/>
      <c r="AG17" s="575"/>
      <c r="AH17" s="575"/>
      <c r="AI17" s="575"/>
      <c r="AJ17" s="575"/>
      <c r="AK17" s="575"/>
      <c r="AL17" s="575"/>
      <c r="AM17" s="575"/>
      <c r="AN17" s="575"/>
      <c r="AO17" s="575"/>
      <c r="AP17" s="575"/>
      <c r="AQ17" s="575"/>
    </row>
    <row r="18" spans="2:43" s="570" customFormat="1" x14ac:dyDescent="0.35">
      <c r="B18" s="570" t="str">
        <f t="shared" si="1"/>
        <v>Ausgrid</v>
      </c>
      <c r="C18" s="570" t="str">
        <f t="shared" si="2"/>
        <v>Residential</v>
      </c>
      <c r="D18" s="570" t="str">
        <f t="shared" si="3"/>
        <v>time of use</v>
      </c>
      <c r="E18" s="570" t="s">
        <v>272</v>
      </c>
      <c r="F18" s="485" cm="1">
        <f t="array" ref="F18">_xlfn.XLOOKUP(1,($B17=DistributionZone)*('Network cost'!$C17=CustomerType)*('Network cost'!$D17=tariffL2)*($F$5=Description),valuesPY)</f>
        <v>3900</v>
      </c>
      <c r="G18" s="570" t="s">
        <v>61</v>
      </c>
      <c r="H18" s="574" cm="1">
        <f t="array" ref="H18">IFERROR(_xlfn.XLOOKUP(1,($B18=DistributionZone)*('Network cost'!$C18=CustomerType)*('Network cost'!$E18=tariffType)*('Network cost'!H$5=Desc_FixedOrVar)*('Network cost'!$G18=Description),valuesPY),0)</f>
        <v>0</v>
      </c>
      <c r="I18" s="574" cm="1">
        <f t="array" ref="I18">IFERROR(_xlfn.XLOOKUP(1,($B18=DistributionZone)*('Network cost'!$C18=CustomerType)*('Network cost'!$E18=tariffType)*('Network cost'!I$5=Desc_FixedOrVar)*('Network cost'!$G18=Description),valuesPY),0)</f>
        <v>0</v>
      </c>
      <c r="J18" s="574">
        <f>H18+I18*F18/1000</f>
        <v>0</v>
      </c>
      <c r="K18" s="575" t="str">
        <f>IFERROR(J18/J19,"")</f>
        <v/>
      </c>
      <c r="L18" s="575"/>
      <c r="M18" s="575" t="str">
        <f t="shared" si="4"/>
        <v/>
      </c>
      <c r="N18" s="576"/>
      <c r="O18" s="574" cm="1">
        <f t="array" ref="O18">IFERROR(_xlfn.XLOOKUP(1,($B18=DistributionZone)*('Network cost'!$C18=CustomerType)*('Network cost'!$E18=tariffType)*('Network cost'!O$5=Desc_FixedOrVar)*('Network cost'!$G18=Description),valuesFY),0)</f>
        <v>28.54</v>
      </c>
      <c r="P18" s="574" cm="1">
        <f t="array" ref="P18">IFERROR(_xlfn.XLOOKUP(1,($B18=DistributionZone)*('Network cost'!$C18=CustomerType)*('Network cost'!$E18=tariffType)*('Network cost'!P$5=Desc_FixedOrVar)*('Network cost'!$G18=Description),valuesFY),0)</f>
        <v>0</v>
      </c>
      <c r="Q18" s="574">
        <f>O18+P18*F18/1000</f>
        <v>28.54</v>
      </c>
      <c r="R18" s="575">
        <f>IFERROR(Q18/Q19,"")</f>
        <v>4.0624525483361248E-2</v>
      </c>
      <c r="S18" s="603"/>
      <c r="T18" s="603"/>
      <c r="U18" s="603"/>
      <c r="V18" s="603"/>
      <c r="W18" s="603"/>
      <c r="X18" s="484"/>
      <c r="Y18" s="484"/>
      <c r="Z18" s="575"/>
      <c r="AA18" s="575"/>
      <c r="AB18" s="575"/>
      <c r="AC18" s="575"/>
      <c r="AD18" s="575"/>
      <c r="AE18" s="575"/>
      <c r="AF18" s="575"/>
      <c r="AG18" s="575"/>
      <c r="AH18" s="575"/>
      <c r="AI18" s="575"/>
      <c r="AJ18" s="575"/>
      <c r="AK18" s="575"/>
      <c r="AL18" s="575"/>
      <c r="AM18" s="575"/>
      <c r="AN18" s="575"/>
      <c r="AO18" s="575"/>
      <c r="AP18" s="575"/>
      <c r="AQ18" s="575"/>
    </row>
    <row r="19" spans="2:43" s="571" customFormat="1" x14ac:dyDescent="0.35">
      <c r="B19" s="570" t="str">
        <f t="shared" si="1"/>
        <v>Ausgrid</v>
      </c>
      <c r="C19" s="570" t="str">
        <f t="shared" si="2"/>
        <v>Residential</v>
      </c>
      <c r="D19" s="570" t="str">
        <f t="shared" si="3"/>
        <v>time of use</v>
      </c>
      <c r="E19" s="570" t="s">
        <v>272</v>
      </c>
      <c r="F19" s="485" cm="1">
        <f t="array" ref="F19">IFERROR(_xlfn.XLOOKUP(1,($B19=DistributionZone)*('Network cost'!$C19=CustomerType)*('Network cost'!$E19=tariffType)*('Network cost'!F$5=Description),valuesFY),0)</f>
        <v>3900</v>
      </c>
      <c r="G19" s="571" t="s">
        <v>55</v>
      </c>
      <c r="H19" s="577">
        <f>SUM(H16:H18)</f>
        <v>0</v>
      </c>
      <c r="I19" s="577">
        <f>SUM(I16:I18)</f>
        <v>0</v>
      </c>
      <c r="J19" s="577">
        <f>SUM(J16:J18)</f>
        <v>0</v>
      </c>
      <c r="K19" s="578"/>
      <c r="L19" s="579"/>
      <c r="M19" s="578" t="str">
        <f t="shared" si="4"/>
        <v/>
      </c>
      <c r="N19" s="580"/>
      <c r="O19" s="577">
        <f>SUM(O16:O18)</f>
        <v>259.34058658232112</v>
      </c>
      <c r="P19" s="577">
        <f>SUM(P16:P18)</f>
        <v>378.73410320296017</v>
      </c>
      <c r="Q19" s="577">
        <f>SUM(Q16:Q18)</f>
        <v>702.53128277619498</v>
      </c>
      <c r="R19" s="575"/>
      <c r="S19" s="575"/>
      <c r="T19" s="575"/>
      <c r="U19" s="575"/>
      <c r="V19" s="575"/>
      <c r="W19" s="575"/>
      <c r="X19" s="484"/>
      <c r="Y19" s="484"/>
      <c r="Z19" s="575"/>
      <c r="AA19" s="575"/>
      <c r="AB19" s="575"/>
      <c r="AC19" s="575"/>
      <c r="AD19" s="575"/>
      <c r="AE19" s="575"/>
      <c r="AF19" s="575"/>
      <c r="AG19" s="575"/>
      <c r="AH19" s="575"/>
      <c r="AI19" s="575"/>
      <c r="AJ19" s="575"/>
      <c r="AK19" s="575"/>
      <c r="AL19" s="575"/>
      <c r="AM19" s="575"/>
      <c r="AN19" s="575"/>
      <c r="AO19" s="575"/>
      <c r="AP19" s="575"/>
      <c r="AQ19" s="575"/>
    </row>
    <row r="20" spans="2:43" s="571" customFormat="1" x14ac:dyDescent="0.35">
      <c r="B20" s="570" t="str">
        <f t="shared" si="1"/>
        <v>Ausgrid</v>
      </c>
      <c r="C20" s="570" t="str">
        <f t="shared" si="2"/>
        <v>Residential</v>
      </c>
      <c r="D20" s="570" t="str">
        <f t="shared" si="3"/>
        <v>time of use</v>
      </c>
      <c r="E20" s="570"/>
      <c r="F20" s="485"/>
      <c r="G20" s="570" t="s">
        <v>38</v>
      </c>
      <c r="H20" s="574"/>
      <c r="I20" s="574"/>
      <c r="J20" s="574">
        <f>J19*GST</f>
        <v>0</v>
      </c>
      <c r="K20" s="575"/>
      <c r="L20" s="581"/>
      <c r="M20" s="575" t="str">
        <f t="shared" si="4"/>
        <v/>
      </c>
      <c r="N20" s="582"/>
      <c r="O20" s="574"/>
      <c r="P20" s="574"/>
      <c r="Q20" s="574">
        <f>Q19*GST</f>
        <v>70.253128277619496</v>
      </c>
      <c r="R20" s="575"/>
      <c r="S20" s="575"/>
      <c r="T20" s="575"/>
      <c r="U20" s="575"/>
      <c r="V20" s="575"/>
      <c r="W20" s="575"/>
      <c r="X20" s="484"/>
      <c r="Y20" s="484"/>
      <c r="Z20" s="575"/>
      <c r="AA20" s="575"/>
      <c r="AB20" s="575"/>
      <c r="AC20" s="575"/>
      <c r="AD20" s="575"/>
      <c r="AE20" s="575"/>
      <c r="AF20" s="575"/>
      <c r="AG20" s="575"/>
      <c r="AH20" s="575"/>
      <c r="AI20" s="575"/>
      <c r="AJ20" s="575"/>
      <c r="AK20" s="575"/>
      <c r="AL20" s="575"/>
      <c r="AM20" s="575"/>
      <c r="AN20" s="575"/>
      <c r="AO20" s="575"/>
      <c r="AP20" s="575"/>
      <c r="AQ20" s="575"/>
    </row>
    <row r="21" spans="2:43" s="571" customFormat="1" x14ac:dyDescent="0.35">
      <c r="B21" s="570" t="str">
        <f t="shared" si="1"/>
        <v>Ausgrid</v>
      </c>
      <c r="C21" s="570" t="str">
        <f t="shared" si="2"/>
        <v>Residential</v>
      </c>
      <c r="D21" s="570" t="str">
        <f t="shared" si="3"/>
        <v>time of use</v>
      </c>
      <c r="E21" s="570" t="s">
        <v>272</v>
      </c>
      <c r="F21" s="485"/>
      <c r="G21" s="571" t="s">
        <v>79</v>
      </c>
      <c r="H21" s="577"/>
      <c r="I21" s="577"/>
      <c r="J21" s="577">
        <f>SUM(J19:J20)</f>
        <v>0</v>
      </c>
      <c r="K21" s="578"/>
      <c r="L21" s="579"/>
      <c r="M21" s="578" t="str">
        <f t="shared" si="4"/>
        <v/>
      </c>
      <c r="N21" s="580"/>
      <c r="O21" s="577"/>
      <c r="P21" s="577"/>
      <c r="Q21" s="577">
        <f>SUM(Q19:Q20)</f>
        <v>772.78441105381444</v>
      </c>
      <c r="R21" s="578"/>
      <c r="S21" s="578"/>
      <c r="T21" s="578"/>
      <c r="U21" s="578"/>
      <c r="V21" s="578"/>
      <c r="W21" s="578"/>
      <c r="X21" s="484"/>
      <c r="Y21" s="484"/>
      <c r="Z21" s="578"/>
      <c r="AA21" s="578"/>
      <c r="AB21" s="578"/>
      <c r="AC21" s="578"/>
      <c r="AD21" s="578"/>
      <c r="AE21" s="578"/>
      <c r="AF21" s="578"/>
      <c r="AG21" s="578"/>
      <c r="AH21" s="578"/>
      <c r="AI21" s="578"/>
      <c r="AJ21" s="578"/>
      <c r="AK21" s="578"/>
      <c r="AL21" s="578"/>
      <c r="AM21" s="578"/>
      <c r="AN21" s="578"/>
      <c r="AO21" s="578"/>
      <c r="AP21" s="578"/>
      <c r="AQ21" s="578"/>
    </row>
    <row r="22" spans="2:43" hidden="1" x14ac:dyDescent="0.35">
      <c r="F22" s="258"/>
      <c r="H22" s="482"/>
      <c r="I22" s="482"/>
      <c r="J22" s="482"/>
      <c r="K22" s="484"/>
      <c r="L22" s="567"/>
      <c r="M22" s="484"/>
      <c r="N22" s="568"/>
      <c r="O22" s="482"/>
      <c r="P22" s="482"/>
      <c r="Q22" s="482"/>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row>
    <row r="23" spans="2:43" hidden="1" x14ac:dyDescent="0.35">
      <c r="E23" s="570"/>
      <c r="F23" s="258"/>
      <c r="H23" s="482"/>
      <c r="I23" s="482"/>
      <c r="J23" s="482"/>
      <c r="K23" s="484"/>
      <c r="L23" s="567"/>
      <c r="M23" s="484"/>
      <c r="N23" s="568"/>
      <c r="O23" s="482"/>
      <c r="P23" s="482"/>
      <c r="Q23" s="482"/>
      <c r="R23" s="484"/>
      <c r="S23" s="484"/>
      <c r="T23" s="484"/>
      <c r="U23" s="484"/>
      <c r="V23" s="484"/>
      <c r="W23" s="484"/>
      <c r="X23" s="484"/>
      <c r="Y23" s="484"/>
      <c r="Z23" s="484"/>
      <c r="AA23" s="484"/>
      <c r="AB23" s="484"/>
      <c r="AC23" s="484"/>
      <c r="AD23" s="484"/>
      <c r="AE23" s="484"/>
      <c r="AF23" s="484"/>
      <c r="AG23" s="484"/>
      <c r="AH23" s="484"/>
      <c r="AI23" s="484"/>
      <c r="AJ23" s="484"/>
      <c r="AK23" s="484"/>
      <c r="AL23" s="484"/>
      <c r="AM23" s="484"/>
      <c r="AN23" s="484"/>
      <c r="AO23" s="484"/>
      <c r="AP23" s="484"/>
      <c r="AQ23" s="484"/>
    </row>
    <row r="24" spans="2:43" hidden="1" x14ac:dyDescent="0.35">
      <c r="B24" s="64"/>
      <c r="C24" s="64"/>
      <c r="D24" s="64"/>
      <c r="F24" s="258"/>
      <c r="H24" s="482"/>
      <c r="I24" s="482"/>
      <c r="J24" s="482"/>
      <c r="K24" s="484"/>
      <c r="L24" s="567"/>
      <c r="M24" s="568"/>
      <c r="N24" s="568"/>
      <c r="O24" s="482"/>
      <c r="P24" s="482"/>
      <c r="Q24" s="482"/>
      <c r="R24" s="484"/>
      <c r="S24" s="484"/>
      <c r="T24" s="484"/>
      <c r="U24" s="484"/>
      <c r="V24" s="484"/>
      <c r="W24" s="484"/>
      <c r="X24" s="484"/>
      <c r="Y24" s="484"/>
      <c r="Z24" s="484"/>
      <c r="AA24" s="484"/>
      <c r="AB24" s="484"/>
      <c r="AC24" s="484"/>
      <c r="AD24" s="484"/>
      <c r="AE24" s="484"/>
      <c r="AF24" s="484"/>
      <c r="AG24" s="484"/>
      <c r="AH24" s="484"/>
      <c r="AI24" s="484"/>
      <c r="AJ24" s="484"/>
      <c r="AK24" s="484"/>
      <c r="AL24" s="484"/>
      <c r="AM24" s="484"/>
      <c r="AN24" s="484"/>
      <c r="AO24" s="484"/>
      <c r="AP24" s="484"/>
      <c r="AQ24" s="484"/>
    </row>
    <row r="25" spans="2:43" hidden="1" x14ac:dyDescent="0.35">
      <c r="F25" s="258"/>
      <c r="G25" s="511"/>
      <c r="H25" s="482"/>
      <c r="I25" s="482"/>
      <c r="J25" s="482"/>
      <c r="K25" s="484"/>
      <c r="L25" s="484"/>
      <c r="M25" s="484"/>
      <c r="N25" s="563"/>
      <c r="O25" s="482"/>
      <c r="P25" s="482"/>
      <c r="Q25" s="482"/>
      <c r="R25" s="484"/>
      <c r="S25" s="484"/>
      <c r="T25" s="484"/>
      <c r="U25" s="484"/>
      <c r="V25" s="484"/>
      <c r="W25" s="484"/>
      <c r="X25" s="484"/>
      <c r="Y25" s="484"/>
      <c r="Z25" s="484"/>
      <c r="AA25" s="484"/>
      <c r="AB25" s="484"/>
      <c r="AC25" s="484"/>
      <c r="AD25" s="484"/>
      <c r="AE25" s="484"/>
      <c r="AF25" s="484"/>
      <c r="AG25" s="484"/>
      <c r="AH25" s="484"/>
      <c r="AI25" s="484"/>
      <c r="AJ25" s="484"/>
      <c r="AK25" s="484"/>
      <c r="AL25" s="484"/>
      <c r="AM25" s="484"/>
      <c r="AN25" s="484"/>
      <c r="AO25" s="484"/>
      <c r="AP25" s="484"/>
      <c r="AQ25" s="484"/>
    </row>
    <row r="26" spans="2:43" x14ac:dyDescent="0.35">
      <c r="F26" s="258"/>
      <c r="H26" s="482"/>
      <c r="I26" s="482"/>
      <c r="J26" s="482"/>
      <c r="K26" s="484"/>
      <c r="L26" s="484"/>
      <c r="M26" s="484"/>
      <c r="N26" s="563"/>
      <c r="O26" s="482"/>
      <c r="P26" s="482"/>
      <c r="Q26" s="482"/>
      <c r="R26" s="484"/>
      <c r="S26" s="484"/>
      <c r="T26" s="484"/>
      <c r="U26" s="484"/>
      <c r="V26" s="484"/>
      <c r="W26" s="484"/>
      <c r="X26" s="484"/>
      <c r="Y26" s="484"/>
      <c r="Z26" s="484"/>
      <c r="AA26" s="484"/>
      <c r="AB26" s="484"/>
      <c r="AC26" s="484"/>
      <c r="AD26" s="484"/>
      <c r="AE26" s="484"/>
      <c r="AF26" s="484"/>
      <c r="AG26" s="484"/>
      <c r="AH26" s="484"/>
      <c r="AI26" s="484"/>
      <c r="AJ26" s="484"/>
      <c r="AK26" s="484"/>
      <c r="AL26" s="484"/>
      <c r="AM26" s="484"/>
      <c r="AN26" s="484"/>
      <c r="AO26" s="484"/>
      <c r="AP26" s="484"/>
      <c r="AQ26" s="484"/>
    </row>
    <row r="27" spans="2:43" x14ac:dyDescent="0.35">
      <c r="B27" s="748" t="s">
        <v>2</v>
      </c>
      <c r="C27" s="748" t="s">
        <v>6</v>
      </c>
      <c r="D27" s="748" t="s">
        <v>276</v>
      </c>
      <c r="E27" s="749"/>
      <c r="F27" s="750"/>
      <c r="G27" s="749"/>
      <c r="H27" s="751"/>
      <c r="I27" s="751"/>
      <c r="J27" s="751"/>
      <c r="K27" s="752"/>
      <c r="L27" s="752"/>
      <c r="M27" s="752"/>
      <c r="N27" s="753"/>
      <c r="O27" s="751"/>
      <c r="P27" s="751"/>
      <c r="Q27" s="751"/>
      <c r="R27" s="752"/>
      <c r="S27" s="484"/>
      <c r="T27" s="484"/>
      <c r="U27" s="484"/>
      <c r="V27" s="484"/>
      <c r="W27" s="484"/>
      <c r="X27" s="484"/>
      <c r="Y27" s="484"/>
      <c r="Z27" s="484"/>
      <c r="AA27" s="484"/>
      <c r="AB27" s="484"/>
      <c r="AC27" s="484"/>
      <c r="AD27" s="484"/>
      <c r="AE27" s="484"/>
      <c r="AF27" s="484"/>
      <c r="AG27" s="484"/>
      <c r="AH27" s="484"/>
      <c r="AI27" s="484"/>
      <c r="AJ27" s="484"/>
      <c r="AK27" s="484"/>
      <c r="AL27" s="484"/>
      <c r="AM27" s="484"/>
      <c r="AN27" s="484"/>
      <c r="AO27" s="484"/>
      <c r="AP27" s="484"/>
      <c r="AQ27" s="484"/>
    </row>
    <row r="28" spans="2:43" x14ac:dyDescent="0.35">
      <c r="B28" s="749" t="str">
        <f>B$8</f>
        <v>Ausgrid</v>
      </c>
      <c r="C28" s="749" t="str">
        <f t="shared" ref="C28:D32" si="5">C$8</f>
        <v>Residential</v>
      </c>
      <c r="D28" s="749" t="str">
        <f>D$8</f>
        <v>flat rate</v>
      </c>
      <c r="E28" s="749" t="s">
        <v>19</v>
      </c>
      <c r="F28" s="750" cm="1">
        <f t="array" ref="F28">IFERROR(_xlfn.XLOOKUP(1,($B28=DistributionZone)*('Network cost'!$C28=CustomerType)*('Network cost'!$E28=tariffType)*('Network cost'!F$5=Description),valuesFY),0)</f>
        <v>3900</v>
      </c>
      <c r="G28" s="749" t="s">
        <v>57</v>
      </c>
      <c r="H28" s="751" cm="1">
        <f t="array" ref="H28">IFERROR(_xlfn.XLOOKUP(1,($B28=DistributionZone)*('Network cost'!$C28=CustomerType)*('Network cost'!$E28=tariffType)*('Network cost'!H$5=Desc_FixedOrVar)*('Network cost'!$G28=Description),valuesPY),0)</f>
        <v>163.36480830293462</v>
      </c>
      <c r="I28" s="751" cm="1">
        <f t="array" ref="I28">IFERROR(_xlfn.XLOOKUP(1,($B28=DistributionZone)*('Network cost'!$C28=CustomerType)*('Network cost'!$E28=tariffType)*('Network cost'!I$5=Desc_FixedOrVar)*('Network cost'!$G28=Description),valuesPY),0)</f>
        <v>116.999923689255</v>
      </c>
      <c r="J28" s="751">
        <f>H28+I28*F28/1000</f>
        <v>619.66451069102914</v>
      </c>
      <c r="K28" s="752">
        <f>IFERROR(J28/J30,"")</f>
        <v>0.95744776257724917</v>
      </c>
      <c r="L28" s="752"/>
      <c r="M28" s="752">
        <f>IF(OR(J28=0,J28="",Q28=""),"",Q28/J28-1)</f>
        <v>9.5660703930289026E-2</v>
      </c>
      <c r="N28" s="753"/>
      <c r="O28" s="751">
        <f>SUM((O9*Aus_RESI_flat_proportion),(O16*Aus_RESI_tou_proportion),(O17*Aus_RESI_tou_proportion))</f>
        <v>199.04300335307653</v>
      </c>
      <c r="P28" s="751">
        <f>SUM((P9*Aus_RESI_flat_proportion),(P16*Aus_RESI_tou_proportion*F16/F18),(P17*Aus_RESI_tou_proportion*F17/F18))</f>
        <v>123.05103862340374</v>
      </c>
      <c r="Q28" s="751">
        <f>O28+P28*$F28/1000</f>
        <v>678.94205398435111</v>
      </c>
      <c r="R28" s="752">
        <f>IFERROR(Q28/Q30,"")</f>
        <v>0.95965975413896332</v>
      </c>
      <c r="S28" s="484"/>
      <c r="T28" s="484"/>
      <c r="U28" s="484"/>
      <c r="V28" s="484"/>
      <c r="W28" s="484"/>
      <c r="X28" s="484"/>
      <c r="Y28" s="484"/>
      <c r="Z28" s="484"/>
      <c r="AA28" s="484"/>
      <c r="AB28" s="484"/>
      <c r="AC28" s="484"/>
      <c r="AD28" s="484"/>
      <c r="AE28" s="484"/>
      <c r="AF28" s="484"/>
      <c r="AG28" s="484"/>
      <c r="AH28" s="484"/>
      <c r="AI28" s="484"/>
      <c r="AJ28" s="484"/>
      <c r="AK28" s="484"/>
      <c r="AL28" s="484"/>
      <c r="AM28" s="484"/>
      <c r="AN28" s="484"/>
      <c r="AO28" s="484"/>
      <c r="AP28" s="484"/>
      <c r="AQ28" s="484"/>
    </row>
    <row r="29" spans="2:43" x14ac:dyDescent="0.35">
      <c r="B29" s="749" t="str">
        <f>B$8</f>
        <v>Ausgrid</v>
      </c>
      <c r="C29" s="749" t="str">
        <f t="shared" si="5"/>
        <v>Residential</v>
      </c>
      <c r="D29" s="749" t="str">
        <f t="shared" si="5"/>
        <v>flat rate</v>
      </c>
      <c r="E29" s="749" t="s">
        <v>19</v>
      </c>
      <c r="F29" s="750" cm="1">
        <f t="array" ref="F29">IFERROR(_xlfn.XLOOKUP(1,($B29=DistributionZone)*('Network cost'!$C29=CustomerType)*('Network cost'!$E29=tariffType)*('Network cost'!F$5=Description),valuesFY),0)</f>
        <v>3900</v>
      </c>
      <c r="G29" s="749" t="s">
        <v>61</v>
      </c>
      <c r="H29" s="751" cm="1">
        <f t="array" ref="H29">IFERROR(_xlfn.XLOOKUP(1,($B29=DistributionZone)*('Network cost'!$C29=CustomerType)*('Network cost'!$E29=tariffType)*('Network cost'!H$5=Desc_FixedOrVar)*('Network cost'!$G29=Description),valuesPY),0)</f>
        <v>27.54</v>
      </c>
      <c r="I29" s="751" cm="1">
        <f t="array" ref="I29">IFERROR(_xlfn.XLOOKUP(1,($B29=DistributionZone)*('Network cost'!$C29=CustomerType)*('Network cost'!$E29=tariffType)*('Network cost'!I$5=Desc_FixedOrVar)*('Network cost'!$G29=Description),valuesPY),0)</f>
        <v>0</v>
      </c>
      <c r="J29" s="751">
        <f>H29+I29*F29/1000</f>
        <v>27.54</v>
      </c>
      <c r="K29" s="752">
        <f>IFERROR(J29/J30,"")</f>
        <v>4.255223742275091E-2</v>
      </c>
      <c r="L29" s="752"/>
      <c r="M29" s="752">
        <f>IF(OR(J29=0,J29="",Q29=""),"",Q29/J29-1)</f>
        <v>3.6310820624546158E-2</v>
      </c>
      <c r="N29" s="753"/>
      <c r="O29" s="751">
        <f>SUM((O10*Aus_RESI_flat_proportion),(O18*Aus_RESI_tou_proportion))</f>
        <v>28.54</v>
      </c>
      <c r="P29" s="751">
        <f>SUM((P10*Aus_RESI_flat_proportion),(P18*Aus_RESI_tou_proportion))</f>
        <v>0</v>
      </c>
      <c r="Q29" s="751">
        <f>O29+P29*$F29/1000</f>
        <v>28.54</v>
      </c>
      <c r="R29" s="752">
        <f>IFERROR(Q29/Q30,"")</f>
        <v>4.0340245861036753E-2</v>
      </c>
      <c r="S29" s="484"/>
      <c r="T29" s="484"/>
      <c r="U29" s="484"/>
      <c r="V29" s="484"/>
      <c r="W29" s="484"/>
      <c r="X29" s="484"/>
      <c r="Y29" s="484"/>
      <c r="Z29" s="484"/>
      <c r="AA29" s="484"/>
      <c r="AB29" s="484"/>
      <c r="AC29" s="484"/>
      <c r="AD29" s="484"/>
      <c r="AE29" s="484"/>
      <c r="AF29" s="484"/>
      <c r="AG29" s="484"/>
      <c r="AH29" s="484"/>
      <c r="AI29" s="484"/>
      <c r="AJ29" s="484"/>
      <c r="AK29" s="484"/>
      <c r="AL29" s="484"/>
      <c r="AM29" s="484"/>
      <c r="AN29" s="484"/>
      <c r="AO29" s="484"/>
      <c r="AP29" s="484"/>
      <c r="AQ29" s="484"/>
    </row>
    <row r="30" spans="2:43" s="64" customFormat="1" x14ac:dyDescent="0.35">
      <c r="B30" s="749" t="str">
        <f>B$8</f>
        <v>Ausgrid</v>
      </c>
      <c r="C30" s="749" t="str">
        <f t="shared" si="5"/>
        <v>Residential</v>
      </c>
      <c r="D30" s="749" t="str">
        <f t="shared" si="5"/>
        <v>flat rate</v>
      </c>
      <c r="E30" s="749" t="s">
        <v>396</v>
      </c>
      <c r="F30" s="750">
        <f>F29</f>
        <v>3900</v>
      </c>
      <c r="G30" s="748" t="s">
        <v>55</v>
      </c>
      <c r="H30" s="754">
        <f>SUM(H28:H29)</f>
        <v>190.90480830293461</v>
      </c>
      <c r="I30" s="754">
        <f>SUM(I28:I29)</f>
        <v>116.999923689255</v>
      </c>
      <c r="J30" s="754">
        <f>SUM(J28:J29)</f>
        <v>647.2045106910291</v>
      </c>
      <c r="K30" s="747"/>
      <c r="L30" s="755"/>
      <c r="M30" s="747">
        <f>IF(OR(J30=0,J30="",Q30=""),"",Q30/J30-1)</f>
        <v>9.3135233604850542E-2</v>
      </c>
      <c r="N30" s="756"/>
      <c r="O30" s="754">
        <f>+O29+O28</f>
        <v>227.58300335307652</v>
      </c>
      <c r="P30" s="754">
        <f>SUM(P28:P29)</f>
        <v>123.05103862340374</v>
      </c>
      <c r="Q30" s="754">
        <f>SUM(Q28:Q29)</f>
        <v>707.48205398435107</v>
      </c>
      <c r="R30" s="752"/>
      <c r="S30" s="484"/>
      <c r="T30" s="484"/>
      <c r="U30" s="484"/>
      <c r="V30" s="484"/>
      <c r="W30" s="484"/>
      <c r="X30" s="484"/>
      <c r="Y30" s="484"/>
      <c r="Z30" s="484"/>
      <c r="AA30" s="484"/>
      <c r="AB30" s="484"/>
      <c r="AC30" s="484"/>
      <c r="AD30" s="484"/>
      <c r="AE30" s="484"/>
      <c r="AF30" s="484"/>
      <c r="AG30" s="484"/>
      <c r="AH30" s="484"/>
      <c r="AI30" s="484"/>
      <c r="AJ30" s="484"/>
      <c r="AK30" s="484"/>
      <c r="AL30" s="484"/>
      <c r="AM30" s="484"/>
      <c r="AN30" s="484"/>
      <c r="AO30" s="484"/>
      <c r="AP30" s="484"/>
      <c r="AQ30" s="484"/>
    </row>
    <row r="31" spans="2:43" s="64" customFormat="1" x14ac:dyDescent="0.35">
      <c r="B31" s="749" t="str">
        <f>B$8</f>
        <v>Ausgrid</v>
      </c>
      <c r="C31" s="749" t="str">
        <f t="shared" si="5"/>
        <v>Residential</v>
      </c>
      <c r="D31" s="749" t="str">
        <f t="shared" si="5"/>
        <v>flat rate</v>
      </c>
      <c r="E31" s="749" t="s">
        <v>19</v>
      </c>
      <c r="F31" s="750"/>
      <c r="G31" s="749" t="s">
        <v>38</v>
      </c>
      <c r="H31" s="751"/>
      <c r="I31" s="751"/>
      <c r="J31" s="751">
        <f>J30*GST</f>
        <v>64.720451069102907</v>
      </c>
      <c r="K31" s="752"/>
      <c r="L31" s="757"/>
      <c r="M31" s="752">
        <f>IF(OR(J31=0,J31="",Q31=""),"",Q31/J31-1)</f>
        <v>9.3135233604850542E-2</v>
      </c>
      <c r="N31" s="758"/>
      <c r="O31" s="751"/>
      <c r="P31" s="751"/>
      <c r="Q31" s="751">
        <f>Q30*GST</f>
        <v>70.748205398435104</v>
      </c>
      <c r="R31" s="752"/>
      <c r="S31" s="484"/>
      <c r="T31" s="484"/>
      <c r="U31" s="484"/>
      <c r="V31" s="484"/>
      <c r="W31" s="484"/>
      <c r="X31" s="484"/>
      <c r="Y31" s="484"/>
      <c r="Z31" s="484"/>
      <c r="AA31" s="484"/>
      <c r="AB31" s="484"/>
      <c r="AC31" s="484"/>
      <c r="AD31" s="484"/>
      <c r="AE31" s="484"/>
      <c r="AF31" s="484"/>
      <c r="AG31" s="484"/>
      <c r="AH31" s="484"/>
      <c r="AI31" s="484"/>
      <c r="AJ31" s="484"/>
      <c r="AK31" s="484"/>
      <c r="AL31" s="484"/>
      <c r="AM31" s="484"/>
      <c r="AN31" s="484"/>
      <c r="AO31" s="484"/>
      <c r="AP31" s="484"/>
      <c r="AQ31" s="484"/>
    </row>
    <row r="32" spans="2:43" s="64" customFormat="1" x14ac:dyDescent="0.35">
      <c r="B32" s="749" t="str">
        <f>B$8</f>
        <v>Ausgrid</v>
      </c>
      <c r="C32" s="749" t="str">
        <f t="shared" si="5"/>
        <v>Residential</v>
      </c>
      <c r="D32" s="749" t="str">
        <f t="shared" si="5"/>
        <v>flat rate</v>
      </c>
      <c r="E32" s="749" t="s">
        <v>396</v>
      </c>
      <c r="F32" s="750"/>
      <c r="G32" s="748" t="s">
        <v>79</v>
      </c>
      <c r="H32" s="754"/>
      <c r="I32" s="754"/>
      <c r="J32" s="754">
        <f>SUM(J30:J31)</f>
        <v>711.92496176013196</v>
      </c>
      <c r="K32" s="747"/>
      <c r="L32" s="755"/>
      <c r="M32" s="747">
        <f>IF(OR(J32=0,J32="",Q32=""),"",Q32/J32-1)</f>
        <v>9.3135233604850542E-2</v>
      </c>
      <c r="N32" s="756"/>
      <c r="O32" s="754"/>
      <c r="P32" s="759"/>
      <c r="Q32" s="759">
        <f>SUM(Q30:Q31)</f>
        <v>778.23025938278613</v>
      </c>
      <c r="R32" s="747"/>
      <c r="S32" s="564"/>
      <c r="T32" s="564"/>
      <c r="U32" s="564"/>
      <c r="V32" s="564"/>
      <c r="W32" s="564"/>
      <c r="X32" s="484"/>
      <c r="Y32" s="484"/>
      <c r="Z32" s="564"/>
      <c r="AA32" s="564"/>
      <c r="AB32" s="564"/>
      <c r="AC32" s="564"/>
      <c r="AD32" s="564"/>
      <c r="AE32" s="564"/>
      <c r="AF32" s="564"/>
      <c r="AG32" s="564"/>
      <c r="AH32" s="564"/>
      <c r="AI32" s="564"/>
      <c r="AJ32" s="564"/>
      <c r="AK32" s="564"/>
      <c r="AL32" s="564"/>
      <c r="AM32" s="564"/>
      <c r="AN32" s="564"/>
      <c r="AO32" s="564"/>
      <c r="AP32" s="564"/>
      <c r="AQ32" s="564"/>
    </row>
    <row r="33" spans="2:43" x14ac:dyDescent="0.35">
      <c r="F33" s="258"/>
      <c r="G33" s="511"/>
      <c r="H33" s="482"/>
      <c r="I33" s="482"/>
      <c r="J33" s="482"/>
      <c r="K33" s="484"/>
      <c r="L33" s="484"/>
      <c r="M33" s="484"/>
      <c r="N33" s="563"/>
      <c r="O33" s="482"/>
      <c r="P33" s="482"/>
      <c r="Q33" s="482"/>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84"/>
      <c r="AP33" s="484"/>
      <c r="AQ33" s="484"/>
    </row>
    <row r="34" spans="2:43" x14ac:dyDescent="0.35">
      <c r="B34" s="64" t="s">
        <v>2</v>
      </c>
      <c r="C34" s="64"/>
      <c r="D34" s="64" t="s">
        <v>285</v>
      </c>
      <c r="F34" s="258"/>
      <c r="G34" s="64"/>
      <c r="H34" s="487"/>
      <c r="I34" s="487"/>
      <c r="J34" s="487"/>
      <c r="K34" s="564"/>
      <c r="L34" s="565"/>
      <c r="M34" s="564"/>
      <c r="N34" s="566"/>
      <c r="O34" s="487"/>
      <c r="P34" s="487"/>
      <c r="Q34" s="487"/>
      <c r="R34" s="484"/>
      <c r="S34" s="484"/>
      <c r="T34" s="484"/>
      <c r="U34" s="484"/>
      <c r="V34" s="484"/>
      <c r="W34" s="484"/>
      <c r="X34" s="484"/>
      <c r="Y34" s="484"/>
      <c r="Z34" s="484"/>
      <c r="AA34" s="484"/>
      <c r="AB34" s="484"/>
      <c r="AC34" s="484"/>
      <c r="AD34" s="484"/>
      <c r="AE34" s="484"/>
      <c r="AF34" s="484"/>
      <c r="AG34" s="484"/>
      <c r="AH34" s="484"/>
      <c r="AI34" s="484"/>
      <c r="AJ34" s="484"/>
      <c r="AK34" s="484"/>
      <c r="AL34" s="484"/>
      <c r="AM34" s="484"/>
      <c r="AN34" s="484"/>
      <c r="AO34" s="484"/>
      <c r="AP34" s="484"/>
      <c r="AQ34" s="484"/>
    </row>
    <row r="35" spans="2:43" x14ac:dyDescent="0.35">
      <c r="B35" s="30" t="str">
        <f>B34</f>
        <v>Ausgrid</v>
      </c>
      <c r="D35" s="30" t="str">
        <f>D34</f>
        <v>controlled load</v>
      </c>
      <c r="E35" s="30" t="s">
        <v>14</v>
      </c>
      <c r="F35" s="258" cm="1">
        <f t="array" ref="F35">IFERROR(_xlfn.XLOOKUP(1,($B35=DistributionZone)*('Network cost'!$C35=CustomerType)*('Network cost'!$E35=tariffType)*('Network cost'!F$5=Description),valuesFY),0)</f>
        <v>1340</v>
      </c>
      <c r="G35" s="511" t="s">
        <v>57</v>
      </c>
      <c r="H35" s="482" cm="1">
        <f t="array" ref="H35">IFERROR(_xlfn.XLOOKUP(1,($B35=DistributionZone)*('Network cost'!$C35=CustomerType)*('Network cost'!$E35=tariffType)*('Network cost'!H$5=Desc_FixedOrVar)*('Network cost'!$G35=Description),valuesPY),0)*_xlfn.XLOOKUP(1,($B35=DistributionZone)*('Network cost'!$C35=CustomerType)*("CL1 Proportion"=Description),valuesPY)</f>
        <v>3.6295167329392779</v>
      </c>
      <c r="I35" s="482" cm="1">
        <f t="array" ref="I35">IFERROR(_xlfn.XLOOKUP(1,($B35=DistributionZone)*('Network cost'!$C35=CustomerType)*('Network cost'!$E35=tariffType)*('Network cost'!I$5=Desc_FixedOrVar)*('Network cost'!$G35=Description),valuesPY),0)</f>
        <v>26.827289528063002</v>
      </c>
      <c r="J35" s="482">
        <f t="shared" ref="J35:J40" si="6">H35+I35*F35/1000</f>
        <v>39.578084700543705</v>
      </c>
      <c r="K35" s="484">
        <f>IFERROR(J35/J37,"")</f>
        <v>0.86765913640434111</v>
      </c>
      <c r="L35" s="484"/>
      <c r="M35" s="484">
        <f t="shared" ref="M35:M43" si="7">IF(OR(J35=0,J35="",Q35=""),"",Q35/J35-1)</f>
        <v>0.14097992652075675</v>
      </c>
      <c r="N35" s="563"/>
      <c r="O35" s="482" cm="1">
        <f t="array" ref="O35">IFERROR(_xlfn.XLOOKUP(1,($B35=DistributionZone)*('Network cost'!$C35=CustomerType)*('Network cost'!$E35=tariffType)*('Network cost'!O$5=Desc_FixedOrVar)*('Network cost'!$G35=Description),valuesFY),0)</f>
        <v>5.4171891536407131</v>
      </c>
      <c r="P35" s="482" cm="1">
        <f t="array" ref="P35">IFERROR(_xlfn.XLOOKUP(1,($B35=DistributionZone)*('Network cost'!$C35=CustomerType)*('Network cost'!$E35=tariffType)*('Network cost'!P$5=Desc_FixedOrVar)*('Network cost'!$G35=Description),valuesFY),0)</f>
        <v>29.657172402849202</v>
      </c>
      <c r="Q35" s="482">
        <f t="shared" ref="Q35:Q40" si="8">O35+P35*$F35/1000</f>
        <v>45.157800173458646</v>
      </c>
      <c r="R35" s="484">
        <f>IFERROR(Q35/Q37,"")</f>
        <v>0.82861693554102878</v>
      </c>
      <c r="S35" s="484"/>
      <c r="T35" s="484"/>
      <c r="U35" s="484"/>
      <c r="V35" s="484"/>
      <c r="W35" s="484"/>
      <c r="X35" s="484"/>
      <c r="Y35" s="484"/>
      <c r="Z35" s="484"/>
      <c r="AA35" s="484"/>
      <c r="AB35" s="484"/>
      <c r="AC35" s="484"/>
      <c r="AD35" s="484"/>
      <c r="AE35" s="484"/>
      <c r="AF35" s="484"/>
      <c r="AG35" s="484"/>
      <c r="AH35" s="484"/>
      <c r="AI35" s="484"/>
      <c r="AJ35" s="484"/>
      <c r="AK35" s="484"/>
      <c r="AL35" s="484"/>
      <c r="AM35" s="484"/>
      <c r="AN35" s="484"/>
      <c r="AO35" s="484"/>
      <c r="AP35" s="484"/>
      <c r="AQ35" s="484"/>
    </row>
    <row r="36" spans="2:43" x14ac:dyDescent="0.35">
      <c r="B36" s="30" t="str">
        <f t="shared" ref="B36:B43" si="9">B35</f>
        <v>Ausgrid</v>
      </c>
      <c r="D36" s="30" t="str">
        <f t="shared" ref="D36:D43" si="10">D35</f>
        <v>controlled load</v>
      </c>
      <c r="E36" s="30" t="s">
        <v>14</v>
      </c>
      <c r="F36" s="258">
        <f>F35</f>
        <v>1340</v>
      </c>
      <c r="G36" s="511" t="s">
        <v>61</v>
      </c>
      <c r="H36" s="482" cm="1">
        <f t="array" ref="H36">IFERROR(_xlfn.XLOOKUP(1,($B36=DistributionZone)*('Network cost'!$C36=CustomerType)*('Network cost'!$E36=tariffType)*('Network cost'!H$5=Desc_FixedOrVar)*('Network cost'!$G36=Description),valuesPY),0)*_xlfn.XLOOKUP(1,($B36=DistributionZone)*('Network cost'!$C36=CustomerType)*("CL1 Proportion"=Description),valuesPY)</f>
        <v>6.0367000000000006</v>
      </c>
      <c r="I36" s="482" cm="1">
        <f t="array" ref="I36">IFERROR(_xlfn.XLOOKUP(1,($B36=DistributionZone)*('Network cost'!$C36=CustomerType)*('Network cost'!$E36=tariffType)*('Network cost'!I$5=Desc_FixedOrVar)*('Network cost'!$G36=Description),valuesPY),0)</f>
        <v>0</v>
      </c>
      <c r="J36" s="482">
        <f t="shared" si="6"/>
        <v>6.0367000000000006</v>
      </c>
      <c r="K36" s="484">
        <f>IFERROR(J36/J37,"")</f>
        <v>0.13234086359565883</v>
      </c>
      <c r="L36" s="484"/>
      <c r="M36" s="484">
        <f t="shared" si="7"/>
        <v>0.54720294200473751</v>
      </c>
      <c r="N36" s="563"/>
      <c r="O36" s="482" cm="1">
        <f t="array" ref="O36">IFERROR(_xlfn.XLOOKUP(1,($B36=DistributionZone)*('Network cost'!$C36=CustomerType)*('Network cost'!$E36=tariffType)*('Network cost'!O$5=Desc_FixedOrVar)*('Network cost'!$G36=Description),valuesFY),0)</f>
        <v>9.34</v>
      </c>
      <c r="P36" s="482" cm="1">
        <f t="array" ref="P36">IFERROR(_xlfn.XLOOKUP(1,($B36=DistributionZone)*('Network cost'!$C36=CustomerType)*('Network cost'!$E36=tariffType)*('Network cost'!P$5=Desc_FixedOrVar)*('Network cost'!$G36=Description),valuesFY),0)</f>
        <v>0</v>
      </c>
      <c r="Q36" s="482">
        <f t="shared" si="8"/>
        <v>9.34</v>
      </c>
      <c r="R36" s="484">
        <f>IFERROR(Q36/Q37,"")</f>
        <v>0.17138306445897131</v>
      </c>
      <c r="S36" s="484"/>
      <c r="T36" s="484"/>
      <c r="U36" s="484"/>
      <c r="V36" s="484"/>
      <c r="W36" s="484"/>
      <c r="X36" s="484"/>
      <c r="Y36" s="484"/>
      <c r="Z36" s="484"/>
      <c r="AA36" s="484"/>
      <c r="AB36" s="484"/>
      <c r="AC36" s="484"/>
      <c r="AD36" s="484"/>
      <c r="AE36" s="484"/>
      <c r="AF36" s="484"/>
      <c r="AG36" s="484"/>
      <c r="AH36" s="484"/>
      <c r="AI36" s="484"/>
      <c r="AJ36" s="484"/>
      <c r="AK36" s="484"/>
      <c r="AL36" s="484"/>
      <c r="AM36" s="484"/>
      <c r="AN36" s="484"/>
      <c r="AO36" s="484"/>
      <c r="AP36" s="484"/>
      <c r="AQ36" s="484"/>
    </row>
    <row r="37" spans="2:43" x14ac:dyDescent="0.35">
      <c r="B37" s="30" t="str">
        <f t="shared" si="9"/>
        <v>Ausgrid</v>
      </c>
      <c r="D37" s="30" t="str">
        <f t="shared" si="10"/>
        <v>controlled load</v>
      </c>
      <c r="E37" s="30" t="s">
        <v>14</v>
      </c>
      <c r="F37" s="258">
        <f>F36</f>
        <v>1340</v>
      </c>
      <c r="G37" s="64" t="s">
        <v>55</v>
      </c>
      <c r="H37" s="487">
        <f>SUM(H35:H36)</f>
        <v>9.6662167329392794</v>
      </c>
      <c r="I37" s="487">
        <f>SUM(I35:I36)</f>
        <v>26.827289528063002</v>
      </c>
      <c r="J37" s="487">
        <f t="shared" si="6"/>
        <v>45.614784700543709</v>
      </c>
      <c r="K37" s="564"/>
      <c r="L37" s="565"/>
      <c r="M37" s="564">
        <f t="shared" si="7"/>
        <v>0.1947398312023394</v>
      </c>
      <c r="N37" s="566"/>
      <c r="O37" s="487">
        <f>SUM(O35:O36)</f>
        <v>14.757189153640713</v>
      </c>
      <c r="P37" s="487">
        <f>SUM(P35:P36)</f>
        <v>29.657172402849202</v>
      </c>
      <c r="Q37" s="487">
        <f t="shared" si="8"/>
        <v>54.497800173458643</v>
      </c>
      <c r="R37" s="484"/>
      <c r="S37" s="484"/>
      <c r="T37" s="484"/>
      <c r="U37" s="484"/>
      <c r="V37" s="484"/>
      <c r="W37" s="484"/>
      <c r="X37" s="484"/>
      <c r="Y37" s="484"/>
      <c r="Z37" s="484"/>
      <c r="AA37" s="484"/>
      <c r="AB37" s="484"/>
      <c r="AC37" s="484"/>
      <c r="AD37" s="484"/>
      <c r="AE37" s="484"/>
      <c r="AF37" s="484"/>
      <c r="AG37" s="484"/>
      <c r="AH37" s="484"/>
      <c r="AI37" s="484"/>
      <c r="AJ37" s="484"/>
      <c r="AK37" s="484"/>
      <c r="AL37" s="484"/>
      <c r="AM37" s="484"/>
      <c r="AN37" s="484"/>
      <c r="AO37" s="484"/>
      <c r="AP37" s="484"/>
      <c r="AQ37" s="484"/>
    </row>
    <row r="38" spans="2:43" x14ac:dyDescent="0.35">
      <c r="B38" s="30" t="str">
        <f t="shared" si="9"/>
        <v>Ausgrid</v>
      </c>
      <c r="D38" s="30" t="str">
        <f t="shared" si="10"/>
        <v>controlled load</v>
      </c>
      <c r="E38" s="30" t="s">
        <v>15</v>
      </c>
      <c r="F38" s="258" cm="1">
        <f t="array" ref="F38">IFERROR(_xlfn.XLOOKUP(1,($B38=DistributionZone)*('Network cost'!$C38=CustomerType)*('Network cost'!$E38=tariffType)*('Network cost'!F$5=Description),valuesFY),0)</f>
        <v>660</v>
      </c>
      <c r="G38" s="511" t="s">
        <v>57</v>
      </c>
      <c r="H38" s="482" cm="1">
        <f t="array" ref="H38">IFERROR(_xlfn.XLOOKUP(1,($B38=DistributionZone)*('Network cost'!$C38=CustomerType)*('Network cost'!$E38=tariffType)*('Network cost'!H$5=Desc_FixedOrVar)*('Network cost'!$G38=Description),valuesPY),0)*(_xlfn.XLOOKUP(1,($B38=DistributionZone)*('Network cost'!$C38=CustomerType)*($D38=tariffL2)*($E38=tariffType)*("CL2 Proportion"=Description),valuesPY))</f>
        <v>6.284161309161024</v>
      </c>
      <c r="I38" s="482" cm="1">
        <f t="array" ref="I38">IFERROR(_xlfn.XLOOKUP(1,($B38=DistributionZone)*('Network cost'!$C38=CustomerType)*('Network cost'!$E38=tariffType)*('Network cost'!I$5=Desc_FixedOrVar)*('Network cost'!$G38=Description),valuesPY),0)</f>
        <v>50.985317225328195</v>
      </c>
      <c r="J38" s="482">
        <f t="shared" si="6"/>
        <v>39.934470677877634</v>
      </c>
      <c r="K38" s="484">
        <f>IFERROR(J38/J40,"")</f>
        <v>0.93070485944558812</v>
      </c>
      <c r="L38" s="484"/>
      <c r="M38" s="484">
        <f t="shared" si="7"/>
        <v>0.3888989390245603</v>
      </c>
      <c r="N38" s="563"/>
      <c r="O38" s="482" cm="1">
        <f t="array" ref="O38">IFERROR(_xlfn.XLOOKUP(1,($B38=DistributionZone)*('Network cost'!$C38=CustomerType)*('Network cost'!$E38=tariffType)*('Network cost'!O$5=Desc_FixedOrVar)*('Network cost'!$G38=Description),valuesFY),0)</f>
        <v>18.352482060916664</v>
      </c>
      <c r="P38" s="482" cm="1">
        <f t="array" ref="P38">IFERROR(_xlfn.XLOOKUP(1,($B38=DistributionZone)*('Network cost'!$C38=CustomerType)*('Network cost'!$E38=tariffType)*('Network cost'!P$5=Desc_FixedOrVar)*('Network cost'!$G38=Description),valuesFY),0)</f>
        <v>56.2310028698409</v>
      </c>
      <c r="Q38" s="482">
        <f t="shared" si="8"/>
        <v>55.464943955011655</v>
      </c>
      <c r="R38" s="484">
        <f>IFERROR(Q38/Q40,"")</f>
        <v>0.85587519361973474</v>
      </c>
      <c r="S38" s="484"/>
      <c r="T38" s="484"/>
      <c r="U38" s="484"/>
      <c r="V38" s="484"/>
      <c r="W38" s="484"/>
      <c r="X38" s="484"/>
      <c r="Y38" s="484"/>
      <c r="Z38" s="484"/>
      <c r="AA38" s="484"/>
      <c r="AB38" s="484"/>
      <c r="AC38" s="484"/>
      <c r="AD38" s="484"/>
      <c r="AE38" s="484"/>
      <c r="AF38" s="484"/>
      <c r="AG38" s="484"/>
      <c r="AH38" s="484"/>
      <c r="AI38" s="484"/>
      <c r="AJ38" s="484"/>
      <c r="AK38" s="484"/>
      <c r="AL38" s="484"/>
      <c r="AM38" s="484"/>
      <c r="AN38" s="484"/>
      <c r="AO38" s="484"/>
      <c r="AP38" s="484"/>
      <c r="AQ38" s="484"/>
    </row>
    <row r="39" spans="2:43" x14ac:dyDescent="0.35">
      <c r="B39" s="30" t="str">
        <f t="shared" si="9"/>
        <v>Ausgrid</v>
      </c>
      <c r="D39" s="30" t="str">
        <f t="shared" si="10"/>
        <v>controlled load</v>
      </c>
      <c r="E39" s="30" t="s">
        <v>15</v>
      </c>
      <c r="F39" s="258">
        <f>F38</f>
        <v>660</v>
      </c>
      <c r="G39" s="511" t="s">
        <v>61</v>
      </c>
      <c r="H39" s="482" cm="1">
        <f t="array" ref="H39">IFERROR(_xlfn.XLOOKUP(1,($B39=DistributionZone)*('Network cost'!$C39=CustomerType)*('Network cost'!$E39=tariffType)*('Network cost'!H$5=Desc_FixedOrVar)*('Network cost'!$G39=Description),valuesPY),0)*(_xlfn.XLOOKUP(1,($B39=DistributionZone)*('Network cost'!$C39=CustomerType)*("CL2 Proportion"=Description),valuesPY))</f>
        <v>2.9732999999999996</v>
      </c>
      <c r="I39" s="482" cm="1">
        <f t="array" ref="I39">IFERROR(_xlfn.XLOOKUP(1,($B39=DistributionZone)*('Network cost'!$C39=CustomerType)*('Network cost'!$E39=tariffType)*('Network cost'!I$5=Desc_FixedOrVar)*('Network cost'!$G39=Description),valuesPY),0)</f>
        <v>0</v>
      </c>
      <c r="J39" s="482">
        <f t="shared" si="6"/>
        <v>2.9732999999999996</v>
      </c>
      <c r="K39" s="484">
        <f>IFERROR(J39/J40,"")</f>
        <v>6.9295140554411785E-2</v>
      </c>
      <c r="L39" s="484"/>
      <c r="M39" s="484">
        <f t="shared" si="7"/>
        <v>2.1412908216459829</v>
      </c>
      <c r="N39" s="563"/>
      <c r="O39" s="482" cm="1">
        <f t="array" ref="O39">IFERROR(_xlfn.XLOOKUP(1,($B39=DistributionZone)*('Network cost'!$C39=CustomerType)*('Network cost'!$E39=tariffType)*('Network cost'!O$5=Desc_FixedOrVar)*('Network cost'!$G39=Description),valuesFY),0)</f>
        <v>9.34</v>
      </c>
      <c r="P39" s="482" cm="1">
        <f t="array" ref="P39">IFERROR(_xlfn.XLOOKUP(1,($B39=DistributionZone)*('Network cost'!$C39=CustomerType)*('Network cost'!$E39=tariffType)*('Network cost'!P$5=Desc_FixedOrVar)*('Network cost'!$G39=Description),valuesFY),0)</f>
        <v>0</v>
      </c>
      <c r="Q39" s="482">
        <f t="shared" si="8"/>
        <v>9.34</v>
      </c>
      <c r="R39" s="484">
        <f>IFERROR(Q39/Q40,"")</f>
        <v>0.14412480638026531</v>
      </c>
      <c r="S39" s="484"/>
      <c r="T39" s="483"/>
      <c r="U39" s="483"/>
      <c r="V39" s="483"/>
      <c r="W39" s="484"/>
      <c r="X39" s="484"/>
      <c r="Y39" s="484"/>
      <c r="Z39" s="484"/>
      <c r="AA39" s="484"/>
      <c r="AB39" s="484"/>
      <c r="AC39" s="484"/>
      <c r="AD39" s="484"/>
      <c r="AE39" s="484"/>
      <c r="AF39" s="484"/>
      <c r="AG39" s="484"/>
      <c r="AH39" s="484"/>
      <c r="AI39" s="484"/>
      <c r="AJ39" s="484"/>
      <c r="AK39" s="484"/>
      <c r="AL39" s="484"/>
      <c r="AM39" s="484"/>
      <c r="AN39" s="484"/>
      <c r="AO39" s="484"/>
      <c r="AP39" s="484"/>
      <c r="AQ39" s="484"/>
    </row>
    <row r="40" spans="2:43" x14ac:dyDescent="0.35">
      <c r="B40" s="30" t="str">
        <f t="shared" si="9"/>
        <v>Ausgrid</v>
      </c>
      <c r="D40" s="30" t="str">
        <f t="shared" si="10"/>
        <v>controlled load</v>
      </c>
      <c r="E40" s="30" t="s">
        <v>15</v>
      </c>
      <c r="F40" s="258">
        <f>F39</f>
        <v>660</v>
      </c>
      <c r="G40" s="64" t="s">
        <v>55</v>
      </c>
      <c r="H40" s="487">
        <f>SUM(H38:H39)</f>
        <v>9.2574613091610232</v>
      </c>
      <c r="I40" s="487">
        <f>SUM(I38:I39)</f>
        <v>50.985317225328195</v>
      </c>
      <c r="J40" s="487">
        <f t="shared" si="6"/>
        <v>42.907770677877636</v>
      </c>
      <c r="K40" s="564"/>
      <c r="L40" s="565"/>
      <c r="M40" s="564">
        <f t="shared" si="7"/>
        <v>0.51033118083722173</v>
      </c>
      <c r="N40" s="566"/>
      <c r="O40" s="487">
        <f>SUM(O38:O39)</f>
        <v>27.692482060916664</v>
      </c>
      <c r="P40" s="487">
        <f>SUM(P38:P39)</f>
        <v>56.2310028698409</v>
      </c>
      <c r="Q40" s="487">
        <f t="shared" si="8"/>
        <v>64.804943955011652</v>
      </c>
      <c r="R40" s="484"/>
      <c r="S40" s="484"/>
      <c r="T40" s="483"/>
      <c r="U40" s="483"/>
      <c r="V40" s="483"/>
      <c r="W40" s="484"/>
      <c r="X40" s="484"/>
      <c r="Y40" s="484"/>
      <c r="Z40" s="484"/>
      <c r="AA40" s="484"/>
      <c r="AB40" s="484"/>
      <c r="AC40" s="484"/>
      <c r="AD40" s="484"/>
      <c r="AE40" s="484"/>
      <c r="AF40" s="484"/>
      <c r="AG40" s="484"/>
      <c r="AH40" s="484"/>
      <c r="AI40" s="484"/>
      <c r="AJ40" s="484"/>
      <c r="AK40" s="484"/>
      <c r="AL40" s="484"/>
      <c r="AM40" s="484"/>
      <c r="AN40" s="484"/>
      <c r="AO40" s="484"/>
      <c r="AP40" s="484"/>
      <c r="AQ40" s="484"/>
    </row>
    <row r="41" spans="2:43" x14ac:dyDescent="0.35">
      <c r="B41" s="30" t="str">
        <f t="shared" si="9"/>
        <v>Ausgrid</v>
      </c>
      <c r="D41" s="30" t="str">
        <f t="shared" si="10"/>
        <v>controlled load</v>
      </c>
      <c r="E41" s="30" t="s">
        <v>55</v>
      </c>
      <c r="F41" s="258">
        <f>SUM(F25,F35,F38)</f>
        <v>2000</v>
      </c>
      <c r="G41" s="64" t="s">
        <v>55</v>
      </c>
      <c r="H41" s="487">
        <f>SUM(H40,H37)</f>
        <v>18.923678042100303</v>
      </c>
      <c r="I41" s="487">
        <f>SUM(I40,I37)</f>
        <v>77.812606753391194</v>
      </c>
      <c r="J41" s="487">
        <f>SUM(J34,J37,J40)</f>
        <v>88.522555378421345</v>
      </c>
      <c r="K41" s="564"/>
      <c r="L41" s="565"/>
      <c r="M41" s="564">
        <f t="shared" si="7"/>
        <v>0.34771012448147265</v>
      </c>
      <c r="N41" s="566"/>
      <c r="O41" s="487">
        <f>SUM(O40,O37)</f>
        <v>42.449671214557377</v>
      </c>
      <c r="P41" s="487">
        <f>SUM(P40,P37)</f>
        <v>85.888175272690106</v>
      </c>
      <c r="Q41" s="487">
        <f>SUM(Q34,Q37,Q40)</f>
        <v>119.30274412847029</v>
      </c>
      <c r="R41" s="484"/>
      <c r="S41" s="484"/>
      <c r="T41" s="483"/>
      <c r="U41" s="483"/>
      <c r="V41" s="483"/>
      <c r="W41" s="484"/>
      <c r="X41" s="484"/>
      <c r="Y41" s="484"/>
      <c r="Z41" s="484"/>
      <c r="AA41" s="484"/>
      <c r="AB41" s="484"/>
      <c r="AC41" s="484"/>
      <c r="AD41" s="484"/>
      <c r="AE41" s="484"/>
      <c r="AF41" s="484"/>
      <c r="AG41" s="484"/>
      <c r="AH41" s="484"/>
      <c r="AI41" s="484"/>
      <c r="AJ41" s="484"/>
      <c r="AK41" s="484"/>
      <c r="AL41" s="484"/>
      <c r="AM41" s="484"/>
      <c r="AN41" s="484"/>
      <c r="AO41" s="484"/>
      <c r="AP41" s="484"/>
      <c r="AQ41" s="484"/>
    </row>
    <row r="42" spans="2:43" s="64" customFormat="1" x14ac:dyDescent="0.35">
      <c r="B42" s="30" t="str">
        <f t="shared" si="9"/>
        <v>Ausgrid</v>
      </c>
      <c r="C42" s="30"/>
      <c r="D42" s="30" t="str">
        <f t="shared" si="10"/>
        <v>controlled load</v>
      </c>
      <c r="E42" s="30"/>
      <c r="F42" s="258"/>
      <c r="G42" s="30" t="s">
        <v>38</v>
      </c>
      <c r="H42" s="482"/>
      <c r="I42" s="482"/>
      <c r="J42" s="482">
        <f>J41*GST</f>
        <v>8.8522555378421348</v>
      </c>
      <c r="K42" s="484"/>
      <c r="L42" s="567"/>
      <c r="M42" s="484">
        <f t="shared" si="7"/>
        <v>0.34771012448147287</v>
      </c>
      <c r="N42" s="568"/>
      <c r="O42" s="482"/>
      <c r="P42" s="482"/>
      <c r="Q42" s="482">
        <f>Q41*GST</f>
        <v>11.93027441284703</v>
      </c>
      <c r="R42" s="484"/>
      <c r="S42" s="484"/>
      <c r="T42" s="483"/>
      <c r="U42" s="483"/>
      <c r="V42" s="483"/>
      <c r="W42" s="484"/>
      <c r="X42" s="484"/>
      <c r="Y42" s="484"/>
      <c r="Z42" s="484"/>
      <c r="AA42" s="484"/>
      <c r="AB42" s="484"/>
      <c r="AC42" s="484"/>
      <c r="AD42" s="484"/>
      <c r="AE42" s="484"/>
      <c r="AF42" s="484"/>
      <c r="AG42" s="484"/>
      <c r="AH42" s="484"/>
      <c r="AI42" s="484"/>
      <c r="AJ42" s="484"/>
      <c r="AK42" s="484"/>
      <c r="AL42" s="484"/>
      <c r="AM42" s="484"/>
      <c r="AN42" s="484"/>
      <c r="AO42" s="484"/>
      <c r="AP42" s="484"/>
      <c r="AQ42" s="484"/>
    </row>
    <row r="43" spans="2:43" s="64" customFormat="1" x14ac:dyDescent="0.35">
      <c r="B43" s="30" t="str">
        <f t="shared" si="9"/>
        <v>Ausgrid</v>
      </c>
      <c r="C43" s="30"/>
      <c r="D43" s="30" t="str">
        <f t="shared" si="10"/>
        <v>controlled load</v>
      </c>
      <c r="E43" s="30"/>
      <c r="F43" s="258"/>
      <c r="G43" s="64" t="s">
        <v>79</v>
      </c>
      <c r="H43" s="487"/>
      <c r="I43" s="487"/>
      <c r="J43" s="487">
        <f>SUM(J41:J42)</f>
        <v>97.374810916263485</v>
      </c>
      <c r="K43" s="564"/>
      <c r="L43" s="565"/>
      <c r="M43" s="564">
        <f t="shared" si="7"/>
        <v>0.34771012448147287</v>
      </c>
      <c r="N43" s="566"/>
      <c r="O43" s="487"/>
      <c r="P43" s="487"/>
      <c r="Q43" s="487">
        <f>SUM(Q41:Q42)</f>
        <v>131.23301854131734</v>
      </c>
      <c r="R43" s="583"/>
      <c r="S43" s="564"/>
      <c r="T43" s="483"/>
      <c r="U43" s="596"/>
      <c r="V43" s="596"/>
      <c r="W43" s="564"/>
      <c r="X43" s="564"/>
      <c r="Y43" s="564"/>
      <c r="Z43" s="564"/>
      <c r="AA43" s="564"/>
      <c r="AB43" s="564"/>
      <c r="AC43" s="564"/>
      <c r="AD43" s="564"/>
      <c r="AE43" s="564"/>
      <c r="AF43" s="564"/>
      <c r="AG43" s="564"/>
      <c r="AH43" s="564"/>
      <c r="AI43" s="564"/>
      <c r="AJ43" s="564"/>
      <c r="AK43" s="564"/>
      <c r="AL43" s="564"/>
      <c r="AM43" s="564"/>
      <c r="AN43" s="564"/>
      <c r="AO43" s="564"/>
      <c r="AP43" s="564"/>
      <c r="AQ43" s="564"/>
    </row>
    <row r="44" spans="2:43" x14ac:dyDescent="0.35">
      <c r="F44" s="258"/>
      <c r="H44" s="482"/>
      <c r="I44" s="482"/>
      <c r="J44" s="482"/>
      <c r="K44" s="484"/>
      <c r="L44" s="567"/>
      <c r="M44" s="484"/>
      <c r="N44" s="568"/>
      <c r="O44" s="482"/>
      <c r="P44" s="482"/>
      <c r="Q44" s="482"/>
      <c r="R44" s="484"/>
      <c r="S44" s="484"/>
      <c r="T44" s="483"/>
      <c r="U44" s="483"/>
      <c r="V44" s="483"/>
      <c r="W44" s="484"/>
      <c r="X44" s="484"/>
      <c r="Y44" s="484"/>
      <c r="Z44" s="484"/>
      <c r="AA44" s="484"/>
      <c r="AB44" s="484"/>
      <c r="AC44" s="484"/>
      <c r="AD44" s="484"/>
      <c r="AE44" s="484"/>
      <c r="AF44" s="484"/>
      <c r="AG44" s="484"/>
      <c r="AH44" s="484"/>
      <c r="AI44" s="484"/>
      <c r="AJ44" s="484"/>
      <c r="AK44" s="484"/>
      <c r="AL44" s="484"/>
      <c r="AM44" s="484"/>
      <c r="AN44" s="484"/>
      <c r="AO44" s="484"/>
      <c r="AP44" s="484"/>
      <c r="AQ44" s="484"/>
    </row>
    <row r="45" spans="2:43" x14ac:dyDescent="0.35">
      <c r="B45" s="64" t="s">
        <v>2</v>
      </c>
      <c r="C45" s="64" t="s">
        <v>13</v>
      </c>
      <c r="D45" s="64" t="s">
        <v>276</v>
      </c>
      <c r="E45" s="64"/>
      <c r="F45" s="490"/>
      <c r="H45" s="482"/>
      <c r="I45" s="482"/>
      <c r="J45" s="482"/>
      <c r="K45" s="484"/>
      <c r="L45" s="567"/>
      <c r="M45" s="484"/>
      <c r="N45" s="568"/>
      <c r="O45" s="482"/>
      <c r="P45" s="482"/>
      <c r="Q45" s="482"/>
      <c r="R45" s="484"/>
      <c r="S45" s="484"/>
      <c r="T45" s="483"/>
      <c r="U45" s="483"/>
      <c r="V45" s="483"/>
      <c r="W45" s="484"/>
      <c r="X45" s="484"/>
      <c r="Y45" s="484"/>
      <c r="Z45" s="484"/>
      <c r="AA45" s="484"/>
      <c r="AB45" s="484"/>
      <c r="AC45" s="484"/>
      <c r="AD45" s="484"/>
      <c r="AE45" s="484"/>
      <c r="AF45" s="484"/>
      <c r="AG45" s="484"/>
      <c r="AH45" s="484"/>
      <c r="AI45" s="484"/>
      <c r="AJ45" s="484"/>
      <c r="AK45" s="484"/>
      <c r="AL45" s="484"/>
      <c r="AM45" s="484"/>
      <c r="AN45" s="484"/>
      <c r="AO45" s="484"/>
      <c r="AP45" s="484"/>
      <c r="AQ45" s="484"/>
    </row>
    <row r="46" spans="2:43" x14ac:dyDescent="0.35">
      <c r="B46" s="30" t="str">
        <f t="shared" ref="B46:D50" si="11">B$45</f>
        <v>Ausgrid</v>
      </c>
      <c r="C46" s="30" t="str">
        <f t="shared" si="11"/>
        <v>Small business</v>
      </c>
      <c r="D46" s="30" t="str">
        <f>D$45</f>
        <v>flat rate</v>
      </c>
      <c r="E46" s="30" t="s">
        <v>19</v>
      </c>
      <c r="F46" s="258" cm="1">
        <f t="array" ref="F46">IFERROR(_xlfn.XLOOKUP(1,($B46=DistributionZone)*('Network cost'!$C46=CustomerType)*('Network cost'!$E46=tariffType)*('Network cost'!F$5=Description),valuesFY),0)</f>
        <v>10000</v>
      </c>
      <c r="G46" s="30" t="s">
        <v>57</v>
      </c>
      <c r="H46" s="482" cm="1">
        <f t="array" ref="H46">IFERROR(_xlfn.XLOOKUP(1,($B46=DistributionZone)*('Network cost'!$C46=CustomerType)*('Network cost'!$E46=tariffType)*('Network cost'!H$5=Desc_FixedOrVar)*('Network cost'!$G46=Description),valuesPY),0)</f>
        <v>681.04346781543654</v>
      </c>
      <c r="I46" s="482" cm="1">
        <f t="array" ref="I46">IFERROR(_xlfn.XLOOKUP(1,($B46=DistributionZone)*('Network cost'!$C46=CustomerType)*('Network cost'!$E46=tariffType)*('Network cost'!I$5=Desc_FixedOrVar)*('Network cost'!$G46=Description),valuesPY),0)</f>
        <v>102.928570306495</v>
      </c>
      <c r="J46" s="482">
        <f>H46+I46*F46/1000</f>
        <v>1710.3291708803865</v>
      </c>
      <c r="K46" s="484">
        <f>IFERROR(J46/J48,"")</f>
        <v>0.97817544390006939</v>
      </c>
      <c r="L46" s="484"/>
      <c r="M46" s="484">
        <f>IF(OR(J46=0,J46="",Q46=""),"",Q46/J46-1)</f>
        <v>9.4193370155265743E-2</v>
      </c>
      <c r="N46" s="563"/>
      <c r="O46" s="482" cm="1">
        <f t="array" ref="O46">IFERROR(_xlfn.XLOOKUP(1,($B46=DistributionZone)*('Network cost'!$C46=CustomerType)*('Network cost'!$E46=tariffType)*('Network cost'!O$5=Desc_FixedOrVar)*('Network cost'!$G46=Description),valuesFY),0)</f>
        <v>738.44573537005169</v>
      </c>
      <c r="P46" s="482" cm="1">
        <f t="array" ref="P46">IFERROR(_xlfn.XLOOKUP(1,($B46=DistributionZone)*('Network cost'!$C46=CustomerType)*('Network cost'!$E46=tariffType)*('Network cost'!P$5=Desc_FixedOrVar)*('Network cost'!$G46=Description),valuesFY),0)</f>
        <v>113.298510419042</v>
      </c>
      <c r="Q46" s="482">
        <f>O46+P46*$F46/1000</f>
        <v>1871.4308395604717</v>
      </c>
      <c r="R46" s="484">
        <f>IFERROR(Q46/Q48,"")</f>
        <v>0.97930894643630761</v>
      </c>
      <c r="S46" s="484"/>
      <c r="T46" s="483"/>
      <c r="U46" s="483"/>
      <c r="V46" s="483"/>
      <c r="W46" s="484"/>
      <c r="X46" s="484"/>
      <c r="Y46" s="484"/>
      <c r="Z46" s="484"/>
      <c r="AA46" s="484"/>
      <c r="AB46" s="484"/>
      <c r="AC46" s="484"/>
      <c r="AD46" s="484"/>
      <c r="AE46" s="484"/>
      <c r="AF46" s="484"/>
      <c r="AG46" s="484"/>
      <c r="AH46" s="484"/>
      <c r="AI46" s="484"/>
      <c r="AJ46" s="484"/>
      <c r="AK46" s="484"/>
      <c r="AL46" s="484"/>
      <c r="AM46" s="484"/>
      <c r="AN46" s="484"/>
      <c r="AO46" s="484"/>
      <c r="AP46" s="484"/>
      <c r="AQ46" s="484"/>
    </row>
    <row r="47" spans="2:43" x14ac:dyDescent="0.35">
      <c r="B47" s="30" t="str">
        <f t="shared" si="11"/>
        <v>Ausgrid</v>
      </c>
      <c r="C47" s="30" t="str">
        <f t="shared" si="11"/>
        <v>Small business</v>
      </c>
      <c r="D47" s="30" t="str">
        <f t="shared" si="11"/>
        <v>flat rate</v>
      </c>
      <c r="E47" s="30" t="s">
        <v>19</v>
      </c>
      <c r="F47" s="258" cm="1">
        <f t="array" ref="F47">IFERROR(_xlfn.XLOOKUP(1,($B47=DistributionZone)*('Network cost'!$C47=CustomerType)*('Network cost'!$E47=tariffType)*('Network cost'!F$5=Description),valuesFY),0)</f>
        <v>10000</v>
      </c>
      <c r="G47" s="30" t="s">
        <v>61</v>
      </c>
      <c r="H47" s="482" cm="1">
        <f t="array" ref="H47">IFERROR(_xlfn.XLOOKUP(1,($B47=DistributionZone)*('Network cost'!$C47=CustomerType)*('Network cost'!$E47=tariffType)*('Network cost'!H$5=Desc_FixedOrVar)*('Network cost'!$G47=Description),valuesPY),0)</f>
        <v>38.159999999999997</v>
      </c>
      <c r="I47" s="482" cm="1">
        <f t="array" ref="I47">IFERROR(_xlfn.XLOOKUP(1,($B47=DistributionZone)*('Network cost'!$C47=CustomerType)*('Network cost'!$E47=tariffType)*('Network cost'!I$5=Desc_FixedOrVar)*('Network cost'!$G47=Description),valuesPY),0)</f>
        <v>0</v>
      </c>
      <c r="J47" s="482">
        <f>H47+I47*F47/1000</f>
        <v>38.159999999999997</v>
      </c>
      <c r="K47" s="484">
        <f>IFERROR(J47/J48,"")</f>
        <v>2.1824556099930517E-2</v>
      </c>
      <c r="L47" s="484"/>
      <c r="M47" s="484">
        <f>IF(OR(J47=0,J47="",Q47=""),"",Q47/J47-1)</f>
        <v>3.6163522012578664E-2</v>
      </c>
      <c r="N47" s="563"/>
      <c r="O47" s="482" cm="1">
        <f t="array" ref="O47">IFERROR(_xlfn.XLOOKUP(1,($B47=DistributionZone)*('Network cost'!$C47=CustomerType)*('Network cost'!$E47=tariffType)*('Network cost'!O$5=Desc_FixedOrVar)*('Network cost'!$G47=Description),valuesFY),0)</f>
        <v>39.54</v>
      </c>
      <c r="P47" s="482" cm="1">
        <f t="array" ref="P47">IFERROR(_xlfn.XLOOKUP(1,($B47=DistributionZone)*('Network cost'!$C47=CustomerType)*('Network cost'!$E47=tariffType)*('Network cost'!P$5=Desc_FixedOrVar)*('Network cost'!$G47=Description),valuesFY),0)</f>
        <v>0</v>
      </c>
      <c r="Q47" s="482">
        <f>O47+P47*F$47/1000</f>
        <v>39.54</v>
      </c>
      <c r="R47" s="484">
        <f>IFERROR(Q47/Q48,"")</f>
        <v>2.0691053563692424E-2</v>
      </c>
      <c r="S47" s="484"/>
      <c r="T47" s="484"/>
      <c r="U47" s="484"/>
      <c r="V47" s="484"/>
      <c r="W47" s="484"/>
      <c r="X47" s="484"/>
      <c r="Y47" s="484"/>
      <c r="Z47" s="484"/>
      <c r="AA47" s="484"/>
      <c r="AB47" s="484"/>
      <c r="AC47" s="484"/>
      <c r="AD47" s="484"/>
      <c r="AE47" s="484"/>
      <c r="AF47" s="484"/>
      <c r="AG47" s="484"/>
      <c r="AH47" s="484"/>
      <c r="AI47" s="484"/>
      <c r="AJ47" s="484"/>
      <c r="AK47" s="484"/>
      <c r="AL47" s="484"/>
      <c r="AM47" s="484"/>
      <c r="AN47" s="484"/>
      <c r="AO47" s="484"/>
      <c r="AP47" s="484"/>
      <c r="AQ47" s="484"/>
    </row>
    <row r="48" spans="2:43" x14ac:dyDescent="0.35">
      <c r="B48" s="30" t="str">
        <f t="shared" si="11"/>
        <v>Ausgrid</v>
      </c>
      <c r="C48" s="30" t="str">
        <f t="shared" si="11"/>
        <v>Small business</v>
      </c>
      <c r="D48" s="30" t="str">
        <f t="shared" si="11"/>
        <v>flat rate</v>
      </c>
      <c r="E48" s="30" t="s">
        <v>19</v>
      </c>
      <c r="F48" s="258" cm="1">
        <f t="array" ref="F48">IFERROR(_xlfn.XLOOKUP(1,($B48=DistributionZone)*('Network cost'!$C48=CustomerType)*('Network cost'!$E48=tariffType)*('Network cost'!F$5=Description),valuesFY),0)</f>
        <v>10000</v>
      </c>
      <c r="G48" s="64" t="s">
        <v>55</v>
      </c>
      <c r="H48" s="487">
        <f>+H47+H46</f>
        <v>719.20346781543651</v>
      </c>
      <c r="I48" s="487">
        <f>+I46</f>
        <v>102.928570306495</v>
      </c>
      <c r="J48" s="487">
        <f>H48+I48*F48/1000</f>
        <v>1748.4891708803866</v>
      </c>
      <c r="K48" s="564"/>
      <c r="L48" s="565"/>
      <c r="M48" s="564">
        <f>IF(OR(J48=0,J48="",Q48=""),"",Q48/J48-1)</f>
        <v>9.2926894479005151E-2</v>
      </c>
      <c r="N48" s="566"/>
      <c r="O48" s="487">
        <f>+O47+O46</f>
        <v>777.98573537005166</v>
      </c>
      <c r="P48" s="487">
        <f>+P47+P46</f>
        <v>113.298510419042</v>
      </c>
      <c r="Q48" s="487">
        <f>O48+P48*F$48/1000</f>
        <v>1910.9708395604716</v>
      </c>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row>
    <row r="49" spans="2:43" s="64" customFormat="1" x14ac:dyDescent="0.35">
      <c r="B49" s="30" t="str">
        <f t="shared" si="11"/>
        <v>Ausgrid</v>
      </c>
      <c r="C49" s="30" t="str">
        <f t="shared" si="11"/>
        <v>Small business</v>
      </c>
      <c r="D49" s="30" t="str">
        <f t="shared" si="11"/>
        <v>flat rate</v>
      </c>
      <c r="E49" s="30"/>
      <c r="F49" s="258"/>
      <c r="G49" s="30" t="s">
        <v>38</v>
      </c>
      <c r="H49" s="482"/>
      <c r="I49" s="482"/>
      <c r="J49" s="482">
        <f>J48*GST</f>
        <v>174.84891708803866</v>
      </c>
      <c r="K49" s="484"/>
      <c r="L49" s="567"/>
      <c r="M49" s="484">
        <f>IF(OR(J49=0,J49="",Q49=""),"",Q49/J49-1)</f>
        <v>9.2926894479005373E-2</v>
      </c>
      <c r="N49" s="568"/>
      <c r="O49" s="482"/>
      <c r="P49" s="482"/>
      <c r="Q49" s="482">
        <f>Q48*GST</f>
        <v>191.09708395604719</v>
      </c>
      <c r="R49" s="484"/>
      <c r="S49" s="484"/>
      <c r="T49" s="484"/>
      <c r="U49" s="484"/>
      <c r="V49" s="484"/>
      <c r="W49" s="484"/>
      <c r="X49" s="484"/>
      <c r="Y49" s="484"/>
      <c r="Z49" s="484"/>
      <c r="AA49" s="484"/>
      <c r="AB49" s="484"/>
      <c r="AC49" s="484"/>
      <c r="AD49" s="484"/>
      <c r="AE49" s="484"/>
      <c r="AF49" s="484"/>
      <c r="AG49" s="484"/>
      <c r="AH49" s="484"/>
      <c r="AI49" s="484"/>
      <c r="AJ49" s="484"/>
      <c r="AK49" s="484"/>
      <c r="AL49" s="484"/>
      <c r="AM49" s="484"/>
      <c r="AN49" s="484"/>
      <c r="AO49" s="484"/>
      <c r="AP49" s="484"/>
      <c r="AQ49" s="484"/>
    </row>
    <row r="50" spans="2:43" s="64" customFormat="1" x14ac:dyDescent="0.35">
      <c r="B50" s="30" t="str">
        <f t="shared" si="11"/>
        <v>Ausgrid</v>
      </c>
      <c r="C50" s="30" t="str">
        <f t="shared" si="11"/>
        <v>Small business</v>
      </c>
      <c r="D50" s="30" t="str">
        <f t="shared" si="11"/>
        <v>flat rate</v>
      </c>
      <c r="E50" s="30" t="s">
        <v>19</v>
      </c>
      <c r="F50" s="258"/>
      <c r="G50" s="64" t="s">
        <v>79</v>
      </c>
      <c r="H50" s="487"/>
      <c r="I50" s="487"/>
      <c r="J50" s="487">
        <f>SUM(J48:J49)</f>
        <v>1923.3380879684253</v>
      </c>
      <c r="K50" s="564"/>
      <c r="L50" s="565"/>
      <c r="M50" s="564">
        <f>IF(OR(J50=0,J50="",Q50=""),"",Q50/J50-1)</f>
        <v>9.2926894479005373E-2</v>
      </c>
      <c r="N50" s="566"/>
      <c r="O50" s="487"/>
      <c r="P50" s="487"/>
      <c r="Q50" s="487">
        <f>SUM(Q48:Q49)</f>
        <v>2102.0679235165189</v>
      </c>
      <c r="R50" s="564"/>
      <c r="S50" s="564"/>
      <c r="T50" s="48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row>
    <row r="51" spans="2:43" x14ac:dyDescent="0.35">
      <c r="F51" s="258"/>
      <c r="H51" s="482"/>
      <c r="I51" s="482"/>
      <c r="J51" s="482"/>
      <c r="K51" s="484"/>
      <c r="L51" s="567"/>
      <c r="M51" s="484"/>
      <c r="N51" s="568"/>
      <c r="O51" s="482"/>
      <c r="P51" s="482"/>
      <c r="Q51" s="482"/>
      <c r="R51" s="484"/>
      <c r="S51" s="484"/>
      <c r="T51" s="484"/>
      <c r="U51" s="484"/>
      <c r="V51" s="484"/>
      <c r="W51" s="484"/>
      <c r="X51" s="484"/>
      <c r="Y51" s="484"/>
      <c r="Z51" s="484"/>
      <c r="AA51" s="484"/>
      <c r="AB51" s="484"/>
      <c r="AC51" s="484"/>
      <c r="AD51" s="484"/>
      <c r="AE51" s="484"/>
      <c r="AF51" s="484"/>
      <c r="AG51" s="484"/>
      <c r="AH51" s="484"/>
      <c r="AI51" s="484"/>
      <c r="AJ51" s="484"/>
      <c r="AK51" s="484"/>
      <c r="AL51" s="484"/>
      <c r="AM51" s="484"/>
      <c r="AN51" s="484"/>
      <c r="AO51" s="484"/>
      <c r="AP51" s="484"/>
      <c r="AQ51" s="484"/>
    </row>
    <row r="52" spans="2:43" s="570" customFormat="1" x14ac:dyDescent="0.35">
      <c r="B52" s="571" t="s">
        <v>2</v>
      </c>
      <c r="C52" s="571" t="s">
        <v>13</v>
      </c>
      <c r="D52" s="571" t="s">
        <v>272</v>
      </c>
      <c r="E52" s="571"/>
      <c r="F52" s="584"/>
      <c r="H52" s="574"/>
      <c r="I52" s="574"/>
      <c r="J52" s="574"/>
      <c r="K52" s="575"/>
      <c r="L52" s="581"/>
      <c r="M52" s="575"/>
      <c r="N52" s="582"/>
      <c r="O52" s="574"/>
      <c r="P52" s="574"/>
      <c r="Q52" s="574"/>
      <c r="R52" s="575"/>
      <c r="S52" s="575"/>
      <c r="T52" s="484"/>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row>
    <row r="53" spans="2:43" s="570" customFormat="1" x14ac:dyDescent="0.35">
      <c r="B53" s="570" t="str">
        <f t="shared" ref="B53:D56" si="12">B52</f>
        <v>Ausgrid</v>
      </c>
      <c r="C53" s="570" t="str">
        <f t="shared" si="12"/>
        <v>Small business</v>
      </c>
      <c r="D53" s="570" t="str">
        <f>D52</f>
        <v>time of use</v>
      </c>
      <c r="E53" s="570" t="s">
        <v>279</v>
      </c>
      <c r="F53" s="485" cm="1">
        <f t="array" ref="F53">_xlfn.XLOOKUP(1,($B53=DistributionZone)*('Network cost'!$C53=CustomerType)*('Network cost'!$D53=tariffL2)*($F$5=Description),valuesPY)*_xlfn.XLOOKUP(1,($B53=DistributionZone)*($C53=CustomerType)*('Network cost'!$D53=tariffL2)*($E53=tariffType)*("Usage proportion"=Description),valuesFY)</f>
        <v>8809.6821551967714</v>
      </c>
      <c r="G53" s="570" t="s">
        <v>57</v>
      </c>
      <c r="H53" s="574" cm="1">
        <f t="array" ref="H53">IFERROR(_xlfn.XLOOKUP(1,($B53=DistributionZone)*('Network cost'!$C53=CustomerType)*('Network cost'!$E53=tariffType)*('Network cost'!H$5=Desc_FixedOrVar)*('Network cost'!$G53=Description),valuesPY),0)*_xlfn.XLOOKUP(1,($B53=DistributionZone)*('Network cost'!$D53=tariffL2)*($E53=tariffType)*("Usage proportion"=Description),valuesPY)</f>
        <v>0</v>
      </c>
      <c r="I53" s="574" cm="1">
        <f t="array" ref="I53">IFERROR(_xlfn.XLOOKUP(1,($B53=DistributionZone)*('Network cost'!$C53=CustomerType)*('Network cost'!$E53=tariffType)*('Network cost'!I$5=Desc_FixedOrVar)*('Network cost'!$G53=Description),valuesPY),0)</f>
        <v>0</v>
      </c>
      <c r="J53" s="574">
        <f>H53+I53*F53/1000</f>
        <v>0</v>
      </c>
      <c r="K53" s="575" t="str">
        <f>IFERROR(J53/J56,"")</f>
        <v/>
      </c>
      <c r="L53" s="575"/>
      <c r="M53" s="575" t="str">
        <f t="shared" ref="M53:M58" si="13">IF(OR(J53=0,J53="",Q53=""),"",Q53/J53-1)</f>
        <v/>
      </c>
      <c r="N53" s="576"/>
      <c r="O53" s="574" cm="1">
        <f t="array" ref="O53">IFERROR(_xlfn.XLOOKUP(1,($B53=DistributionZone)*('Network cost'!$C53=CustomerType)*('Network cost'!$E53=tariffType)*('Network cost'!O$5=Desc_FixedOrVar)*('Network cost'!$G53=Description),valuesFY),0)*_xlfn.XLOOKUP(1,($B53=DistributionZone)*('Network cost'!$D53=tariffL2)*($E53=tariffType)*("Usage proportion"=Description),valuesFY)</f>
        <v>621.55374932381199</v>
      </c>
      <c r="P53" s="574" cm="1">
        <f t="array" ref="P53">IFERROR(_xlfn.XLOOKUP(1,($B53=DistributionZone)*('Network cost'!$C53=CustomerType)*('Network cost'!$E53=tariffType)*('Network cost'!P$5=Desc_FixedOrVar)*('Network cost'!$G53=Description),valuesFY),0)</f>
        <v>58.9967704927681</v>
      </c>
      <c r="Q53" s="574">
        <f>O53+P53*$F53/1000</f>
        <v>1141.2965455481906</v>
      </c>
      <c r="R53" s="575">
        <f>IFERROR(Q53/Q56,"")</f>
        <v>0.62346198187183943</v>
      </c>
      <c r="S53" s="575"/>
      <c r="T53" s="484"/>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row>
    <row r="54" spans="2:43" s="570" customFormat="1" x14ac:dyDescent="0.35">
      <c r="B54" s="570" t="str">
        <f t="shared" si="12"/>
        <v>Ausgrid</v>
      </c>
      <c r="C54" s="570" t="str">
        <f t="shared" si="12"/>
        <v>Small business</v>
      </c>
      <c r="D54" s="570" t="str">
        <f t="shared" si="12"/>
        <v>time of use</v>
      </c>
      <c r="E54" s="570" t="s">
        <v>278</v>
      </c>
      <c r="F54" s="485" cm="1">
        <f t="array" ref="F54">_xlfn.XLOOKUP(1,($B54=DistributionZone)*('Network cost'!$C54=CustomerType)*('Network cost'!$D54=tariffL2)*($F$5=Description),valuesPY)*_xlfn.XLOOKUP(1,($B54=DistributionZone)*($C54=CustomerType)*('Network cost'!$D54=tariffL2)*($E54=tariffType)*("Usage proportion"=Description),valuesFY)</f>
        <v>1190.317844803229</v>
      </c>
      <c r="G54" s="570" t="s">
        <v>57</v>
      </c>
      <c r="H54" s="574" cm="1">
        <f t="array" ref="H54">IFERROR(_xlfn.XLOOKUP(1,($B54=DistributionZone)*('Network cost'!$C54=CustomerType)*('Network cost'!$E54=tariffType)*('Network cost'!H$5=Desc_FixedOrVar)*('Network cost'!$G54=Description),valuesPY),0)*_xlfn.XLOOKUP(1,($B54=DistributionZone)*('Network cost'!$D54=tariffL2)*($E54=tariffType)*("Usage proportion"=Description),valuesPY)</f>
        <v>0</v>
      </c>
      <c r="I54" s="574" cm="1">
        <f t="array" ref="I54">IFERROR(_xlfn.XLOOKUP(1,($B54=DistributionZone)*('Network cost'!$C54=CustomerType)*('Network cost'!$E54=tariffType)*('Network cost'!I$5=Desc_FixedOrVar)*('Network cost'!$G54=Description),valuesPY),0)</f>
        <v>0</v>
      </c>
      <c r="J54" s="574">
        <f>H54+I54*F54/1000</f>
        <v>0</v>
      </c>
      <c r="K54" s="575" t="str">
        <f>IFERROR(J54/J56,"")</f>
        <v/>
      </c>
      <c r="L54" s="575"/>
      <c r="M54" s="575" t="str">
        <f>IF(OR(J54=0,J54="",Q54=""),"",Q54/J54-1)</f>
        <v/>
      </c>
      <c r="N54" s="576"/>
      <c r="O54" s="574" cm="1">
        <f t="array" ref="O54">IFERROR(_xlfn.XLOOKUP(1,($B54=DistributionZone)*('Network cost'!$C54=CustomerType)*('Network cost'!$E54=tariffType)*('Network cost'!O$5=Desc_FixedOrVar)*('Network cost'!$G54=Description),valuesFY),0)*_xlfn.XLOOKUP(1,($B54=DistributionZone)*('Network cost'!$D54=tariffL2)*($E54=tariffType)*("Usage proportion"=Description),valuesFY)</f>
        <v>176.50840963926078</v>
      </c>
      <c r="P54" s="574" cm="1">
        <f t="array" ref="P54">IFERROR(_xlfn.XLOOKUP(1,($B54=DistributionZone)*('Network cost'!$C54=CustomerType)*('Network cost'!$E54=tariffType)*('Network cost'!P$5=Desc_FixedOrVar)*('Network cost'!$G54=Description),valuesFY),0)</f>
        <v>397.56965938535802</v>
      </c>
      <c r="Q54" s="574">
        <f>O54+P54*$F54/1000</f>
        <v>649.74266975799401</v>
      </c>
      <c r="R54" s="575">
        <f>IFERROR(Q54/Q56,"")</f>
        <v>0.35493829730242915</v>
      </c>
      <c r="S54" s="575"/>
      <c r="T54" s="484"/>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row>
    <row r="55" spans="2:43" s="570" customFormat="1" x14ac:dyDescent="0.35">
      <c r="B55" s="570" t="str">
        <f t="shared" si="12"/>
        <v>Ausgrid</v>
      </c>
      <c r="C55" s="570" t="str">
        <f t="shared" si="12"/>
        <v>Small business</v>
      </c>
      <c r="D55" s="570" t="str">
        <f t="shared" si="12"/>
        <v>time of use</v>
      </c>
      <c r="E55" s="570" t="s">
        <v>272</v>
      </c>
      <c r="F55" s="485" cm="1">
        <f t="array" ref="F55">IFERROR(_xlfn.XLOOKUP(1,($B55=DistributionZone)*('Network cost'!$C55=CustomerType)*('Network cost'!$E55=tariffType)*('Network cost'!F$5=Description),valuesFY),0)</f>
        <v>10000</v>
      </c>
      <c r="G55" s="570" t="s">
        <v>61</v>
      </c>
      <c r="H55" s="574" cm="1">
        <f t="array" ref="H55">IFERROR(_xlfn.XLOOKUP(1,($B55=DistributionZone)*('Network cost'!$C55=CustomerType)*('Network cost'!$E55=tariffType)*('Network cost'!H$5=Desc_FixedOrVar)*('Network cost'!$G55=Description),valuesPY),0)</f>
        <v>0</v>
      </c>
      <c r="I55" s="574" cm="1">
        <f t="array" ref="I55">IFERROR(_xlfn.XLOOKUP(1,($B55=DistributionZone)*('Network cost'!$C55=CustomerType)*('Network cost'!$E55=tariffType)*('Network cost'!I$5=Desc_FixedOrVar)*('Network cost'!$G55=Description),valuesPY),0)</f>
        <v>0</v>
      </c>
      <c r="J55" s="574">
        <f>H55+I55*F55/1000</f>
        <v>0</v>
      </c>
      <c r="K55" s="575" t="str">
        <f>IFERROR(J55/J56,"")</f>
        <v/>
      </c>
      <c r="L55" s="575"/>
      <c r="M55" s="575" t="str">
        <f t="shared" si="13"/>
        <v/>
      </c>
      <c r="N55" s="576"/>
      <c r="O55" s="574" cm="1">
        <f t="array" ref="O55">IFERROR(_xlfn.XLOOKUP(1,($B55=DistributionZone)*('Network cost'!$C55=CustomerType)*('Network cost'!$E55=tariffType)*('Network cost'!O$5=Desc_FixedOrVar)*('Network cost'!$G55=Description),valuesFY),0)</f>
        <v>39.54</v>
      </c>
      <c r="P55" s="574" cm="1">
        <f t="array" ref="P55">IFERROR(_xlfn.XLOOKUP(1,($B55=DistributionZone)*('Network cost'!$C55=CustomerType)*('Network cost'!$E55=tariffType)*('Network cost'!P$5=Desc_FixedOrVar)*('Network cost'!$G55=Description),valuesFY),0)</f>
        <v>0</v>
      </c>
      <c r="Q55" s="574">
        <f>O55+P55*F$55/1000</f>
        <v>39.54</v>
      </c>
      <c r="R55" s="575">
        <f>IFERROR(Q55/Q56,"")</f>
        <v>2.1599720825731378E-2</v>
      </c>
      <c r="S55" s="575"/>
      <c r="T55" s="484"/>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row>
    <row r="56" spans="2:43" s="570" customFormat="1" x14ac:dyDescent="0.35">
      <c r="B56" s="570" t="str">
        <f t="shared" si="12"/>
        <v>Ausgrid</v>
      </c>
      <c r="C56" s="570" t="str">
        <f t="shared" si="12"/>
        <v>Small business</v>
      </c>
      <c r="D56" s="570" t="str">
        <f t="shared" si="12"/>
        <v>time of use</v>
      </c>
      <c r="E56" s="570" t="s">
        <v>272</v>
      </c>
      <c r="F56" s="485" cm="1">
        <f t="array" ref="F56">IFERROR(_xlfn.XLOOKUP(1,($B56=DistributionZone)*('Network cost'!$C56=CustomerType)*('Network cost'!$E56=tariffType)*('Network cost'!F$5=Description),valuesFY),0)</f>
        <v>10000</v>
      </c>
      <c r="G56" s="571" t="s">
        <v>55</v>
      </c>
      <c r="H56" s="577">
        <f>SUM(H53:H55)</f>
        <v>0</v>
      </c>
      <c r="I56" s="577">
        <f>SUM(I53:I55)</f>
        <v>0</v>
      </c>
      <c r="J56" s="577">
        <f>SUM(J53:J55)</f>
        <v>0</v>
      </c>
      <c r="K56" s="578"/>
      <c r="L56" s="579"/>
      <c r="M56" s="578" t="str">
        <f t="shared" si="13"/>
        <v/>
      </c>
      <c r="N56" s="580"/>
      <c r="O56" s="577">
        <f>SUM(O53:O55)</f>
        <v>837.60215896307272</v>
      </c>
      <c r="P56" s="577">
        <f>SUM(P53:P55)</f>
        <v>456.56642987812614</v>
      </c>
      <c r="Q56" s="577">
        <f>SUM(Q53:Q55)</f>
        <v>1830.5792153061846</v>
      </c>
      <c r="R56" s="575"/>
      <c r="S56" s="575"/>
      <c r="T56" s="484"/>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row>
    <row r="57" spans="2:43" s="571" customFormat="1" x14ac:dyDescent="0.35">
      <c r="B57" s="570" t="str">
        <f>B$45</f>
        <v>Ausgrid</v>
      </c>
      <c r="C57" s="570" t="str">
        <f>C$45</f>
        <v>Small business</v>
      </c>
      <c r="D57" s="570" t="str">
        <f>D56</f>
        <v>time of use</v>
      </c>
      <c r="E57" s="570"/>
      <c r="F57" s="485"/>
      <c r="G57" s="570" t="s">
        <v>38</v>
      </c>
      <c r="H57" s="574"/>
      <c r="I57" s="574"/>
      <c r="J57" s="574">
        <f>J56*GST</f>
        <v>0</v>
      </c>
      <c r="K57" s="575"/>
      <c r="L57" s="581"/>
      <c r="M57" s="575" t="str">
        <f t="shared" si="13"/>
        <v/>
      </c>
      <c r="N57" s="582"/>
      <c r="O57" s="574"/>
      <c r="P57" s="574"/>
      <c r="Q57" s="574">
        <f>Q56*GST</f>
        <v>183.05792153061847</v>
      </c>
      <c r="R57" s="575"/>
      <c r="S57" s="575"/>
      <c r="T57" s="484"/>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row>
    <row r="58" spans="2:43" s="571" customFormat="1" x14ac:dyDescent="0.35">
      <c r="B58" s="570" t="str">
        <f>B$45</f>
        <v>Ausgrid</v>
      </c>
      <c r="C58" s="570" t="str">
        <f>C$45</f>
        <v>Small business</v>
      </c>
      <c r="D58" s="570" t="str">
        <f>D57</f>
        <v>time of use</v>
      </c>
      <c r="E58" s="570" t="s">
        <v>272</v>
      </c>
      <c r="F58" s="485"/>
      <c r="G58" s="571" t="s">
        <v>79</v>
      </c>
      <c r="H58" s="577"/>
      <c r="I58" s="577"/>
      <c r="J58" s="577">
        <f>SUM(J56:J57)</f>
        <v>0</v>
      </c>
      <c r="K58" s="578"/>
      <c r="L58" s="579"/>
      <c r="M58" s="578" t="str">
        <f t="shared" si="13"/>
        <v/>
      </c>
      <c r="N58" s="580"/>
      <c r="O58" s="577"/>
      <c r="P58" s="577"/>
      <c r="Q58" s="577">
        <f>SUM(Q56:Q57)</f>
        <v>2013.6371368368029</v>
      </c>
      <c r="R58" s="578"/>
      <c r="S58" s="578"/>
      <c r="T58" s="484"/>
      <c r="U58" s="578"/>
      <c r="V58" s="578"/>
      <c r="W58" s="578"/>
      <c r="X58" s="578"/>
      <c r="Y58" s="578"/>
      <c r="Z58" s="578"/>
      <c r="AA58" s="578"/>
      <c r="AB58" s="578"/>
      <c r="AC58" s="578"/>
      <c r="AD58" s="578"/>
      <c r="AE58" s="578"/>
      <c r="AF58" s="578"/>
      <c r="AG58" s="578"/>
      <c r="AH58" s="578"/>
      <c r="AI58" s="578"/>
      <c r="AJ58" s="578"/>
      <c r="AK58" s="578"/>
      <c r="AL58" s="578"/>
      <c r="AM58" s="578"/>
      <c r="AN58" s="578"/>
      <c r="AO58" s="578"/>
      <c r="AP58" s="578"/>
      <c r="AQ58" s="578"/>
    </row>
    <row r="59" spans="2:43" x14ac:dyDescent="0.35">
      <c r="F59" s="258"/>
      <c r="G59" s="66"/>
      <c r="H59" s="482"/>
      <c r="I59" s="482"/>
      <c r="J59" s="482"/>
      <c r="K59" s="484"/>
      <c r="L59" s="567"/>
      <c r="M59" s="484"/>
      <c r="N59" s="568"/>
      <c r="O59" s="482"/>
      <c r="P59" s="482"/>
      <c r="Q59" s="482"/>
      <c r="R59" s="484"/>
      <c r="S59" s="484"/>
      <c r="T59" s="484"/>
      <c r="U59" s="484"/>
      <c r="V59" s="484"/>
      <c r="W59" s="484"/>
      <c r="X59" s="484"/>
      <c r="Y59" s="484"/>
      <c r="Z59" s="484"/>
      <c r="AA59" s="484"/>
      <c r="AB59" s="484"/>
      <c r="AC59" s="484"/>
      <c r="AD59" s="484"/>
      <c r="AE59" s="484"/>
      <c r="AF59" s="484"/>
      <c r="AG59" s="484"/>
      <c r="AH59" s="484"/>
      <c r="AI59" s="484"/>
      <c r="AJ59" s="484"/>
      <c r="AK59" s="484"/>
      <c r="AL59" s="484"/>
      <c r="AM59" s="484"/>
      <c r="AN59" s="484"/>
      <c r="AO59" s="484"/>
      <c r="AP59" s="484"/>
      <c r="AQ59" s="484"/>
    </row>
    <row r="60" spans="2:43" s="749" customFormat="1" x14ac:dyDescent="0.35">
      <c r="B60" s="748" t="s">
        <v>2</v>
      </c>
      <c r="C60" s="748" t="s">
        <v>13</v>
      </c>
      <c r="D60" s="748" t="s">
        <v>276</v>
      </c>
      <c r="E60" s="748"/>
      <c r="F60" s="760"/>
      <c r="H60" s="751"/>
      <c r="I60" s="751"/>
      <c r="J60" s="751"/>
      <c r="K60" s="752"/>
      <c r="L60" s="757"/>
      <c r="M60" s="752"/>
      <c r="N60" s="758"/>
      <c r="O60" s="751"/>
      <c r="P60" s="751"/>
      <c r="Q60" s="751"/>
      <c r="R60" s="752"/>
      <c r="S60" s="752"/>
      <c r="T60" s="761"/>
      <c r="U60" s="761"/>
      <c r="V60" s="761"/>
      <c r="W60" s="752"/>
      <c r="X60" s="752"/>
      <c r="Y60" s="752"/>
      <c r="Z60" s="752"/>
      <c r="AA60" s="752"/>
      <c r="AB60" s="752"/>
      <c r="AC60" s="752"/>
      <c r="AD60" s="752"/>
      <c r="AE60" s="752"/>
      <c r="AF60" s="752"/>
      <c r="AG60" s="752"/>
      <c r="AH60" s="752"/>
      <c r="AI60" s="752"/>
      <c r="AJ60" s="752"/>
      <c r="AK60" s="752"/>
      <c r="AL60" s="752"/>
      <c r="AM60" s="752"/>
      <c r="AN60" s="752"/>
      <c r="AO60" s="752"/>
      <c r="AP60" s="752"/>
      <c r="AQ60" s="752"/>
    </row>
    <row r="61" spans="2:43" s="749" customFormat="1" x14ac:dyDescent="0.35">
      <c r="B61" s="749" t="str">
        <f t="shared" ref="B61:D65" si="14">B$45</f>
        <v>Ausgrid</v>
      </c>
      <c r="C61" s="749" t="str">
        <f t="shared" si="14"/>
        <v>Small business</v>
      </c>
      <c r="D61" s="749" t="str">
        <f>D$45</f>
        <v>flat rate</v>
      </c>
      <c r="E61" s="749" t="s">
        <v>19</v>
      </c>
      <c r="F61" s="750" cm="1">
        <f t="array" ref="F61">IFERROR(_xlfn.XLOOKUP(1,($B61=DistributionZone)*('Network cost'!$C61=CustomerType)*('Network cost'!$E61=tariffType)*('Network cost'!F$5=Description),valuesFY),0)</f>
        <v>10000</v>
      </c>
      <c r="G61" s="749" t="s">
        <v>57</v>
      </c>
      <c r="H61" s="751" cm="1">
        <f t="array" ref="H61">IFERROR(_xlfn.XLOOKUP(1,($B61=DistributionZone)*('Network cost'!$C61=CustomerType)*('Network cost'!$E61=tariffType)*('Network cost'!H$5=Desc_FixedOrVar)*('Network cost'!$G61=Description),valuesPY),0)</f>
        <v>681.04346781543654</v>
      </c>
      <c r="I61" s="751" cm="1">
        <f t="array" ref="I61">IFERROR(_xlfn.XLOOKUP(1,($B61=DistributionZone)*('Network cost'!$C61=CustomerType)*('Network cost'!$E61=tariffType)*('Network cost'!I$5=Desc_FixedOrVar)*('Network cost'!$G61=Description),valuesPY),0)</f>
        <v>102.928570306495</v>
      </c>
      <c r="J61" s="751">
        <f>H61+I61*F61/1000</f>
        <v>1710.3291708803865</v>
      </c>
      <c r="K61" s="752">
        <f>IFERROR(J61/J63,"")</f>
        <v>0.97817544390006939</v>
      </c>
      <c r="L61" s="752"/>
      <c r="M61" s="752">
        <f>IF(OR(J61=0,J61="",Q61=""),"",Q61/J61-1)</f>
        <v>8.3673591188234697E-2</v>
      </c>
      <c r="N61" s="753"/>
      <c r="O61" s="751">
        <f>SUM((O46*Aus_SB_flat_proportion),(O53*Aus_SB_tou_proportion),(O54*Aus_SB_tou_proportion))</f>
        <v>751.78836508166285</v>
      </c>
      <c r="P61" s="751">
        <f>SUM((P46*Aus_SB_flat_proportion),(P53*Aus_SB_tou_proportion*F53/F55),(P54*Aus_SB_tou_proportion*F54/F55))</f>
        <v>110.16501896402815</v>
      </c>
      <c r="Q61" s="751">
        <f>O61+P61*$F61/1000</f>
        <v>1853.4385547219445</v>
      </c>
      <c r="R61" s="752">
        <f>IFERROR(Q61/Q63,"")</f>
        <v>0.97911228317860799</v>
      </c>
      <c r="S61" s="752"/>
      <c r="T61" s="763"/>
      <c r="U61" s="484"/>
      <c r="V61" s="761"/>
      <c r="W61" s="752"/>
      <c r="X61" s="752"/>
      <c r="Y61" s="752"/>
      <c r="Z61" s="752"/>
      <c r="AA61" s="752"/>
      <c r="AB61" s="752"/>
      <c r="AC61" s="752"/>
      <c r="AD61" s="752"/>
      <c r="AE61" s="752"/>
      <c r="AF61" s="752"/>
      <c r="AG61" s="752"/>
      <c r="AH61" s="752"/>
      <c r="AI61" s="752"/>
      <c r="AJ61" s="752"/>
      <c r="AK61" s="752"/>
      <c r="AL61" s="752"/>
      <c r="AM61" s="752"/>
      <c r="AN61" s="752"/>
      <c r="AO61" s="752"/>
      <c r="AP61" s="752"/>
      <c r="AQ61" s="752"/>
    </row>
    <row r="62" spans="2:43" s="749" customFormat="1" x14ac:dyDescent="0.35">
      <c r="B62" s="749" t="str">
        <f t="shared" si="14"/>
        <v>Ausgrid</v>
      </c>
      <c r="C62" s="749" t="str">
        <f t="shared" si="14"/>
        <v>Small business</v>
      </c>
      <c r="D62" s="749" t="str">
        <f t="shared" si="14"/>
        <v>flat rate</v>
      </c>
      <c r="E62" s="749" t="s">
        <v>19</v>
      </c>
      <c r="F62" s="750" cm="1">
        <f t="array" ref="F62">IFERROR(_xlfn.XLOOKUP(1,($B62=DistributionZone)*('Network cost'!$C62=CustomerType)*('Network cost'!$E62=tariffType)*('Network cost'!F$5=Description),valuesFY),0)</f>
        <v>10000</v>
      </c>
      <c r="G62" s="749" t="s">
        <v>61</v>
      </c>
      <c r="H62" s="751" cm="1">
        <f t="array" ref="H62">IFERROR(_xlfn.XLOOKUP(1,($B62=DistributionZone)*('Network cost'!$C62=CustomerType)*('Network cost'!$E62=tariffType)*('Network cost'!H$5=Desc_FixedOrVar)*('Network cost'!$G62=Description),valuesPY),0)</f>
        <v>38.159999999999997</v>
      </c>
      <c r="I62" s="751" cm="1">
        <f t="array" ref="I62">IFERROR(_xlfn.XLOOKUP(1,($B62=DistributionZone)*('Network cost'!$C62=CustomerType)*('Network cost'!$E62=tariffType)*('Network cost'!I$5=Desc_FixedOrVar)*('Network cost'!$G62=Description),valuesPY),0)</f>
        <v>0</v>
      </c>
      <c r="J62" s="751">
        <f>H62+I62*F62/1000</f>
        <v>38.159999999999997</v>
      </c>
      <c r="K62" s="752">
        <f>IFERROR(J62/J63,"")</f>
        <v>2.1824556099930517E-2</v>
      </c>
      <c r="L62" s="752"/>
      <c r="M62" s="752">
        <f>IF(OR(J62=0,J62="",Q62=""),"",Q62/J62-1)</f>
        <v>3.6163522012578664E-2</v>
      </c>
      <c r="N62" s="753"/>
      <c r="O62" s="751">
        <f>SUM((O47*Aus_SB_flat_proportion),(O55*Aus_SB_tou_proportion))</f>
        <v>39.54</v>
      </c>
      <c r="P62" s="751">
        <f>SUM((P47*Aus_SB_flat_proportion),(P55*Aus_SB_tou_proportion))</f>
        <v>0</v>
      </c>
      <c r="Q62" s="751">
        <f>O62+P62*$F62/1000</f>
        <v>39.54</v>
      </c>
      <c r="R62" s="752">
        <f>IFERROR(Q62/Q63,"")</f>
        <v>2.0887716821392066E-2</v>
      </c>
      <c r="S62" s="752"/>
      <c r="T62" s="484"/>
      <c r="U62" s="484"/>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row>
    <row r="63" spans="2:43" s="749" customFormat="1" x14ac:dyDescent="0.35">
      <c r="B63" s="749" t="str">
        <f t="shared" si="14"/>
        <v>Ausgrid</v>
      </c>
      <c r="C63" s="749" t="str">
        <f t="shared" si="14"/>
        <v>Small business</v>
      </c>
      <c r="D63" s="749" t="str">
        <f t="shared" si="14"/>
        <v>flat rate</v>
      </c>
      <c r="E63" s="749" t="s">
        <v>396</v>
      </c>
      <c r="F63" s="750">
        <f>F62</f>
        <v>10000</v>
      </c>
      <c r="G63" s="748" t="s">
        <v>55</v>
      </c>
      <c r="H63" s="754">
        <f>SUM(H61:H62)</f>
        <v>719.20346781543651</v>
      </c>
      <c r="I63" s="754">
        <f t="shared" ref="I63:J63" si="15">SUM(I61:I62)</f>
        <v>102.928570306495</v>
      </c>
      <c r="J63" s="754">
        <f t="shared" si="15"/>
        <v>1748.4891708803866</v>
      </c>
      <c r="K63" s="747"/>
      <c r="L63" s="755"/>
      <c r="M63" s="747">
        <f>IF(OR(J63=0,J63="",Q63=""),"",Q63/J63-1)</f>
        <v>8.2636705018199086E-2</v>
      </c>
      <c r="N63" s="756"/>
      <c r="O63" s="754">
        <f>+O62+O61</f>
        <v>791.32836508166281</v>
      </c>
      <c r="P63" s="754">
        <f>SUM(P61:P62)</f>
        <v>110.16501896402815</v>
      </c>
      <c r="Q63" s="754">
        <f>SUM(Q61:Q62)</f>
        <v>1892.9785547219444</v>
      </c>
      <c r="R63" s="752"/>
      <c r="S63" s="752"/>
      <c r="T63" s="763"/>
      <c r="U63" s="763"/>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row>
    <row r="64" spans="2:43" s="748" customFormat="1" x14ac:dyDescent="0.35">
      <c r="B64" s="749" t="str">
        <f t="shared" si="14"/>
        <v>Ausgrid</v>
      </c>
      <c r="C64" s="749" t="str">
        <f t="shared" si="14"/>
        <v>Small business</v>
      </c>
      <c r="D64" s="749" t="str">
        <f t="shared" si="14"/>
        <v>flat rate</v>
      </c>
      <c r="E64" s="749"/>
      <c r="F64" s="750"/>
      <c r="G64" s="749" t="s">
        <v>38</v>
      </c>
      <c r="H64" s="751"/>
      <c r="I64" s="751"/>
      <c r="J64" s="751">
        <f>J63*GST</f>
        <v>174.84891708803866</v>
      </c>
      <c r="K64" s="752"/>
      <c r="L64" s="757"/>
      <c r="M64" s="752">
        <f>IF(OR(J64=0,J64="",Q64=""),"",Q64/J64-1)</f>
        <v>8.2636705018199086E-2</v>
      </c>
      <c r="N64" s="758"/>
      <c r="O64" s="751"/>
      <c r="P64" s="751"/>
      <c r="Q64" s="751">
        <f>Q63*GST</f>
        <v>189.29785547219444</v>
      </c>
      <c r="R64" s="752"/>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row>
    <row r="65" spans="2:43" s="748" customFormat="1" x14ac:dyDescent="0.35">
      <c r="B65" s="749" t="str">
        <f t="shared" si="14"/>
        <v>Ausgrid</v>
      </c>
      <c r="C65" s="749" t="str">
        <f t="shared" si="14"/>
        <v>Small business</v>
      </c>
      <c r="D65" s="749" t="str">
        <f t="shared" si="14"/>
        <v>flat rate</v>
      </c>
      <c r="E65" s="749" t="s">
        <v>396</v>
      </c>
      <c r="F65" s="750"/>
      <c r="G65" s="748" t="s">
        <v>79</v>
      </c>
      <c r="H65" s="754"/>
      <c r="I65" s="754"/>
      <c r="J65" s="754">
        <f>SUM(J63:J64)</f>
        <v>1923.3380879684253</v>
      </c>
      <c r="K65" s="747"/>
      <c r="L65" s="755"/>
      <c r="M65" s="747">
        <f>IF(OR(J65=0,J65="",Q65=""),"",Q65/J65-1)</f>
        <v>8.2636705018199086E-2</v>
      </c>
      <c r="N65" s="756"/>
      <c r="O65" s="754"/>
      <c r="P65" s="754"/>
      <c r="Q65" s="754">
        <f>SUM(Q63:Q64)</f>
        <v>2082.2764101941389</v>
      </c>
      <c r="R65" s="747"/>
      <c r="S65" s="747"/>
      <c r="T65" s="752"/>
      <c r="U65" s="747"/>
      <c r="V65" s="747"/>
      <c r="W65" s="747"/>
      <c r="X65" s="747"/>
      <c r="Y65" s="747"/>
      <c r="Z65" s="747"/>
      <c r="AA65" s="747"/>
      <c r="AB65" s="747"/>
      <c r="AC65" s="747"/>
      <c r="AD65" s="747"/>
      <c r="AE65" s="747"/>
      <c r="AF65" s="747"/>
      <c r="AG65" s="747"/>
      <c r="AH65" s="747"/>
      <c r="AI65" s="747"/>
      <c r="AJ65" s="747"/>
      <c r="AK65" s="747"/>
      <c r="AL65" s="747"/>
      <c r="AM65" s="747"/>
      <c r="AN65" s="747"/>
      <c r="AO65" s="747"/>
      <c r="AP65" s="747"/>
      <c r="AQ65" s="747"/>
    </row>
    <row r="66" spans="2:43" s="749" customFormat="1" x14ac:dyDescent="0.35">
      <c r="F66" s="750"/>
      <c r="H66" s="751"/>
      <c r="I66" s="751"/>
      <c r="J66" s="751"/>
      <c r="K66" s="752"/>
      <c r="L66" s="757"/>
      <c r="M66" s="752"/>
      <c r="N66" s="758"/>
      <c r="O66" s="751"/>
      <c r="P66" s="751"/>
      <c r="Q66" s="751"/>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row>
    <row r="67" spans="2:43" x14ac:dyDescent="0.35">
      <c r="B67" s="64" t="s">
        <v>4</v>
      </c>
      <c r="C67" s="64" t="s">
        <v>6</v>
      </c>
      <c r="D67" s="64" t="s">
        <v>276</v>
      </c>
      <c r="F67" s="258"/>
      <c r="G67" s="66"/>
      <c r="H67" s="482"/>
      <c r="I67" s="482"/>
      <c r="J67" s="482"/>
      <c r="K67" s="484"/>
      <c r="L67" s="567"/>
      <c r="M67" s="484" t="str">
        <f>IF(OR(J67=0,Q67=""),"",Q67/J67-1)</f>
        <v/>
      </c>
      <c r="N67" s="568"/>
      <c r="O67" s="482"/>
      <c r="P67" s="482"/>
      <c r="Q67" s="482"/>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row>
    <row r="68" spans="2:43" x14ac:dyDescent="0.35">
      <c r="B68" s="30" t="str">
        <f t="shared" ref="B68:D72" si="16">B$67</f>
        <v>Endeavour</v>
      </c>
      <c r="C68" s="30" t="str">
        <f t="shared" si="16"/>
        <v>Residential</v>
      </c>
      <c r="D68" s="30" t="str">
        <f>D$67</f>
        <v>flat rate</v>
      </c>
      <c r="E68" s="30" t="s">
        <v>19</v>
      </c>
      <c r="F68" s="258" cm="1">
        <f t="array" ref="F68">IFERROR(_xlfn.XLOOKUP(1,($B68=DistributionZone)*('Network cost'!$C68=CustomerType)*('Network cost'!$E68=tariffType)*('Network cost'!F$5=Description),valuesFY),0)</f>
        <v>4900</v>
      </c>
      <c r="G68" s="30" t="s">
        <v>57</v>
      </c>
      <c r="H68" s="482" cm="1">
        <f t="array" ref="H68">IFERROR(_xlfn.XLOOKUP(1,($B68=DistributionZone)*('Network cost'!$C68=CustomerType)*('Network cost'!$E68=tariffType)*('Network cost'!H$5=Desc_FixedOrVar)*('Network cost'!$G68=Description),valuesPY),0)</f>
        <v>217.75899999999999</v>
      </c>
      <c r="I68" s="482" cm="1">
        <f t="array" ref="I68">IFERROR(_xlfn.XLOOKUP(1,($B68=DistributionZone)*('Network cost'!$C68=CustomerType)*('Network cost'!$E68=tariffType)*('Network cost'!I$5=Desc_FixedOrVar)*('Network cost'!$G68=Description),valuesPY),0)</f>
        <v>108.173</v>
      </c>
      <c r="J68" s="482">
        <f>H68+I68*F68/1000</f>
        <v>747.80669999999998</v>
      </c>
      <c r="K68" s="484">
        <f>IFERROR(J68/J70,"")</f>
        <v>0.98335937564208564</v>
      </c>
      <c r="L68" s="484"/>
      <c r="M68" s="484">
        <f>IF(OR(J68=0,J68="",Q68=""),"",Q68/J68-1)</f>
        <v>0.11340631208573049</v>
      </c>
      <c r="N68" s="563"/>
      <c r="O68" s="482" cm="1">
        <f t="array" ref="O68">IFERROR(_xlfn.XLOOKUP(1,($B68=DistributionZone)*('Network cost'!$C68=CustomerType)*('Network cost'!$E68=tariffType)*('Network cost'!O$5=Desc_FixedOrVar)*('Network cost'!$G68=Description),valuesFY),0)</f>
        <v>242.9075</v>
      </c>
      <c r="P68" s="482" cm="1">
        <f t="array" ref="P68">IFERROR(_xlfn.XLOOKUP(1,($B68=DistributionZone)*('Network cost'!$C68=CustomerType)*('Network cost'!$E68=tariffType)*('Network cost'!P$5=Desc_FixedOrVar)*('Network cost'!$G68=Description),valuesFY),0)</f>
        <v>120.34800000000001</v>
      </c>
      <c r="Q68" s="482">
        <f>O68+P68*$F68/1000</f>
        <v>832.61270000000013</v>
      </c>
      <c r="R68" s="484">
        <f>IFERROR(Q68/Q70,"")</f>
        <v>0.984284708627296</v>
      </c>
      <c r="S68" s="484"/>
      <c r="T68" s="484"/>
      <c r="U68" s="484"/>
      <c r="V68" s="484"/>
      <c r="W68" s="484"/>
      <c r="X68" s="484"/>
      <c r="Y68" s="484"/>
      <c r="Z68" s="484"/>
      <c r="AA68" s="484"/>
      <c r="AB68" s="484"/>
      <c r="AC68" s="484"/>
      <c r="AD68" s="484"/>
      <c r="AE68" s="484"/>
      <c r="AF68" s="484"/>
      <c r="AG68" s="484"/>
      <c r="AH68" s="484"/>
      <c r="AI68" s="484"/>
      <c r="AJ68" s="484"/>
      <c r="AK68" s="484"/>
      <c r="AL68" s="484"/>
      <c r="AM68" s="484"/>
      <c r="AN68" s="484"/>
      <c r="AO68" s="484"/>
      <c r="AP68" s="484"/>
      <c r="AQ68" s="484"/>
    </row>
    <row r="69" spans="2:43" x14ac:dyDescent="0.35">
      <c r="B69" s="30" t="str">
        <f t="shared" si="16"/>
        <v>Endeavour</v>
      </c>
      <c r="C69" s="30" t="str">
        <f t="shared" si="16"/>
        <v>Residential</v>
      </c>
      <c r="D69" s="30" t="str">
        <f t="shared" si="16"/>
        <v>flat rate</v>
      </c>
      <c r="E69" s="30" t="s">
        <v>19</v>
      </c>
      <c r="F69" s="258" cm="1">
        <f t="array" ref="F69">IFERROR(_xlfn.XLOOKUP(1,($B69=DistributionZone)*('Network cost'!$C69=CustomerType)*('Network cost'!$E69=tariffType)*('Network cost'!F$5=Description),valuesFY),0)</f>
        <v>4900</v>
      </c>
      <c r="G69" s="30" t="s">
        <v>61</v>
      </c>
      <c r="H69" s="482" cm="1">
        <f t="array" ref="H69">IFERROR(_xlfn.XLOOKUP(1,($B69=DistributionZone)*('Network cost'!$C69=CustomerType)*('Network cost'!$E69=tariffType)*('Network cost'!H$5=Desc_FixedOrVar)*('Network cost'!$G69=Description),valuesPY),0)</f>
        <v>12.65455</v>
      </c>
      <c r="I69" s="482" cm="1">
        <f t="array" ref="I69">IFERROR(_xlfn.XLOOKUP(1,($B69=DistributionZone)*('Network cost'!$C69=CustomerType)*('Network cost'!$E69=tariffType)*('Network cost'!I$5=Desc_FixedOrVar)*('Network cost'!$G69=Description),valuesPY),0)</f>
        <v>0</v>
      </c>
      <c r="J69" s="482">
        <f>H69+I69*F69/1000</f>
        <v>12.65455</v>
      </c>
      <c r="K69" s="484">
        <f>IFERROR(J69/J70,"")</f>
        <v>1.6640624357914361E-2</v>
      </c>
      <c r="L69" s="484"/>
      <c r="M69" s="484">
        <f>IF(OR(J69=0,J69="",Q69=""),"",Q69/J69-1)</f>
        <v>5.0504759157773416E-2</v>
      </c>
      <c r="N69" s="563"/>
      <c r="O69" s="482" cm="1">
        <f t="array" ref="O69">IFERROR(_xlfn.XLOOKUP(1,($B69=DistributionZone)*('Network cost'!$C69=CustomerType)*('Network cost'!$E69=tariffType)*('Network cost'!O$5=Desc_FixedOrVar)*('Network cost'!$G69=Description),valuesFY),0)</f>
        <v>13.293665000000001</v>
      </c>
      <c r="P69" s="482" cm="1">
        <f t="array" ref="P69">IFERROR(_xlfn.XLOOKUP(1,($B69=DistributionZone)*('Network cost'!$C69=CustomerType)*('Network cost'!$E69=tariffType)*('Network cost'!P$5=Desc_FixedOrVar)*('Network cost'!$G69=Description),valuesFY),0)</f>
        <v>0</v>
      </c>
      <c r="Q69" s="482">
        <f>O69+P69*$F$69/1000</f>
        <v>13.293665000000001</v>
      </c>
      <c r="R69" s="484">
        <f>IFERROR(Q69/Q70,"")</f>
        <v>1.5715291372704117E-2</v>
      </c>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row>
    <row r="70" spans="2:43" x14ac:dyDescent="0.35">
      <c r="B70" s="30" t="str">
        <f t="shared" si="16"/>
        <v>Endeavour</v>
      </c>
      <c r="C70" s="30" t="str">
        <f t="shared" si="16"/>
        <v>Residential</v>
      </c>
      <c r="D70" s="30" t="str">
        <f t="shared" si="16"/>
        <v>flat rate</v>
      </c>
      <c r="E70" s="30" t="s">
        <v>19</v>
      </c>
      <c r="F70" s="258" cm="1">
        <f t="array" ref="F70">IFERROR(_xlfn.XLOOKUP(1,($B70=DistributionZone)*('Network cost'!$C70=CustomerType)*('Network cost'!$E70=tariffType)*('Network cost'!F$5=Description),valuesFY),0)</f>
        <v>4900</v>
      </c>
      <c r="G70" s="64" t="s">
        <v>55</v>
      </c>
      <c r="H70" s="487">
        <f>+H69+H68</f>
        <v>230.41354999999999</v>
      </c>
      <c r="I70" s="487">
        <f>+I68</f>
        <v>108.173</v>
      </c>
      <c r="J70" s="487">
        <f>H70+I70*F70/1000</f>
        <v>760.46124999999995</v>
      </c>
      <c r="K70" s="564"/>
      <c r="L70" s="565"/>
      <c r="M70" s="564">
        <f>IF(OR(J70=0,J70="",Q70=""),"",Q70/J70-1)</f>
        <v>0.11235959097192683</v>
      </c>
      <c r="N70" s="566"/>
      <c r="O70" s="487">
        <f>+O69+O68</f>
        <v>256.201165</v>
      </c>
      <c r="P70" s="487">
        <f>SUM(P68:P69)</f>
        <v>120.34800000000001</v>
      </c>
      <c r="Q70" s="487">
        <f>O70+P70*$F$70/1000</f>
        <v>845.90636500000005</v>
      </c>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row>
    <row r="71" spans="2:43" x14ac:dyDescent="0.35">
      <c r="B71" s="30" t="str">
        <f t="shared" si="16"/>
        <v>Endeavour</v>
      </c>
      <c r="C71" s="30" t="str">
        <f t="shared" si="16"/>
        <v>Residential</v>
      </c>
      <c r="D71" s="30" t="str">
        <f t="shared" si="16"/>
        <v>flat rate</v>
      </c>
      <c r="F71" s="258"/>
      <c r="G71" s="30" t="s">
        <v>38</v>
      </c>
      <c r="H71" s="482"/>
      <c r="I71" s="482"/>
      <c r="J71" s="482">
        <f>J70*GST</f>
        <v>76.046125000000004</v>
      </c>
      <c r="K71" s="484"/>
      <c r="L71" s="567"/>
      <c r="M71" s="484">
        <f>IF(OR(J71=0,J71="",Q71=""),"",Q71/J71-1)</f>
        <v>0.11235959097192683</v>
      </c>
      <c r="N71" s="568"/>
      <c r="O71" s="482"/>
      <c r="P71" s="482"/>
      <c r="Q71" s="482">
        <f>Q70*GST</f>
        <v>84.590636500000016</v>
      </c>
      <c r="R71" s="484"/>
      <c r="S71" s="484"/>
      <c r="T71" s="484"/>
      <c r="U71" s="484"/>
      <c r="V71" s="484"/>
      <c r="W71" s="484"/>
      <c r="X71" s="484"/>
      <c r="Y71" s="484"/>
      <c r="Z71" s="484"/>
      <c r="AA71" s="484"/>
      <c r="AB71" s="484"/>
      <c r="AC71" s="484"/>
      <c r="AD71" s="484"/>
      <c r="AE71" s="484"/>
      <c r="AF71" s="484"/>
      <c r="AG71" s="484"/>
      <c r="AH71" s="484"/>
      <c r="AI71" s="484"/>
      <c r="AJ71" s="484"/>
      <c r="AK71" s="484"/>
      <c r="AL71" s="484"/>
      <c r="AM71" s="484"/>
      <c r="AN71" s="484"/>
      <c r="AO71" s="484"/>
      <c r="AP71" s="484"/>
      <c r="AQ71" s="484"/>
    </row>
    <row r="72" spans="2:43" x14ac:dyDescent="0.35">
      <c r="B72" s="30" t="str">
        <f t="shared" si="16"/>
        <v>Endeavour</v>
      </c>
      <c r="C72" s="30" t="str">
        <f t="shared" si="16"/>
        <v>Residential</v>
      </c>
      <c r="D72" s="30" t="str">
        <f t="shared" si="16"/>
        <v>flat rate</v>
      </c>
      <c r="E72" s="30" t="s">
        <v>19</v>
      </c>
      <c r="F72" s="258"/>
      <c r="G72" s="64" t="s">
        <v>79</v>
      </c>
      <c r="H72" s="487"/>
      <c r="I72" s="487"/>
      <c r="J72" s="487">
        <f>SUM(J70:J71)</f>
        <v>836.50737499999991</v>
      </c>
      <c r="K72" s="564"/>
      <c r="L72" s="565"/>
      <c r="M72" s="564">
        <f>IF(OR(J72=0,J72="",Q72=""),"",Q72/J72-1)</f>
        <v>0.11235959097192683</v>
      </c>
      <c r="N72" s="566"/>
      <c r="O72" s="487"/>
      <c r="P72" s="487"/>
      <c r="Q72" s="487">
        <f>SUM(Q70:Q71)</f>
        <v>930.49700150000012</v>
      </c>
      <c r="R72" s="564"/>
      <c r="S72" s="564"/>
      <c r="T72" s="48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row>
    <row r="73" spans="2:43" x14ac:dyDescent="0.35">
      <c r="F73" s="258"/>
      <c r="H73" s="482"/>
      <c r="I73" s="482"/>
      <c r="J73" s="482"/>
      <c r="K73" s="484"/>
      <c r="L73" s="567"/>
      <c r="M73" s="484"/>
      <c r="N73" s="568"/>
      <c r="O73" s="482"/>
      <c r="P73" s="482"/>
      <c r="Q73" s="482"/>
      <c r="R73" s="484"/>
      <c r="S73" s="484"/>
      <c r="T73" s="484"/>
      <c r="U73" s="484"/>
      <c r="V73" s="484"/>
      <c r="W73" s="484"/>
      <c r="X73" s="484"/>
      <c r="Y73" s="484"/>
      <c r="Z73" s="484"/>
      <c r="AA73" s="484"/>
      <c r="AB73" s="484"/>
      <c r="AC73" s="484"/>
      <c r="AD73" s="484"/>
      <c r="AE73" s="484"/>
      <c r="AF73" s="484"/>
      <c r="AG73" s="484"/>
      <c r="AH73" s="484"/>
      <c r="AI73" s="484"/>
      <c r="AJ73" s="484"/>
      <c r="AK73" s="484"/>
      <c r="AL73" s="484"/>
      <c r="AM73" s="484"/>
      <c r="AN73" s="484"/>
      <c r="AO73" s="484"/>
      <c r="AP73" s="484"/>
      <c r="AQ73" s="484"/>
    </row>
    <row r="74" spans="2:43" s="570" customFormat="1" x14ac:dyDescent="0.35">
      <c r="B74" s="571" t="s">
        <v>4</v>
      </c>
      <c r="C74" s="571" t="s">
        <v>6</v>
      </c>
      <c r="D74" s="571" t="s">
        <v>272</v>
      </c>
      <c r="F74" s="485"/>
      <c r="H74" s="574"/>
      <c r="I74" s="574"/>
      <c r="J74" s="574"/>
      <c r="K74" s="575"/>
      <c r="L74" s="575"/>
      <c r="M74" s="575"/>
      <c r="N74" s="576"/>
      <c r="O74" s="574"/>
      <c r="P74" s="574"/>
      <c r="Q74" s="574"/>
      <c r="R74" s="575"/>
      <c r="S74" s="575"/>
      <c r="T74" s="484"/>
      <c r="U74" s="575"/>
      <c r="V74" s="575"/>
      <c r="W74" s="575"/>
      <c r="X74" s="575"/>
      <c r="Y74" s="575"/>
      <c r="Z74" s="575"/>
      <c r="AA74" s="575"/>
      <c r="AB74" s="575"/>
      <c r="AC74" s="575"/>
      <c r="AD74" s="575"/>
      <c r="AE74" s="575"/>
      <c r="AF74" s="575"/>
      <c r="AG74" s="575"/>
      <c r="AH74" s="575"/>
      <c r="AI74" s="575"/>
      <c r="AJ74" s="575"/>
      <c r="AK74" s="575"/>
      <c r="AL74" s="575"/>
      <c r="AM74" s="575"/>
      <c r="AN74" s="575"/>
      <c r="AO74" s="575"/>
      <c r="AP74" s="575"/>
      <c r="AQ74" s="575"/>
    </row>
    <row r="75" spans="2:43" s="570" customFormat="1" x14ac:dyDescent="0.35">
      <c r="B75" s="570" t="str">
        <f t="shared" ref="B75:C80" si="17">B$67</f>
        <v>Endeavour</v>
      </c>
      <c r="C75" s="570" t="str">
        <f t="shared" si="17"/>
        <v>Residential</v>
      </c>
      <c r="D75" s="570" t="str">
        <f>D$74</f>
        <v>time of use</v>
      </c>
      <c r="E75" s="570" t="s">
        <v>279</v>
      </c>
      <c r="F75" s="485" cm="1">
        <f t="array" ref="F75">_xlfn.XLOOKUP(1,($B75=DistributionZone)*('Network cost'!$C75=CustomerType)*('Network cost'!$D75=tariffL2)*($F$5=Description),valuesPY)*_xlfn.XLOOKUP(1,($B75=DistributionZone)*($C75=CustomerType)*('Network cost'!$D75=tariffL2)*($E75=tariffType)*("Usage proportion"=Description),valuesFY)</f>
        <v>3254.3760390086245</v>
      </c>
      <c r="G75" s="570" t="s">
        <v>57</v>
      </c>
      <c r="H75" s="574" cm="1">
        <f t="array" ref="H75">IFERROR(_xlfn.XLOOKUP(1,($B75=DistributionZone)*('Network cost'!$C75=CustomerType)*('Network cost'!$E75=tariffType)*('Network cost'!H$5=Desc_FixedOrVar)*('Network cost'!$G75=Description),valuesPY),0)*_xlfn.XLOOKUP(1,($B75=DistributionZone)*('Network cost'!$D75=tariffL2)*($E75=tariffType)*("Usage proportion"=Description),valuesPY)</f>
        <v>0</v>
      </c>
      <c r="I75" s="574" cm="1">
        <f t="array" ref="I75">IFERROR(_xlfn.XLOOKUP(1,($B75=DistributionZone)*('Network cost'!$C75=CustomerType)*('Network cost'!$E75=tariffType)*('Network cost'!I$5=Desc_FixedOrVar)*('Network cost'!$G75=Description),valuesPY),0)</f>
        <v>0</v>
      </c>
      <c r="J75" s="574">
        <f>H75+(I75*F75/1000)</f>
        <v>0</v>
      </c>
      <c r="K75" s="575" t="str">
        <f>IFERROR(J75/$J$80,"")</f>
        <v/>
      </c>
      <c r="L75" s="575"/>
      <c r="M75" s="575" t="str">
        <f>IF(OR(J75=0,J75="",Q75=""),"",Q75/J75-1)</f>
        <v/>
      </c>
      <c r="N75" s="576"/>
      <c r="O75" s="574" cm="1">
        <f t="array" ref="O75">IFERROR(_xlfn.XLOOKUP(1,($B75=DistributionZone)*('Network cost'!$C75=CustomerType)*('Network cost'!$E75=tariffType)*('Network cost'!O$5=Desc_FixedOrVar)*('Network cost'!$G75=Description),valuesFY),0)*_xlfn.XLOOKUP(1,($B75=DistributionZone)*('Network cost'!$D75=tariffL2)*($E75=tariffType)*("Usage proportion"=Description),valuesFY)</f>
        <v>161.32905055009948</v>
      </c>
      <c r="P75" s="574" cm="1">
        <f t="array" ref="P75">IFERROR(_xlfn.XLOOKUP(1,($B75=DistributionZone)*('Network cost'!$C75=CustomerType)*('Network cost'!$E75=tariffType)*('Network cost'!P$5=Desc_FixedOrVar)*('Network cost'!$G75=Description),valuesFY),0)</f>
        <v>117.34</v>
      </c>
      <c r="Q75" s="574">
        <f>O75+P75*$F75/1000</f>
        <v>543.19753496737155</v>
      </c>
      <c r="R75" s="575">
        <f>IFERROR(Q75/$Q$80,"")</f>
        <v>0.6577109639799007</v>
      </c>
      <c r="S75" s="575"/>
      <c r="T75" s="484"/>
      <c r="U75" s="575"/>
      <c r="V75" s="575"/>
      <c r="W75" s="575"/>
      <c r="X75" s="575"/>
      <c r="Y75" s="575"/>
      <c r="Z75" s="575"/>
      <c r="AA75" s="575"/>
      <c r="AB75" s="575"/>
      <c r="AC75" s="575"/>
      <c r="AD75" s="575"/>
      <c r="AE75" s="575"/>
      <c r="AF75" s="575"/>
      <c r="AG75" s="575"/>
      <c r="AH75" s="575"/>
      <c r="AI75" s="575"/>
      <c r="AJ75" s="575"/>
      <c r="AK75" s="575"/>
      <c r="AL75" s="575"/>
      <c r="AM75" s="575"/>
      <c r="AN75" s="575"/>
      <c r="AO75" s="575"/>
      <c r="AP75" s="575"/>
      <c r="AQ75" s="575"/>
    </row>
    <row r="76" spans="2:43" s="570" customFormat="1" x14ac:dyDescent="0.35">
      <c r="B76" s="570" t="str">
        <f t="shared" si="17"/>
        <v>Endeavour</v>
      </c>
      <c r="C76" s="570" t="str">
        <f t="shared" si="17"/>
        <v>Residential</v>
      </c>
      <c r="D76" s="570" t="str">
        <f t="shared" ref="D76:D82" si="18">D$74</f>
        <v>time of use</v>
      </c>
      <c r="E76" s="570" t="s">
        <v>280</v>
      </c>
      <c r="F76" s="485" cm="1">
        <f t="array" ref="F76">_xlfn.XLOOKUP(1,($B76=DistributionZone)*('Network cost'!$C76=CustomerType)*('Network cost'!$D76=tariffL2)*($F$5=Description),valuesPY)*_xlfn.XLOOKUP(1,($B76=DistributionZone)*($C76=CustomerType)*('Network cost'!$D76=tariffL2)*($E76=tariffType)*("Usage proportion"=Description),valuesFY)</f>
        <v>327.11329612094818</v>
      </c>
      <c r="G76" s="570" t="s">
        <v>57</v>
      </c>
      <c r="H76" s="574" cm="1">
        <f t="array" ref="H76">IFERROR(_xlfn.XLOOKUP(1,($B76=DistributionZone)*('Network cost'!$C76=CustomerType)*('Network cost'!$E76=tariffType)*('Network cost'!H$5=Desc_FixedOrVar)*('Network cost'!$G76=Description),valuesPY),0)*_xlfn.XLOOKUP(1,($B76=DistributionZone)*('Network cost'!$D76=tariffL2)*($E76=tariffType)*("Usage proportion"=Description),valuesPY)</f>
        <v>0</v>
      </c>
      <c r="I76" s="574" cm="1">
        <f t="array" ref="I76">IFERROR(_xlfn.XLOOKUP(1,($B76=DistributionZone)*('Network cost'!$C76=CustomerType)*('Network cost'!$E76=tariffType)*('Network cost'!I$5=Desc_FixedOrVar)*('Network cost'!$G76=Description),valuesPY),0)</f>
        <v>0</v>
      </c>
      <c r="J76" s="574">
        <f>H76+I76*F76/1000</f>
        <v>0</v>
      </c>
      <c r="K76" s="575" t="str">
        <f>IFERROR(J76/$J$80,"")</f>
        <v/>
      </c>
      <c r="L76" s="575"/>
      <c r="M76" s="575" t="str">
        <f>IF(OR(J76=0,J76="",Q76=""),"",Q76/J76-1)</f>
        <v/>
      </c>
      <c r="N76" s="576"/>
      <c r="O76" s="574" cm="1">
        <f t="array" ref="O76">IFERROR(_xlfn.XLOOKUP(1,($B76=DistributionZone)*('Network cost'!$C76=CustomerType)*('Network cost'!$E76=tariffType)*('Network cost'!O$5=Desc_FixedOrVar)*('Network cost'!$G76=Description),valuesFY),0)*_xlfn.XLOOKUP(1,($B76=DistributionZone)*('Network cost'!$D76=tariffL2)*($E76=tariffType)*("Usage proportion"=Description),valuesFY)</f>
        <v>16.215974077040656</v>
      </c>
      <c r="P76" s="574" cm="1">
        <f t="array" ref="P76">IFERROR(_xlfn.XLOOKUP(1,($B76=DistributionZone)*('Network cost'!$C76=CustomerType)*('Network cost'!$E76=tariffType)*('Network cost'!P$5=Desc_FixedOrVar)*('Network cost'!$G76=Description),valuesFY),0)</f>
        <v>234.471</v>
      </c>
      <c r="Q76" s="574">
        <f>O76+P76*$F76/1000</f>
        <v>92.914555731815497</v>
      </c>
      <c r="R76" s="575">
        <f>IFERROR(Q76/$Q$80,"")</f>
        <v>0.11250220791559253</v>
      </c>
      <c r="S76" s="575"/>
      <c r="T76" s="484"/>
      <c r="U76" s="575"/>
      <c r="V76" s="575"/>
      <c r="W76" s="575"/>
      <c r="X76" s="575"/>
      <c r="Y76" s="575"/>
      <c r="Z76" s="575"/>
      <c r="AA76" s="575"/>
      <c r="AB76" s="575"/>
      <c r="AC76" s="575"/>
      <c r="AD76" s="575"/>
      <c r="AE76" s="575"/>
      <c r="AF76" s="575"/>
      <c r="AG76" s="575"/>
      <c r="AH76" s="575"/>
      <c r="AI76" s="575"/>
      <c r="AJ76" s="575"/>
      <c r="AK76" s="575"/>
      <c r="AL76" s="575"/>
      <c r="AM76" s="575"/>
      <c r="AN76" s="575"/>
      <c r="AO76" s="575"/>
      <c r="AP76" s="575"/>
      <c r="AQ76" s="575"/>
    </row>
    <row r="77" spans="2:43" s="570" customFormat="1" x14ac:dyDescent="0.35">
      <c r="B77" s="570" t="str">
        <f t="shared" si="17"/>
        <v>Endeavour</v>
      </c>
      <c r="C77" s="570" t="str">
        <f t="shared" si="17"/>
        <v>Residential</v>
      </c>
      <c r="D77" s="570" t="str">
        <f t="shared" si="18"/>
        <v>time of use</v>
      </c>
      <c r="E77" s="570" t="s">
        <v>281</v>
      </c>
      <c r="F77" s="485" cm="1">
        <f t="array" ref="F77">_xlfn.XLOOKUP(1,($B77=DistributionZone)*('Network cost'!$C77=CustomerType)*('Network cost'!$D77=tariffL2)*($F$5=Description),valuesPY)*_xlfn.XLOOKUP(1,($B77=DistributionZone)*($C77=CustomerType)*('Network cost'!$D77=tariffL2)*($E77=tariffType)*("Usage proportion"=Description),valuesFY)</f>
        <v>481.04896488374737</v>
      </c>
      <c r="G77" s="570" t="s">
        <v>57</v>
      </c>
      <c r="H77" s="574" cm="1">
        <f t="array" ref="H77">IFERROR(_xlfn.XLOOKUP(1,($B77=DistributionZone)*('Network cost'!$C77=CustomerType)*('Network cost'!$E77=tariffType)*('Network cost'!H$5=Desc_FixedOrVar)*('Network cost'!$G77=Description),valuesPY),0)*_xlfn.XLOOKUP(1,($B77=DistributionZone)*('Network cost'!$D77=tariffL2)*($E77=tariffType)*("Usage proportion"=Description),valuesPY)</f>
        <v>0</v>
      </c>
      <c r="I77" s="574" cm="1">
        <f t="array" ref="I77">IFERROR(_xlfn.XLOOKUP(1,($B77=DistributionZone)*('Network cost'!$C77=CustomerType)*('Network cost'!$E77=tariffType)*('Network cost'!I$5=Desc_FixedOrVar)*('Network cost'!$G77=Description),valuesPY),0)</f>
        <v>0</v>
      </c>
      <c r="J77" s="574">
        <f>H77+I77*F77/1000</f>
        <v>0</v>
      </c>
      <c r="K77" s="575" t="str">
        <f>IFERROR(J77/$J$80,"")</f>
        <v/>
      </c>
      <c r="L77" s="575"/>
      <c r="M77" s="575" t="str">
        <f>IF(OR(J77=0,J77="",Q77=""),"",Q77/J77-1)</f>
        <v/>
      </c>
      <c r="N77" s="576"/>
      <c r="O77" s="574" cm="1">
        <f t="array" ref="O77">IFERROR(_xlfn.XLOOKUP(1,($B77=DistributionZone)*('Network cost'!$C77=CustomerType)*('Network cost'!$E77=tariffType)*('Network cost'!O$5=Desc_FixedOrVar)*('Network cost'!$G77=Description),valuesFY),0)*_xlfn.XLOOKUP(1,($B77=DistributionZone)*('Network cost'!$D77=tariffL2)*($E77=tariffType)*("Usage proportion"=Description),valuesFY)</f>
        <v>23.847020701530379</v>
      </c>
      <c r="P77" s="574" cm="1">
        <f t="array" ref="P77">IFERROR(_xlfn.XLOOKUP(1,($B77=DistributionZone)*('Network cost'!$C77=CustomerType)*('Network cost'!$E77=tariffType)*('Network cost'!P$5=Desc_FixedOrVar)*('Network cost'!$G77=Description),valuesFY),0)</f>
        <v>152.042</v>
      </c>
      <c r="Q77" s="574">
        <f>O77+P77*$F77/1000</f>
        <v>96.986667420385103</v>
      </c>
      <c r="R77" s="575">
        <f>IFERROR(Q77/$Q$80,"")</f>
        <v>0.11743277613748958</v>
      </c>
      <c r="S77" s="575"/>
      <c r="T77" s="484"/>
      <c r="U77" s="575"/>
      <c r="V77" s="575"/>
      <c r="W77" s="575"/>
      <c r="X77" s="575"/>
      <c r="Y77" s="575"/>
      <c r="Z77" s="575"/>
      <c r="AA77" s="575"/>
      <c r="AB77" s="575"/>
      <c r="AC77" s="575"/>
      <c r="AD77" s="575"/>
      <c r="AE77" s="575"/>
      <c r="AF77" s="575"/>
      <c r="AG77" s="575"/>
      <c r="AH77" s="575"/>
      <c r="AI77" s="575"/>
      <c r="AJ77" s="575"/>
      <c r="AK77" s="575"/>
      <c r="AL77" s="575"/>
      <c r="AM77" s="575"/>
      <c r="AN77" s="575"/>
      <c r="AO77" s="575"/>
      <c r="AP77" s="575"/>
      <c r="AQ77" s="575"/>
    </row>
    <row r="78" spans="2:43" s="570" customFormat="1" x14ac:dyDescent="0.35">
      <c r="B78" s="570" t="str">
        <f t="shared" si="17"/>
        <v>Endeavour</v>
      </c>
      <c r="C78" s="570" t="str">
        <f t="shared" si="17"/>
        <v>Residential</v>
      </c>
      <c r="D78" s="570" t="str">
        <f t="shared" si="18"/>
        <v>time of use</v>
      </c>
      <c r="E78" s="570" t="s">
        <v>282</v>
      </c>
      <c r="F78" s="485" cm="1">
        <f t="array" ref="F78">_xlfn.XLOOKUP(1,($B78=DistributionZone)*('Network cost'!$C78=CustomerType)*('Network cost'!$D78=tariffL2)*($F$5=Description),valuesPY)*_xlfn.XLOOKUP(1,($B78=DistributionZone)*($C78=CustomerType)*('Network cost'!$D78=tariffL2)*($E78=tariffType)*("Usage proportion"=Description),valuesFY)</f>
        <v>837.46169998667972</v>
      </c>
      <c r="G78" s="570" t="s">
        <v>57</v>
      </c>
      <c r="H78" s="574" cm="1">
        <f t="array" ref="H78">IFERROR(_xlfn.XLOOKUP(1,($B78=DistributionZone)*('Network cost'!$C78=CustomerType)*('Network cost'!$E78=tariffType)*('Network cost'!H$5=Desc_FixedOrVar)*('Network cost'!$G78=Description),valuesPY),0)*_xlfn.XLOOKUP(1,($B78=DistributionZone)*('Network cost'!$D78=tariffL2)*($E78=tariffType)*("Usage proportion"=Description),valuesPY)</f>
        <v>0</v>
      </c>
      <c r="I78" s="574" cm="1">
        <f t="array" ref="I78">IFERROR(_xlfn.XLOOKUP(1,($B78=DistributionZone)*('Network cost'!$C78=CustomerType)*('Network cost'!$E78=tariffType)*('Network cost'!I$5=Desc_FixedOrVar)*('Network cost'!$G78=Description),valuesPY),0)</f>
        <v>0</v>
      </c>
      <c r="J78" s="574">
        <f>H78+I78*F78/1000</f>
        <v>0</v>
      </c>
      <c r="K78" s="575" t="str">
        <f>IFERROR(J78/$J$80,"")</f>
        <v/>
      </c>
      <c r="L78" s="575"/>
      <c r="M78" s="575" t="str">
        <f>IF(OR(J78=0,J78="",Q78=""),"",Q78/J78-1)</f>
        <v/>
      </c>
      <c r="N78" s="576"/>
      <c r="O78" s="574" cm="1">
        <f t="array" ref="O78">IFERROR(_xlfn.XLOOKUP(1,($B78=DistributionZone)*('Network cost'!$C78=CustomerType)*('Network cost'!$E78=tariffType)*('Network cost'!O$5=Desc_FixedOrVar)*('Network cost'!$G78=Description),valuesFY),0)*_xlfn.XLOOKUP(1,($B78=DistributionZone)*('Network cost'!$D78=tariffL2)*($E78=tariffType)*("Usage proportion"=Description),valuesFY)</f>
        <v>41.515454671329465</v>
      </c>
      <c r="P78" s="574" cm="1">
        <f t="array" ref="P78">IFERROR(_xlfn.XLOOKUP(1,($B78=DistributionZone)*('Network cost'!$C78=CustomerType)*('Network cost'!$E78=tariffType)*('Network cost'!P$5=Desc_FixedOrVar)*('Network cost'!$G78=Description),valuesFY),0)</f>
        <v>45.354999999999997</v>
      </c>
      <c r="Q78" s="574">
        <f>O78+P78*$F78/1000</f>
        <v>79.498530074225329</v>
      </c>
      <c r="R78" s="575">
        <f>IFERROR(Q78/$Q$80,"")</f>
        <v>9.6257901562908615E-2</v>
      </c>
      <c r="S78" s="575"/>
      <c r="T78" s="484"/>
      <c r="U78" s="575"/>
      <c r="V78" s="575"/>
      <c r="W78" s="575"/>
      <c r="X78" s="575"/>
      <c r="Y78" s="575"/>
      <c r="Z78" s="575"/>
      <c r="AA78" s="575"/>
      <c r="AB78" s="575"/>
      <c r="AC78" s="575"/>
      <c r="AD78" s="575"/>
      <c r="AE78" s="575"/>
      <c r="AF78" s="575"/>
      <c r="AG78" s="575"/>
      <c r="AH78" s="575"/>
      <c r="AI78" s="575"/>
      <c r="AJ78" s="575"/>
      <c r="AK78" s="575"/>
      <c r="AL78" s="575"/>
      <c r="AM78" s="575"/>
      <c r="AN78" s="575"/>
      <c r="AO78" s="575"/>
      <c r="AP78" s="575"/>
      <c r="AQ78" s="575"/>
    </row>
    <row r="79" spans="2:43" s="570" customFormat="1" x14ac:dyDescent="0.35">
      <c r="B79" s="570" t="str">
        <f t="shared" si="17"/>
        <v>Endeavour</v>
      </c>
      <c r="C79" s="570" t="str">
        <f t="shared" si="17"/>
        <v>Residential</v>
      </c>
      <c r="D79" s="570" t="str">
        <f t="shared" si="18"/>
        <v>time of use</v>
      </c>
      <c r="E79" s="570" t="s">
        <v>272</v>
      </c>
      <c r="F79" s="485">
        <f>SUM(F75:F78)</f>
        <v>4900</v>
      </c>
      <c r="G79" s="570" t="s">
        <v>61</v>
      </c>
      <c r="H79" s="574" cm="1">
        <f t="array" ref="H79">IFERROR(_xlfn.XLOOKUP(1,($B79=DistributionZone)*('Network cost'!$C79=CustomerType)*('Network cost'!$E79=tariffType)*('Network cost'!H$5=Desc_FixedOrVar)*('Network cost'!$G79=Description),valuesPY),0)</f>
        <v>0</v>
      </c>
      <c r="I79" s="574" cm="1">
        <f t="array" ref="I79">IFERROR(_xlfn.XLOOKUP(1,($B79=DistributionZone)*('Network cost'!$C79=CustomerType)*('Network cost'!$E79=tariffType)*('Network cost'!I$5=Desc_FixedOrVar)*('Network cost'!$G79=Description),valuesPY),0)</f>
        <v>0</v>
      </c>
      <c r="J79" s="574">
        <f>H79+I79*F79/1000</f>
        <v>0</v>
      </c>
      <c r="K79" s="575" t="str">
        <f>IFERROR(J79/$J$80,"")</f>
        <v/>
      </c>
      <c r="L79" s="575"/>
      <c r="M79" s="575"/>
      <c r="N79" s="576"/>
      <c r="O79" s="574" cm="1">
        <f t="array" ref="O79">IFERROR(_xlfn.XLOOKUP(1,($B79=DistributionZone)*('Network cost'!$C79=CustomerType)*('Network cost'!$E79=tariffType)*('Network cost'!O$5=Desc_FixedOrVar)*('Network cost'!$G79=Description),valuesFY),0)</f>
        <v>13.293665000000001</v>
      </c>
      <c r="P79" s="574" cm="1">
        <f t="array" ref="P79">IFERROR(_xlfn.XLOOKUP(1,($B79=DistributionZone)*('Network cost'!$C79=CustomerType)*('Network cost'!$E79=tariffType)*('Network cost'!P$5=Desc_FixedOrVar)*('Network cost'!$G79=Description),valuesFY),0)</f>
        <v>0</v>
      </c>
      <c r="Q79" s="574">
        <f>O79+P79*$F79/1000</f>
        <v>13.293665000000001</v>
      </c>
      <c r="R79" s="575">
        <f>IFERROR(Q79/$Q$80,"")</f>
        <v>1.6096150404108625E-2</v>
      </c>
      <c r="S79" s="575"/>
      <c r="T79" s="484"/>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Q79" s="575"/>
    </row>
    <row r="80" spans="2:43" s="571" customFormat="1" x14ac:dyDescent="0.35">
      <c r="B80" s="570" t="str">
        <f t="shared" si="17"/>
        <v>Endeavour</v>
      </c>
      <c r="C80" s="570" t="str">
        <f t="shared" si="17"/>
        <v>Residential</v>
      </c>
      <c r="D80" s="570" t="str">
        <f t="shared" si="18"/>
        <v>time of use</v>
      </c>
      <c r="E80" s="570" t="s">
        <v>272</v>
      </c>
      <c r="F80" s="485" cm="1">
        <f t="array" ref="F80">IFERROR(_xlfn.XLOOKUP(1,($B80=DistributionZone)*('Network cost'!$C80=CustomerType)*('Network cost'!$E80=tariffType)*('Network cost'!F$5=Description),valuesFY),0)</f>
        <v>4900</v>
      </c>
      <c r="G80" s="571" t="s">
        <v>55</v>
      </c>
      <c r="H80" s="577">
        <f>SUM(H75:H79)</f>
        <v>0</v>
      </c>
      <c r="I80" s="577">
        <f>SUM(I75:I79)</f>
        <v>0</v>
      </c>
      <c r="J80" s="577">
        <f>SUM(J75:J79)</f>
        <v>0</v>
      </c>
      <c r="K80" s="578"/>
      <c r="L80" s="579"/>
      <c r="M80" s="578" t="str">
        <f>IF(OR(J80=0,J80="",Q80=""),"",Q80/J80-1)</f>
        <v/>
      </c>
      <c r="N80" s="580"/>
      <c r="O80" s="577">
        <f>SUM(O75:O79)</f>
        <v>256.20116499999995</v>
      </c>
      <c r="P80" s="577">
        <f>SUM(P75:P79)</f>
        <v>549.20800000000008</v>
      </c>
      <c r="Q80" s="577">
        <f>SUM(Q75:Q79)</f>
        <v>825.89095319379749</v>
      </c>
      <c r="R80" s="575"/>
      <c r="S80" s="575"/>
      <c r="T80" s="484"/>
      <c r="U80" s="575"/>
      <c r="V80" s="575"/>
      <c r="W80" s="575"/>
      <c r="X80" s="575"/>
      <c r="Y80" s="575"/>
      <c r="Z80" s="575"/>
      <c r="AA80" s="575"/>
      <c r="AB80" s="575"/>
      <c r="AC80" s="575"/>
      <c r="AD80" s="575"/>
      <c r="AE80" s="575"/>
      <c r="AF80" s="575"/>
      <c r="AG80" s="575"/>
      <c r="AH80" s="575"/>
      <c r="AI80" s="575"/>
      <c r="AJ80" s="575"/>
      <c r="AK80" s="575"/>
      <c r="AL80" s="575"/>
      <c r="AM80" s="575"/>
      <c r="AN80" s="575"/>
      <c r="AO80" s="575"/>
      <c r="AP80" s="575"/>
      <c r="AQ80" s="575"/>
    </row>
    <row r="81" spans="2:43" s="571" customFormat="1" x14ac:dyDescent="0.35">
      <c r="B81" s="570" t="str">
        <f>B$67</f>
        <v>Endeavour</v>
      </c>
      <c r="C81" s="570" t="str">
        <f>C$8</f>
        <v>Residential</v>
      </c>
      <c r="D81" s="570" t="str">
        <f t="shared" si="18"/>
        <v>time of use</v>
      </c>
      <c r="E81" s="570"/>
      <c r="F81" s="485"/>
      <c r="G81" s="570" t="s">
        <v>38</v>
      </c>
      <c r="H81" s="574"/>
      <c r="I81" s="574"/>
      <c r="J81" s="574">
        <f>J80*GST</f>
        <v>0</v>
      </c>
      <c r="K81" s="575"/>
      <c r="L81" s="581"/>
      <c r="M81" s="575" t="str">
        <f>IF(OR(J81=0,J81="",Q81=""),"",Q81/J81-1)</f>
        <v/>
      </c>
      <c r="N81" s="582"/>
      <c r="O81" s="574"/>
      <c r="P81" s="574"/>
      <c r="Q81" s="574">
        <f>Q80*GST</f>
        <v>82.589095319379751</v>
      </c>
      <c r="R81" s="575"/>
      <c r="S81" s="575"/>
      <c r="T81" s="484"/>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row>
    <row r="82" spans="2:43" s="571" customFormat="1" x14ac:dyDescent="0.35">
      <c r="B82" s="570" t="str">
        <f>B$67</f>
        <v>Endeavour</v>
      </c>
      <c r="C82" s="570" t="str">
        <f>C$8</f>
        <v>Residential</v>
      </c>
      <c r="D82" s="570" t="str">
        <f t="shared" si="18"/>
        <v>time of use</v>
      </c>
      <c r="E82" s="570" t="s">
        <v>272</v>
      </c>
      <c r="F82" s="485"/>
      <c r="G82" s="571" t="s">
        <v>79</v>
      </c>
      <c r="H82" s="577"/>
      <c r="I82" s="577"/>
      <c r="J82" s="577">
        <f>SUM(J80:J81)</f>
        <v>0</v>
      </c>
      <c r="K82" s="578"/>
      <c r="L82" s="579"/>
      <c r="M82" s="578" t="str">
        <f>IF(OR(J82=0,J82="",Q82=""),"",Q82/J82-1)</f>
        <v/>
      </c>
      <c r="N82" s="580"/>
      <c r="O82" s="577"/>
      <c r="P82" s="577"/>
      <c r="Q82" s="577">
        <f>SUM(Q80:Q81)</f>
        <v>908.48004851317728</v>
      </c>
      <c r="R82" s="578"/>
      <c r="S82" s="578"/>
      <c r="T82" s="484"/>
      <c r="U82" s="578"/>
      <c r="V82" s="578"/>
      <c r="W82" s="578"/>
      <c r="X82" s="578"/>
      <c r="Y82" s="578"/>
      <c r="Z82" s="578"/>
      <c r="AA82" s="578"/>
      <c r="AB82" s="578"/>
      <c r="AC82" s="578"/>
      <c r="AD82" s="578"/>
      <c r="AE82" s="578"/>
      <c r="AF82" s="578"/>
      <c r="AG82" s="578"/>
      <c r="AH82" s="578"/>
      <c r="AI82" s="578"/>
      <c r="AJ82" s="578"/>
      <c r="AK82" s="578"/>
      <c r="AL82" s="578"/>
      <c r="AM82" s="578"/>
      <c r="AN82" s="578"/>
      <c r="AO82" s="578"/>
      <c r="AP82" s="578"/>
      <c r="AQ82" s="578"/>
    </row>
    <row r="83" spans="2:43" x14ac:dyDescent="0.35">
      <c r="F83" s="258"/>
      <c r="H83" s="482"/>
      <c r="I83" s="482"/>
      <c r="J83" s="482"/>
      <c r="K83" s="484"/>
      <c r="L83" s="567"/>
      <c r="M83" s="484"/>
      <c r="N83" s="568"/>
      <c r="O83" s="482"/>
      <c r="P83" s="482"/>
      <c r="Q83" s="482"/>
      <c r="R83" s="484"/>
      <c r="S83" s="484"/>
      <c r="T83" s="484"/>
      <c r="U83" s="484"/>
      <c r="V83" s="484"/>
      <c r="W83" s="484"/>
      <c r="X83" s="484"/>
      <c r="Y83" s="484"/>
      <c r="Z83" s="484"/>
      <c r="AA83" s="484"/>
      <c r="AB83" s="484"/>
      <c r="AC83" s="484"/>
      <c r="AD83" s="484"/>
      <c r="AE83" s="484"/>
      <c r="AF83" s="484"/>
      <c r="AG83" s="484"/>
      <c r="AH83" s="484"/>
      <c r="AI83" s="484"/>
      <c r="AJ83" s="484"/>
      <c r="AK83" s="484"/>
      <c r="AL83" s="484"/>
      <c r="AM83" s="484"/>
      <c r="AN83" s="484"/>
      <c r="AO83" s="484"/>
      <c r="AP83" s="484"/>
      <c r="AQ83" s="484"/>
    </row>
    <row r="84" spans="2:43" hidden="1" x14ac:dyDescent="0.35">
      <c r="F84" s="258"/>
      <c r="H84" s="482"/>
      <c r="I84" s="482"/>
      <c r="J84" s="482"/>
      <c r="K84" s="484"/>
      <c r="L84" s="567"/>
      <c r="M84" s="484"/>
      <c r="N84" s="568"/>
      <c r="O84" s="482"/>
      <c r="P84" s="482"/>
      <c r="Q84" s="482"/>
      <c r="R84" s="484"/>
      <c r="S84" s="484"/>
      <c r="T84" s="484"/>
      <c r="U84" s="484"/>
      <c r="V84" s="484"/>
      <c r="W84" s="484"/>
      <c r="X84" s="484"/>
      <c r="Y84" s="484"/>
      <c r="Z84" s="484"/>
      <c r="AA84" s="484"/>
      <c r="AB84" s="484"/>
      <c r="AC84" s="484"/>
      <c r="AD84" s="484"/>
      <c r="AE84" s="484"/>
      <c r="AF84" s="484"/>
      <c r="AG84" s="484"/>
      <c r="AH84" s="484"/>
      <c r="AI84" s="484"/>
      <c r="AJ84" s="484"/>
      <c r="AK84" s="484"/>
      <c r="AL84" s="484"/>
      <c r="AM84" s="484"/>
      <c r="AN84" s="484"/>
      <c r="AO84" s="484"/>
      <c r="AP84" s="484"/>
      <c r="AQ84" s="484"/>
    </row>
    <row r="85" spans="2:43" hidden="1" x14ac:dyDescent="0.35">
      <c r="B85" s="64"/>
      <c r="C85" s="64"/>
      <c r="D85" s="64"/>
      <c r="F85" s="258"/>
      <c r="H85" s="482"/>
      <c r="I85" s="482"/>
      <c r="J85" s="482"/>
      <c r="K85" s="484"/>
      <c r="L85" s="567"/>
      <c r="M85" s="484"/>
      <c r="N85" s="568"/>
      <c r="O85" s="482"/>
      <c r="P85" s="489"/>
      <c r="Q85" s="482"/>
      <c r="R85" s="484"/>
      <c r="S85" s="484"/>
      <c r="T85" s="484"/>
      <c r="U85" s="484"/>
      <c r="V85" s="484"/>
      <c r="W85" s="484"/>
      <c r="X85" s="484"/>
      <c r="Y85" s="484"/>
      <c r="Z85" s="484"/>
      <c r="AA85" s="484"/>
      <c r="AB85" s="484"/>
      <c r="AC85" s="484"/>
      <c r="AD85" s="484"/>
      <c r="AE85" s="484"/>
      <c r="AF85" s="484"/>
      <c r="AG85" s="484"/>
      <c r="AH85" s="484"/>
      <c r="AI85" s="484"/>
      <c r="AJ85" s="484"/>
      <c r="AK85" s="484"/>
      <c r="AL85" s="484"/>
      <c r="AM85" s="484"/>
      <c r="AN85" s="484"/>
      <c r="AO85" s="484"/>
      <c r="AP85" s="484"/>
      <c r="AQ85" s="484"/>
    </row>
    <row r="86" spans="2:43" hidden="1" x14ac:dyDescent="0.35">
      <c r="B86" s="585"/>
      <c r="C86" s="585"/>
      <c r="D86" s="585"/>
      <c r="F86" s="258"/>
      <c r="H86" s="482"/>
      <c r="I86" s="482"/>
      <c r="J86" s="482"/>
      <c r="K86" s="484"/>
      <c r="L86" s="484"/>
      <c r="M86" s="484"/>
      <c r="N86" s="563"/>
      <c r="O86" s="482"/>
      <c r="P86" s="482"/>
      <c r="Q86" s="482"/>
      <c r="R86" s="484"/>
      <c r="S86" s="484"/>
      <c r="T86" s="484"/>
      <c r="U86" s="484"/>
      <c r="V86" s="484"/>
      <c r="W86" s="484"/>
      <c r="X86" s="484"/>
      <c r="Y86" s="484"/>
      <c r="Z86" s="484"/>
      <c r="AA86" s="484"/>
      <c r="AB86" s="484"/>
      <c r="AC86" s="484"/>
      <c r="AD86" s="484"/>
      <c r="AE86" s="484"/>
      <c r="AF86" s="484"/>
      <c r="AG86" s="484"/>
      <c r="AH86" s="484"/>
      <c r="AI86" s="484"/>
      <c r="AJ86" s="484"/>
      <c r="AK86" s="484"/>
      <c r="AL86" s="484"/>
      <c r="AM86" s="484"/>
      <c r="AN86" s="484"/>
      <c r="AO86" s="484"/>
      <c r="AP86" s="484"/>
      <c r="AQ86" s="484"/>
    </row>
    <row r="87" spans="2:43" hidden="1" x14ac:dyDescent="0.35">
      <c r="B87" s="585"/>
      <c r="C87" s="585"/>
      <c r="D87" s="585"/>
      <c r="F87" s="258"/>
      <c r="H87" s="482"/>
      <c r="I87" s="482"/>
      <c r="J87" s="482"/>
      <c r="K87" s="484"/>
      <c r="L87" s="484"/>
      <c r="M87" s="484"/>
      <c r="N87" s="563"/>
      <c r="O87" s="482"/>
      <c r="P87" s="482"/>
      <c r="Q87" s="482"/>
      <c r="R87" s="484"/>
      <c r="S87" s="484"/>
      <c r="T87" s="484"/>
      <c r="U87" s="484"/>
      <c r="V87" s="484"/>
      <c r="W87" s="484"/>
      <c r="X87" s="484"/>
      <c r="Y87" s="484"/>
      <c r="Z87" s="484"/>
      <c r="AA87" s="484"/>
      <c r="AB87" s="484"/>
      <c r="AC87" s="484"/>
      <c r="AD87" s="484"/>
      <c r="AE87" s="484"/>
      <c r="AF87" s="484"/>
      <c r="AG87" s="484"/>
      <c r="AH87" s="484"/>
      <c r="AI87" s="484"/>
      <c r="AJ87" s="484"/>
      <c r="AK87" s="484"/>
      <c r="AL87" s="484"/>
      <c r="AM87" s="484"/>
      <c r="AN87" s="484"/>
      <c r="AO87" s="484"/>
      <c r="AP87" s="484"/>
      <c r="AQ87" s="484"/>
    </row>
    <row r="88" spans="2:43" s="749" customFormat="1" x14ac:dyDescent="0.35">
      <c r="B88" s="748" t="s">
        <v>4</v>
      </c>
      <c r="C88" s="748" t="s">
        <v>6</v>
      </c>
      <c r="D88" s="748" t="s">
        <v>276</v>
      </c>
      <c r="F88" s="750"/>
      <c r="H88" s="751"/>
      <c r="I88" s="751"/>
      <c r="J88" s="751"/>
      <c r="K88" s="752"/>
      <c r="L88" s="757"/>
      <c r="M88" s="752" t="str">
        <f>IF(OR(J88=0,Q88=""),"",Q88/J88-1)</f>
        <v/>
      </c>
      <c r="N88" s="758"/>
      <c r="O88" s="751"/>
      <c r="P88" s="751"/>
      <c r="Q88" s="751"/>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row>
    <row r="89" spans="2:43" s="749" customFormat="1" x14ac:dyDescent="0.35">
      <c r="B89" s="749" t="str">
        <f t="shared" ref="B89:D93" si="19">B$67</f>
        <v>Endeavour</v>
      </c>
      <c r="C89" s="749" t="str">
        <f t="shared" si="19"/>
        <v>Residential</v>
      </c>
      <c r="D89" s="749" t="str">
        <f>D$67</f>
        <v>flat rate</v>
      </c>
      <c r="E89" s="749" t="s">
        <v>19</v>
      </c>
      <c r="F89" s="750" cm="1">
        <f t="array" ref="F89">IFERROR(_xlfn.XLOOKUP(1,($B89=DistributionZone)*('Network cost'!$C89=CustomerType)*('Network cost'!$E89=tariffType)*('Network cost'!F$5=Description),valuesFY),0)</f>
        <v>4900</v>
      </c>
      <c r="G89" s="749" t="s">
        <v>57</v>
      </c>
      <c r="H89" s="751" cm="1">
        <f t="array" ref="H89">IFERROR(_xlfn.XLOOKUP(1,($B89=DistributionZone)*('Network cost'!$C89=CustomerType)*('Network cost'!$E89=tariffType)*('Network cost'!H$5=Desc_FixedOrVar)*('Network cost'!$G89=Description),valuesPY),0)</f>
        <v>217.75899999999999</v>
      </c>
      <c r="I89" s="751" cm="1">
        <f t="array" ref="I89">IFERROR(_xlfn.XLOOKUP(1,($B89=DistributionZone)*('Network cost'!$C89=CustomerType)*('Network cost'!$E89=tariffType)*('Network cost'!I$5=Desc_FixedOrVar)*('Network cost'!$G89=Description),valuesPY),0)</f>
        <v>108.173</v>
      </c>
      <c r="J89" s="751">
        <f>H89+I89*F89/1000</f>
        <v>747.80669999999998</v>
      </c>
      <c r="K89" s="752">
        <f>IFERROR(J89/J91,"")</f>
        <v>0.98335937564208564</v>
      </c>
      <c r="L89" s="752"/>
      <c r="M89" s="752">
        <f>IF(OR(J89=0,J89="",Q89=""),"",Q89/J89-1)</f>
        <v>9.6494857807652767E-2</v>
      </c>
      <c r="N89" s="753"/>
      <c r="O89" s="751">
        <f>SUM((O68*End_RESI_flat_proportion),(O75*End_RESI_tou_proportion),(O76*End_RESI_tou_proportion),(O77*End_RESI_tou_proportion),(O78*End_RESI_tou_proportion))</f>
        <v>242.9075</v>
      </c>
      <c r="P89" s="751">
        <f>SUM((P68*End_RESI_flat_proportion),(P75*End_RESI_tou_proportion*F75/F79),(P76*End_RESI_tou_proportion*F76/F79),(P77*End_RESI_tou_proportion*F77/F79),(P78*End_RESI_tou_proportion*F78/F79))</f>
        <v>117.76708187430818</v>
      </c>
      <c r="Q89" s="751">
        <f>O89+P89*$F89/1000</f>
        <v>819.96620118410999</v>
      </c>
      <c r="R89" s="752">
        <f>IFERROR(Q89/Q91,"")</f>
        <v>0.98404619550335715</v>
      </c>
      <c r="S89" s="752"/>
      <c r="T89" s="752"/>
      <c r="U89" s="752"/>
      <c r="V89" s="752"/>
      <c r="W89" s="752"/>
      <c r="X89" s="752"/>
      <c r="Y89" s="752"/>
      <c r="Z89" s="752"/>
      <c r="AA89" s="752"/>
      <c r="AB89" s="752"/>
      <c r="AC89" s="752"/>
      <c r="AD89" s="752"/>
      <c r="AE89" s="752"/>
      <c r="AF89" s="752"/>
      <c r="AG89" s="752"/>
      <c r="AH89" s="752"/>
      <c r="AI89" s="752"/>
      <c r="AJ89" s="752"/>
      <c r="AK89" s="752"/>
      <c r="AL89" s="752"/>
      <c r="AM89" s="752"/>
      <c r="AN89" s="752"/>
      <c r="AO89" s="752"/>
      <c r="AP89" s="752"/>
      <c r="AQ89" s="752"/>
    </row>
    <row r="90" spans="2:43" s="749" customFormat="1" x14ac:dyDescent="0.35">
      <c r="B90" s="749" t="str">
        <f t="shared" si="19"/>
        <v>Endeavour</v>
      </c>
      <c r="C90" s="749" t="str">
        <f t="shared" si="19"/>
        <v>Residential</v>
      </c>
      <c r="D90" s="749" t="str">
        <f t="shared" si="19"/>
        <v>flat rate</v>
      </c>
      <c r="E90" s="749" t="s">
        <v>19</v>
      </c>
      <c r="F90" s="750" cm="1">
        <f t="array" ref="F90">IFERROR(_xlfn.XLOOKUP(1,($B90=DistributionZone)*('Network cost'!$C90=CustomerType)*('Network cost'!$E90=tariffType)*('Network cost'!F$5=Description),valuesFY),0)</f>
        <v>4900</v>
      </c>
      <c r="G90" s="749" t="s">
        <v>61</v>
      </c>
      <c r="H90" s="751" cm="1">
        <f t="array" ref="H90">IFERROR(_xlfn.XLOOKUP(1,($B90=DistributionZone)*('Network cost'!$C90=CustomerType)*('Network cost'!$E90=tariffType)*('Network cost'!H$5=Desc_FixedOrVar)*('Network cost'!$G90=Description),valuesPY),0)</f>
        <v>12.65455</v>
      </c>
      <c r="I90" s="751" cm="1">
        <f t="array" ref="I90">IFERROR(_xlfn.XLOOKUP(1,($B90=DistributionZone)*('Network cost'!$C90=CustomerType)*('Network cost'!$E90=tariffType)*('Network cost'!I$5=Desc_FixedOrVar)*('Network cost'!$G90=Description),valuesPY),0)</f>
        <v>0</v>
      </c>
      <c r="J90" s="751">
        <f>H90+I90*F90/1000</f>
        <v>12.65455</v>
      </c>
      <c r="K90" s="752">
        <f>IFERROR(J90/J91,"")</f>
        <v>1.6640624357914361E-2</v>
      </c>
      <c r="L90" s="752"/>
      <c r="M90" s="752">
        <f>IF(OR(J90=0,J90="",Q90=""),"",Q90/J90-1)</f>
        <v>5.0504759157773416E-2</v>
      </c>
      <c r="N90" s="753"/>
      <c r="O90" s="751">
        <f>SUM((O69*End_RESI_flat_proportion),(O79*End_RESI_tou_proportion))</f>
        <v>13.293665000000001</v>
      </c>
      <c r="P90" s="751">
        <f>SUM((P69*End_RESI_flat_proportion),(P79*End_RESI_tou_proportion))</f>
        <v>0</v>
      </c>
      <c r="Q90" s="751">
        <f>O90+P90*$F$69/1000</f>
        <v>13.293665000000001</v>
      </c>
      <c r="R90" s="752">
        <f>IFERROR(Q90/Q91,"")</f>
        <v>1.5953804496642764E-2</v>
      </c>
      <c r="S90" s="752"/>
      <c r="T90" s="752"/>
      <c r="U90" s="752"/>
      <c r="V90" s="752"/>
      <c r="W90" s="752"/>
      <c r="X90" s="752"/>
      <c r="Y90" s="752"/>
      <c r="Z90" s="752"/>
      <c r="AA90" s="752"/>
      <c r="AB90" s="752"/>
      <c r="AC90" s="752"/>
      <c r="AD90" s="752"/>
      <c r="AE90" s="752"/>
      <c r="AF90" s="752"/>
      <c r="AG90" s="752"/>
      <c r="AH90" s="752"/>
      <c r="AI90" s="752"/>
      <c r="AJ90" s="752"/>
      <c r="AK90" s="752"/>
      <c r="AL90" s="752"/>
      <c r="AM90" s="752"/>
      <c r="AN90" s="752"/>
      <c r="AO90" s="752"/>
      <c r="AP90" s="752"/>
      <c r="AQ90" s="752"/>
    </row>
    <row r="91" spans="2:43" s="749" customFormat="1" x14ac:dyDescent="0.35">
      <c r="B91" s="749" t="str">
        <f t="shared" si="19"/>
        <v>Endeavour</v>
      </c>
      <c r="C91" s="749" t="str">
        <f t="shared" si="19"/>
        <v>Residential</v>
      </c>
      <c r="D91" s="749" t="str">
        <f t="shared" si="19"/>
        <v>flat rate</v>
      </c>
      <c r="E91" s="749" t="s">
        <v>396</v>
      </c>
      <c r="F91" s="750">
        <f>F90</f>
        <v>4900</v>
      </c>
      <c r="G91" s="748" t="s">
        <v>55</v>
      </c>
      <c r="H91" s="754">
        <f>SUM(H89:H90)</f>
        <v>230.41354999999999</v>
      </c>
      <c r="I91" s="754">
        <f t="shared" ref="I91:J91" si="20">SUM(I89:I90)</f>
        <v>108.173</v>
      </c>
      <c r="J91" s="754">
        <f t="shared" si="20"/>
        <v>760.46124999999995</v>
      </c>
      <c r="K91" s="747"/>
      <c r="L91" s="755"/>
      <c r="M91" s="747">
        <f>IF(OR(J91=0,J91="",Q91=""),"",Q91/J91-1)</f>
        <v>9.5729553851836791E-2</v>
      </c>
      <c r="N91" s="756"/>
      <c r="O91" s="754">
        <f>+O90+O89</f>
        <v>256.201165</v>
      </c>
      <c r="P91" s="754">
        <f>SUM(P89:P90)</f>
        <v>117.76708187430818</v>
      </c>
      <c r="Q91" s="754">
        <f>SUM(Q89:Q90)</f>
        <v>833.25986618411002</v>
      </c>
      <c r="R91" s="752"/>
      <c r="S91" s="752"/>
      <c r="T91" s="752"/>
      <c r="U91" s="752"/>
      <c r="V91" s="752"/>
      <c r="W91" s="752"/>
      <c r="X91" s="752"/>
      <c r="Y91" s="752"/>
      <c r="Z91" s="752"/>
      <c r="AA91" s="752"/>
      <c r="AB91" s="752"/>
      <c r="AC91" s="752"/>
      <c r="AD91" s="752"/>
      <c r="AE91" s="752"/>
      <c r="AF91" s="752"/>
      <c r="AG91" s="752"/>
      <c r="AH91" s="752"/>
      <c r="AI91" s="752"/>
      <c r="AJ91" s="752"/>
      <c r="AK91" s="752"/>
      <c r="AL91" s="752"/>
      <c r="AM91" s="752"/>
      <c r="AN91" s="752"/>
      <c r="AO91" s="752"/>
      <c r="AP91" s="752"/>
      <c r="AQ91" s="752"/>
    </row>
    <row r="92" spans="2:43" s="749" customFormat="1" x14ac:dyDescent="0.35">
      <c r="B92" s="749" t="str">
        <f t="shared" si="19"/>
        <v>Endeavour</v>
      </c>
      <c r="C92" s="749" t="str">
        <f t="shared" si="19"/>
        <v>Residential</v>
      </c>
      <c r="D92" s="749" t="str">
        <f t="shared" si="19"/>
        <v>flat rate</v>
      </c>
      <c r="F92" s="750"/>
      <c r="G92" s="749" t="s">
        <v>38</v>
      </c>
      <c r="H92" s="751"/>
      <c r="I92" s="751"/>
      <c r="J92" s="751">
        <f>J91*GST</f>
        <v>76.046125000000004</v>
      </c>
      <c r="K92" s="752"/>
      <c r="L92" s="757"/>
      <c r="M92" s="752">
        <f>IF(OR(J92=0,J92="",Q92=""),"",Q92/J92-1)</f>
        <v>9.5729553851836791E-2</v>
      </c>
      <c r="N92" s="758"/>
      <c r="O92" s="751"/>
      <c r="P92" s="751"/>
      <c r="Q92" s="751">
        <f>Q91*GST</f>
        <v>83.325986618411008</v>
      </c>
      <c r="R92" s="752"/>
      <c r="S92" s="752"/>
      <c r="T92" s="752"/>
      <c r="U92" s="752"/>
      <c r="V92" s="752"/>
      <c r="W92" s="752"/>
      <c r="X92" s="752"/>
      <c r="Y92" s="752"/>
      <c r="Z92" s="752"/>
      <c r="AA92" s="752"/>
      <c r="AB92" s="752"/>
      <c r="AC92" s="752"/>
      <c r="AD92" s="752"/>
      <c r="AE92" s="752"/>
      <c r="AF92" s="752"/>
      <c r="AG92" s="752"/>
      <c r="AH92" s="752"/>
      <c r="AI92" s="752"/>
      <c r="AJ92" s="752"/>
      <c r="AK92" s="752"/>
      <c r="AL92" s="752"/>
      <c r="AM92" s="752"/>
      <c r="AN92" s="752"/>
      <c r="AO92" s="752"/>
      <c r="AP92" s="752"/>
      <c r="AQ92" s="752"/>
    </row>
    <row r="93" spans="2:43" s="749" customFormat="1" x14ac:dyDescent="0.35">
      <c r="B93" s="749" t="str">
        <f t="shared" si="19"/>
        <v>Endeavour</v>
      </c>
      <c r="C93" s="749" t="str">
        <f t="shared" si="19"/>
        <v>Residential</v>
      </c>
      <c r="D93" s="749" t="str">
        <f t="shared" si="19"/>
        <v>flat rate</v>
      </c>
      <c r="E93" s="749" t="s">
        <v>396</v>
      </c>
      <c r="F93" s="750"/>
      <c r="G93" s="748" t="s">
        <v>79</v>
      </c>
      <c r="H93" s="754"/>
      <c r="I93" s="754"/>
      <c r="J93" s="754">
        <f>SUM(J91:J92)</f>
        <v>836.50737499999991</v>
      </c>
      <c r="K93" s="747"/>
      <c r="L93" s="755"/>
      <c r="M93" s="747">
        <f>IF(OR(J93=0,J93="",Q93=""),"",Q93/J93-1)</f>
        <v>9.5729553851836791E-2</v>
      </c>
      <c r="N93" s="756"/>
      <c r="O93" s="754"/>
      <c r="P93" s="754"/>
      <c r="Q93" s="754">
        <f>SUM(Q91:Q92)</f>
        <v>916.585852802521</v>
      </c>
      <c r="R93" s="747"/>
      <c r="S93" s="747"/>
      <c r="T93" s="752"/>
      <c r="U93" s="747"/>
      <c r="V93" s="747"/>
      <c r="W93" s="747"/>
      <c r="X93" s="747"/>
      <c r="Y93" s="747"/>
      <c r="Z93" s="747"/>
      <c r="AA93" s="747"/>
      <c r="AB93" s="747"/>
      <c r="AC93" s="747"/>
      <c r="AD93" s="747"/>
      <c r="AE93" s="747"/>
      <c r="AF93" s="747"/>
      <c r="AG93" s="747"/>
      <c r="AH93" s="747"/>
      <c r="AI93" s="747"/>
      <c r="AJ93" s="747"/>
      <c r="AK93" s="747"/>
      <c r="AL93" s="747"/>
      <c r="AM93" s="747"/>
      <c r="AN93" s="747"/>
      <c r="AO93" s="747"/>
      <c r="AP93" s="747"/>
      <c r="AQ93" s="747"/>
    </row>
    <row r="94" spans="2:43" s="749" customFormat="1" x14ac:dyDescent="0.35">
      <c r="F94" s="750"/>
      <c r="H94" s="751"/>
      <c r="I94" s="751"/>
      <c r="J94" s="751"/>
      <c r="K94" s="752"/>
      <c r="L94" s="757"/>
      <c r="M94" s="752"/>
      <c r="N94" s="758"/>
      <c r="O94" s="751"/>
      <c r="P94" s="751"/>
      <c r="Q94" s="751"/>
      <c r="R94" s="752"/>
      <c r="S94" s="752"/>
      <c r="T94" s="752"/>
      <c r="U94" s="752"/>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row>
    <row r="95" spans="2:43" x14ac:dyDescent="0.35">
      <c r="B95" s="64" t="s">
        <v>4</v>
      </c>
      <c r="C95" s="585"/>
      <c r="D95" s="64" t="s">
        <v>285</v>
      </c>
      <c r="F95" s="258"/>
      <c r="G95" s="64"/>
      <c r="H95" s="487"/>
      <c r="I95" s="487"/>
      <c r="J95" s="487"/>
      <c r="K95" s="564"/>
      <c r="L95" s="565"/>
      <c r="M95" s="564"/>
      <c r="N95" s="566"/>
      <c r="O95" s="487"/>
      <c r="P95" s="487"/>
      <c r="Q95" s="487"/>
      <c r="R95" s="484"/>
      <c r="S95" s="484"/>
      <c r="T95" s="484"/>
      <c r="U95" s="484"/>
      <c r="V95" s="484"/>
      <c r="W95" s="484"/>
      <c r="X95" s="484"/>
      <c r="Y95" s="484"/>
      <c r="Z95" s="484"/>
      <c r="AA95" s="484"/>
      <c r="AB95" s="484"/>
      <c r="AC95" s="484"/>
      <c r="AD95" s="484"/>
      <c r="AE95" s="484"/>
      <c r="AF95" s="484"/>
      <c r="AG95" s="484"/>
      <c r="AH95" s="484"/>
      <c r="AI95" s="484"/>
      <c r="AJ95" s="484"/>
      <c r="AK95" s="484"/>
      <c r="AL95" s="484"/>
      <c r="AM95" s="484"/>
      <c r="AN95" s="484"/>
      <c r="AO95" s="484"/>
      <c r="AP95" s="484"/>
      <c r="AQ95" s="484"/>
    </row>
    <row r="96" spans="2:43" x14ac:dyDescent="0.35">
      <c r="B96" s="585" t="str">
        <f t="shared" ref="B96:B105" si="21">B95</f>
        <v>Endeavour</v>
      </c>
      <c r="C96" s="585"/>
      <c r="D96" s="585" t="str">
        <f t="shared" ref="D96:D105" si="22">D95</f>
        <v>controlled load</v>
      </c>
      <c r="E96" s="30" t="s">
        <v>14</v>
      </c>
      <c r="F96" s="258" cm="1">
        <f t="array" ref="F96">IFERROR(_xlfn.XLOOKUP(1,($B96=DistributionZone)*(D96=tariffL2)*('Network cost'!$E96=tariffType)*('Network cost'!F$5=Description),valuesFY),0)</f>
        <v>1474</v>
      </c>
      <c r="G96" s="30" t="s">
        <v>57</v>
      </c>
      <c r="H96" s="482" cm="1">
        <f t="array" ref="H96">IFERROR(_xlfn.XLOOKUP(1,($B96=DistributionZone)*('Network cost'!$E96=tariffType)*('Network cost'!H$5=Desc_FixedOrVar)*('Network cost'!$G96=Description),valuesPY),0)*_xlfn.XLOOKUP(1,($B96=DistributionZone)*("CL1 Proportion"=Description),valuesPY)</f>
        <v>17.729875</v>
      </c>
      <c r="I96" s="482" cm="1">
        <f t="array" ref="I96">IFERROR(_xlfn.XLOOKUP(1,($B96=DistributionZone)*('Network cost'!$E96=tariffType)*('Network cost'!I$5=Desc_FixedOrVar)*('Network cost'!$G96=Description),valuesPY),0)</f>
        <v>43.001999999999995</v>
      </c>
      <c r="J96" s="482">
        <f t="shared" ref="J96:J101" si="23">H96+I96*F96/1000</f>
        <v>81.114823000000001</v>
      </c>
      <c r="K96" s="484">
        <f>IFERROR(J96/J98,"")</f>
        <v>0.90536634174995867</v>
      </c>
      <c r="L96" s="484"/>
      <c r="M96" s="484">
        <f t="shared" ref="M96:M104" si="24">IF(OR(J96=0,J96="",Q96=""),"",Q96/J96-1)</f>
        <v>0.24603070390722559</v>
      </c>
      <c r="N96" s="563"/>
      <c r="O96" s="586" cm="1">
        <f t="array" ref="O96">IFERROR(_xlfn.XLOOKUP(1,($B96=DistributionZone)*('Network cost'!$E96=tariffType)*('Network cost'!O$5=Desc_FixedOrVar)*('Network cost'!$G96=Description),valuesFY),0)</f>
        <v>30.039500000000004</v>
      </c>
      <c r="P96" s="482" cm="1">
        <f t="array" ref="P96">_xlfn.XLOOKUP(1,($B96=DistributionZone)*($C96=CustomerType)*($E96=tariffType)*(I$5=Desc_FixedOrVar)*($G96=Description),valuesFY,0)</f>
        <v>48.19</v>
      </c>
      <c r="Q96" s="482">
        <f t="shared" ref="Q96:Q101" si="25">O96+P96*$F96/1000</f>
        <v>101.07156000000001</v>
      </c>
      <c r="R96" s="484">
        <f>IFERROR(Q96/Q98,"")</f>
        <v>0.88376130069258374</v>
      </c>
      <c r="S96" s="484"/>
      <c r="T96" s="484"/>
      <c r="U96" s="484"/>
      <c r="V96" s="484"/>
      <c r="W96" s="484"/>
      <c r="X96" s="484"/>
      <c r="Y96" s="484"/>
      <c r="Z96" s="484"/>
      <c r="AA96" s="484"/>
      <c r="AB96" s="484"/>
      <c r="AC96" s="484"/>
      <c r="AD96" s="484"/>
      <c r="AE96" s="484"/>
      <c r="AF96" s="484"/>
      <c r="AG96" s="484"/>
      <c r="AH96" s="484"/>
      <c r="AI96" s="484"/>
      <c r="AJ96" s="484"/>
      <c r="AK96" s="484"/>
      <c r="AL96" s="484"/>
      <c r="AM96" s="484"/>
      <c r="AN96" s="484"/>
      <c r="AO96" s="484"/>
      <c r="AP96" s="484"/>
      <c r="AQ96" s="484"/>
    </row>
    <row r="97" spans="2:43" x14ac:dyDescent="0.35">
      <c r="B97" s="585" t="str">
        <f t="shared" si="21"/>
        <v>Endeavour</v>
      </c>
      <c r="C97" s="585"/>
      <c r="D97" s="585" t="str">
        <f t="shared" si="22"/>
        <v>controlled load</v>
      </c>
      <c r="E97" s="30" t="s">
        <v>14</v>
      </c>
      <c r="F97" s="258" cm="1">
        <f t="array" ref="F97">IFERROR(_xlfn.XLOOKUP(1,($B97=DistributionZone)*(D97=tariffL2)*('Network cost'!$E97=tariffType)*('Network cost'!F$5=Description),valuesFY),0)</f>
        <v>1474</v>
      </c>
      <c r="G97" s="30" t="s">
        <v>61</v>
      </c>
      <c r="H97" s="482" cm="1">
        <f t="array" ref="H97">IFERROR(_xlfn.XLOOKUP(1,($B97=DistributionZone)*('Network cost'!$E97=tariffType)*('Network cost'!H$5=Desc_FixedOrVar)*('Network cost'!$G97=Description),valuesPY),0)*_xlfn.XLOOKUP(1,($B97=DistributionZone)*("CL1 Proportion"=Description),valuesPY)</f>
        <v>8.4785485000000005</v>
      </c>
      <c r="I97" s="482" cm="1">
        <f t="array" ref="I97">IFERROR(_xlfn.XLOOKUP(1,($B97=DistributionZone)*('Network cost'!$E97=tariffType)*('Network cost'!I$5=Desc_FixedOrVar)*('Network cost'!$G97=Description),valuesPY),0)</f>
        <v>0</v>
      </c>
      <c r="J97" s="482">
        <f t="shared" si="23"/>
        <v>8.4785485000000005</v>
      </c>
      <c r="K97" s="484">
        <f>IFERROR(J97/J98,"")</f>
        <v>9.4633658250041428E-2</v>
      </c>
      <c r="L97" s="484"/>
      <c r="M97" s="484">
        <f t="shared" si="24"/>
        <v>0.56791755098175112</v>
      </c>
      <c r="N97" s="563"/>
      <c r="O97" s="482" cm="1">
        <f t="array" ref="O97">IFERROR(_xlfn.XLOOKUP(1,($B97=DistributionZone)*('Network cost'!$C97=CustomerType)*('Network cost'!$E97=tariffType)*('Network cost'!O$5=Desc_FixedOrVar)*('Network cost'!$G97=Description),valuesFY),0)</f>
        <v>13.293665000000001</v>
      </c>
      <c r="P97" s="482" cm="1">
        <f t="array" ref="P97">IFERROR(_xlfn.XLOOKUP(1,($B97=DistributionZone)*('Network cost'!$C97=CustomerType)*('Network cost'!$E97=tariffType)*('Network cost'!P$5=Desc_FixedOrVar)*('Network cost'!$G97=Description),valuesFY),0)</f>
        <v>0</v>
      </c>
      <c r="Q97" s="482">
        <f t="shared" si="25"/>
        <v>13.293665000000001</v>
      </c>
      <c r="R97" s="484">
        <f>IFERROR(Q97/Q98,"")</f>
        <v>0.11623869930741622</v>
      </c>
      <c r="S97" s="484"/>
      <c r="T97" s="484"/>
      <c r="U97" s="484"/>
      <c r="V97" s="484"/>
      <c r="W97" s="484"/>
      <c r="X97" s="484"/>
      <c r="Y97" s="484"/>
      <c r="Z97" s="484"/>
      <c r="AA97" s="484"/>
      <c r="AB97" s="484"/>
      <c r="AC97" s="484"/>
      <c r="AD97" s="484"/>
      <c r="AE97" s="484"/>
      <c r="AF97" s="484"/>
      <c r="AG97" s="484"/>
      <c r="AH97" s="484"/>
      <c r="AI97" s="484"/>
      <c r="AJ97" s="484"/>
      <c r="AK97" s="484"/>
      <c r="AL97" s="484"/>
      <c r="AM97" s="484"/>
      <c r="AN97" s="484"/>
      <c r="AO97" s="484"/>
      <c r="AP97" s="484"/>
      <c r="AQ97" s="484"/>
    </row>
    <row r="98" spans="2:43" x14ac:dyDescent="0.35">
      <c r="B98" s="585" t="str">
        <f t="shared" si="21"/>
        <v>Endeavour</v>
      </c>
      <c r="C98" s="585"/>
      <c r="D98" s="585" t="str">
        <f t="shared" si="22"/>
        <v>controlled load</v>
      </c>
      <c r="E98" s="30" t="s">
        <v>14</v>
      </c>
      <c r="F98" s="258" cm="1">
        <f t="array" ref="F98">IFERROR(_xlfn.XLOOKUP(1,($B98=DistributionZone)*(D98=tariffL2)*('Network cost'!$E98=tariffType)*('Network cost'!F$5=Description),valuesFY),0)</f>
        <v>1474</v>
      </c>
      <c r="G98" s="64" t="s">
        <v>55</v>
      </c>
      <c r="H98" s="487">
        <f>+H97+H96</f>
        <v>26.208423500000002</v>
      </c>
      <c r="I98" s="487">
        <f>+I97+I96</f>
        <v>43.001999999999995</v>
      </c>
      <c r="J98" s="487">
        <f t="shared" si="23"/>
        <v>89.593371499999989</v>
      </c>
      <c r="K98" s="564"/>
      <c r="L98" s="565"/>
      <c r="M98" s="564">
        <f t="shared" si="24"/>
        <v>0.27649203378845977</v>
      </c>
      <c r="N98" s="487">
        <f>SUM(N96:N97)</f>
        <v>0</v>
      </c>
      <c r="O98" s="487">
        <f>SUM(O96:O97)</f>
        <v>43.333165000000008</v>
      </c>
      <c r="P98" s="487">
        <f>SUM(P96:P97)</f>
        <v>48.19</v>
      </c>
      <c r="Q98" s="487">
        <f t="shared" si="25"/>
        <v>114.36522500000001</v>
      </c>
      <c r="R98" s="484"/>
      <c r="S98" s="484"/>
      <c r="T98" s="484"/>
      <c r="U98" s="484"/>
      <c r="V98" s="484"/>
      <c r="W98" s="484"/>
      <c r="X98" s="484"/>
      <c r="Y98" s="484"/>
      <c r="Z98" s="484"/>
      <c r="AA98" s="484"/>
      <c r="AB98" s="484"/>
      <c r="AC98" s="484"/>
      <c r="AD98" s="484"/>
      <c r="AE98" s="484"/>
      <c r="AF98" s="484"/>
      <c r="AG98" s="484"/>
      <c r="AH98" s="484"/>
      <c r="AI98" s="484"/>
      <c r="AJ98" s="484"/>
      <c r="AK98" s="484"/>
      <c r="AL98" s="484"/>
      <c r="AM98" s="484"/>
      <c r="AN98" s="484"/>
      <c r="AO98" s="484"/>
      <c r="AP98" s="484"/>
      <c r="AQ98" s="484"/>
    </row>
    <row r="99" spans="2:43" x14ac:dyDescent="0.35">
      <c r="B99" s="585" t="str">
        <f t="shared" si="21"/>
        <v>Endeavour</v>
      </c>
      <c r="C99" s="585"/>
      <c r="D99" s="585" t="str">
        <f t="shared" si="22"/>
        <v>controlled load</v>
      </c>
      <c r="E99" s="30" t="s">
        <v>15</v>
      </c>
      <c r="F99" s="258" cm="1">
        <f t="array" ref="F99">IFERROR(_xlfn.XLOOKUP(1,($B99=DistributionZone)*(D99=tariffL2)*('Network cost'!$E99=tariffType)*('Network cost'!F$5=Description),valuesFY),0)</f>
        <v>726</v>
      </c>
      <c r="G99" s="30" t="s">
        <v>57</v>
      </c>
      <c r="H99" s="482" cm="1">
        <f t="array" ref="H99">IFERROR(_xlfn.XLOOKUP(1,($B99=DistributionZone)*('Network cost'!$E99=tariffType)*('Network cost'!H$5=Desc_FixedOrVar)*('Network cost'!$G99=Description),valuesPY),0)*_xlfn.XLOOKUP(1,($B99=DistributionZone)*("CL2 Proportion"=Description),valuesPY)</f>
        <v>8.7326249999999987</v>
      </c>
      <c r="I99" s="482" cm="1">
        <f t="array" ref="I99">IFERROR(_xlfn.XLOOKUP(1,($B99=DistributionZone)*('Network cost'!$E99=tariffType)*('Network cost'!I$5=Desc_FixedOrVar)*('Network cost'!$G99=Description),valuesPY),0)</f>
        <v>65.861000000000004</v>
      </c>
      <c r="J99" s="482">
        <f t="shared" si="23"/>
        <v>56.547711</v>
      </c>
      <c r="K99" s="484">
        <f>IFERROR(J99/J101,"")</f>
        <v>0.93122947645864051</v>
      </c>
      <c r="L99" s="484"/>
      <c r="M99" s="484">
        <f t="shared" si="24"/>
        <v>0.47881108750803381</v>
      </c>
      <c r="N99" s="563"/>
      <c r="O99" s="482" cm="1">
        <f t="array" ref="O99">IFERROR(_xlfn.XLOOKUP(1,($B99=DistributionZone)*('Network cost'!$E99=tariffType)*('Network cost'!O$5=Desc_FixedOrVar)*('Network cost'!$G99=Description),valuesFY),0)</f>
        <v>30.039500000000004</v>
      </c>
      <c r="P99" s="482" cm="1">
        <f t="array" ref="P99">IFERROR(_xlfn.XLOOKUP(1,($B99=DistributionZone)*('Network cost'!$C99=CustomerType)*('Network cost'!$E99=tariffType)*('Network cost'!P$5=Desc_FixedOrVar)*('Network cost'!$G99=Description),valuesFY),0)</f>
        <v>73.807000000000002</v>
      </c>
      <c r="Q99" s="482">
        <f t="shared" si="25"/>
        <v>83.623382000000007</v>
      </c>
      <c r="R99" s="484">
        <f>IFERROR(Q99/Q101,"")</f>
        <v>0.86283460535069745</v>
      </c>
      <c r="S99" s="484"/>
      <c r="T99" s="484"/>
      <c r="U99" s="484"/>
      <c r="V99" s="484"/>
      <c r="W99" s="484"/>
      <c r="X99" s="484"/>
      <c r="Y99" s="484"/>
      <c r="Z99" s="484"/>
      <c r="AA99" s="484"/>
      <c r="AB99" s="484"/>
      <c r="AC99" s="484"/>
      <c r="AD99" s="484"/>
      <c r="AE99" s="484"/>
      <c r="AF99" s="484"/>
      <c r="AG99" s="484"/>
      <c r="AH99" s="484"/>
      <c r="AI99" s="484"/>
      <c r="AJ99" s="484"/>
      <c r="AK99" s="484"/>
      <c r="AL99" s="484"/>
      <c r="AM99" s="484"/>
      <c r="AN99" s="484"/>
      <c r="AO99" s="484"/>
      <c r="AP99" s="484"/>
      <c r="AQ99" s="484"/>
    </row>
    <row r="100" spans="2:43" x14ac:dyDescent="0.35">
      <c r="B100" s="585" t="str">
        <f t="shared" si="21"/>
        <v>Endeavour</v>
      </c>
      <c r="C100" s="585"/>
      <c r="D100" s="585" t="str">
        <f t="shared" si="22"/>
        <v>controlled load</v>
      </c>
      <c r="E100" s="30" t="s">
        <v>15</v>
      </c>
      <c r="F100" s="258" cm="1">
        <f t="array" ref="F100">IFERROR(_xlfn.XLOOKUP(1,($B100=DistributionZone)*(D100=tariffL2)*('Network cost'!$E100=tariffType)*('Network cost'!F$5=Description),valuesFY),0)</f>
        <v>726</v>
      </c>
      <c r="G100" s="30" t="s">
        <v>61</v>
      </c>
      <c r="H100" s="482" cm="1">
        <f t="array" ref="H100">IFERROR(_xlfn.XLOOKUP(1,($B100=DistributionZone)*('Network cost'!$E100=tariffType)*('Network cost'!H$5=Desc_FixedOrVar)*('Network cost'!$G100=Description),valuesPY),0)*_xlfn.XLOOKUP(1,($B100=DistributionZone)*("CL2 Proportion"=Description),valuesPY)</f>
        <v>4.1760014999999999</v>
      </c>
      <c r="I100" s="482" cm="1">
        <f t="array" ref="I100">IFERROR(_xlfn.XLOOKUP(1,($B100=DistributionZone)*('Network cost'!$E100=tariffType)*('Network cost'!I$5=Desc_FixedOrVar)*('Network cost'!$G100=Description),valuesPY),0)</f>
        <v>0</v>
      </c>
      <c r="J100" s="482">
        <f t="shared" si="23"/>
        <v>4.1760014999999999</v>
      </c>
      <c r="K100" s="484">
        <f>IFERROR(J100/J101,"")</f>
        <v>6.8770523541359568E-2</v>
      </c>
      <c r="L100" s="484"/>
      <c r="M100" s="484">
        <f t="shared" si="24"/>
        <v>2.1833477550235556</v>
      </c>
      <c r="N100" s="563"/>
      <c r="O100" s="482" cm="1">
        <f t="array" ref="O100">IFERROR(_xlfn.XLOOKUP(1,($B100=DistributionZone)*('Network cost'!$C100=CustomerType)*('Network cost'!$E100=tariffType)*('Network cost'!O$5=Desc_FixedOrVar)*('Network cost'!$G100=Description)*($D100=tariffL2),valuesFY),0)</f>
        <v>13.293665000000001</v>
      </c>
      <c r="P100" s="482" cm="1">
        <f t="array" ref="P100">IFERROR(_xlfn.XLOOKUP(1,($B100=DistributionZone)*('Network cost'!$C100=CustomerType)*('Network cost'!$E100=tariffType)*('Network cost'!P$5=Desc_FixedOrVar)*('Network cost'!$G100=Description),valuesFY),0)</f>
        <v>0</v>
      </c>
      <c r="Q100" s="482">
        <f t="shared" si="25"/>
        <v>13.293665000000001</v>
      </c>
      <c r="R100" s="484">
        <f>IFERROR(Q100/Q101,"")</f>
        <v>0.1371653946493025</v>
      </c>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4"/>
    </row>
    <row r="101" spans="2:43" x14ac:dyDescent="0.35">
      <c r="B101" s="585" t="str">
        <f t="shared" si="21"/>
        <v>Endeavour</v>
      </c>
      <c r="C101" s="585"/>
      <c r="D101" s="585" t="str">
        <f t="shared" si="22"/>
        <v>controlled load</v>
      </c>
      <c r="E101" s="30" t="s">
        <v>15</v>
      </c>
      <c r="F101" s="258" cm="1">
        <f t="array" ref="F101">IFERROR(_xlfn.XLOOKUP(1,($B101=DistributionZone)*(D101=tariffL2)*('Network cost'!$E101=tariffType)*('Network cost'!F$5=Description),valuesFY),0)</f>
        <v>726</v>
      </c>
      <c r="G101" s="64" t="s">
        <v>55</v>
      </c>
      <c r="H101" s="487">
        <f>+H100+H99</f>
        <v>12.908626499999999</v>
      </c>
      <c r="I101" s="487">
        <f>+I100+I99</f>
        <v>65.861000000000004</v>
      </c>
      <c r="J101" s="487">
        <f t="shared" si="23"/>
        <v>60.723712499999998</v>
      </c>
      <c r="K101" s="564"/>
      <c r="L101" s="565"/>
      <c r="M101" s="564">
        <f t="shared" si="24"/>
        <v>0.59603296652852067</v>
      </c>
      <c r="N101" s="566"/>
      <c r="O101" s="487">
        <f>SUM(O99:O100)</f>
        <v>43.333165000000008</v>
      </c>
      <c r="P101" s="487">
        <f>SUM(P99:P100)</f>
        <v>73.807000000000002</v>
      </c>
      <c r="Q101" s="487">
        <f t="shared" si="25"/>
        <v>96.917047000000011</v>
      </c>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4"/>
    </row>
    <row r="102" spans="2:43" x14ac:dyDescent="0.35">
      <c r="B102" s="585" t="str">
        <f t="shared" si="21"/>
        <v>Endeavour</v>
      </c>
      <c r="C102" s="585"/>
      <c r="D102" s="585" t="str">
        <f t="shared" si="22"/>
        <v>controlled load</v>
      </c>
      <c r="E102" s="30" t="s">
        <v>55</v>
      </c>
      <c r="F102" s="258">
        <f>SUM(F86,F96,F99)</f>
        <v>2200</v>
      </c>
      <c r="G102" s="64" t="s">
        <v>55</v>
      </c>
      <c r="H102" s="487"/>
      <c r="I102" s="487"/>
      <c r="J102" s="487">
        <f>SUM(J95,J98,J101)</f>
        <v>150.31708399999999</v>
      </c>
      <c r="K102" s="564"/>
      <c r="L102" s="565"/>
      <c r="M102" s="564">
        <f>IF(OR(J102=0,J102="",Q102=""),"",Q102/J102-1)</f>
        <v>0.40557723964363257</v>
      </c>
      <c r="N102" s="566"/>
      <c r="O102" s="487"/>
      <c r="P102" s="487"/>
      <c r="Q102" s="487">
        <f>SUM(Q95,Q98,Q101)</f>
        <v>211.28227200000003</v>
      </c>
      <c r="R102" s="484"/>
      <c r="S102" s="484"/>
      <c r="T102" s="484"/>
      <c r="U102" s="484"/>
      <c r="V102" s="484"/>
      <c r="W102" s="484"/>
      <c r="X102" s="484"/>
      <c r="Y102" s="484"/>
      <c r="Z102" s="484"/>
      <c r="AA102" s="484"/>
      <c r="AB102" s="484"/>
      <c r="AC102" s="484"/>
      <c r="AD102" s="484"/>
      <c r="AE102" s="484"/>
      <c r="AF102" s="484"/>
      <c r="AG102" s="484"/>
      <c r="AH102" s="484"/>
      <c r="AI102" s="484"/>
      <c r="AJ102" s="484"/>
      <c r="AK102" s="484"/>
      <c r="AL102" s="484"/>
      <c r="AM102" s="484"/>
      <c r="AN102" s="484"/>
      <c r="AO102" s="484"/>
      <c r="AP102" s="484"/>
      <c r="AQ102" s="484"/>
    </row>
    <row r="103" spans="2:43" x14ac:dyDescent="0.35">
      <c r="B103" s="585" t="str">
        <f t="shared" si="21"/>
        <v>Endeavour</v>
      </c>
      <c r="C103" s="585"/>
      <c r="D103" s="585" t="str">
        <f t="shared" si="22"/>
        <v>controlled load</v>
      </c>
      <c r="F103" s="258"/>
      <c r="G103" s="30" t="s">
        <v>38</v>
      </c>
      <c r="H103" s="482"/>
      <c r="I103" s="482"/>
      <c r="J103" s="482">
        <f>J102*GST</f>
        <v>15.031708399999999</v>
      </c>
      <c r="K103" s="484"/>
      <c r="L103" s="567"/>
      <c r="M103" s="484">
        <f t="shared" si="24"/>
        <v>0.40557723964363257</v>
      </c>
      <c r="N103" s="568"/>
      <c r="O103" s="482"/>
      <c r="P103" s="482"/>
      <c r="Q103" s="482">
        <f>Q102*GST</f>
        <v>21.128227200000005</v>
      </c>
      <c r="R103" s="484"/>
      <c r="S103" s="484"/>
      <c r="T103" s="484"/>
      <c r="U103" s="484"/>
      <c r="V103" s="484"/>
      <c r="W103" s="484"/>
      <c r="X103" s="484"/>
      <c r="Y103" s="484"/>
      <c r="Z103" s="484"/>
      <c r="AA103" s="484"/>
      <c r="AB103" s="484"/>
      <c r="AC103" s="484"/>
      <c r="AD103" s="484"/>
      <c r="AE103" s="484"/>
      <c r="AF103" s="484"/>
      <c r="AG103" s="484"/>
      <c r="AH103" s="484"/>
      <c r="AI103" s="484"/>
      <c r="AJ103" s="484"/>
      <c r="AK103" s="484"/>
      <c r="AL103" s="484"/>
      <c r="AM103" s="484"/>
      <c r="AN103" s="484"/>
      <c r="AO103" s="484"/>
      <c r="AP103" s="484"/>
      <c r="AQ103" s="484"/>
    </row>
    <row r="104" spans="2:43" x14ac:dyDescent="0.35">
      <c r="B104" s="585" t="str">
        <f t="shared" si="21"/>
        <v>Endeavour</v>
      </c>
      <c r="C104" s="585"/>
      <c r="D104" s="585" t="str">
        <f t="shared" si="22"/>
        <v>controlled load</v>
      </c>
      <c r="F104" s="258"/>
      <c r="G104" s="64" t="s">
        <v>79</v>
      </c>
      <c r="H104" s="487"/>
      <c r="I104" s="487"/>
      <c r="J104" s="487">
        <f>SUM(J102:J103)</f>
        <v>165.34879239999998</v>
      </c>
      <c r="K104" s="564"/>
      <c r="L104" s="565"/>
      <c r="M104" s="564">
        <f t="shared" si="24"/>
        <v>0.40557723964363257</v>
      </c>
      <c r="N104" s="566"/>
      <c r="O104" s="487"/>
      <c r="P104" s="487"/>
      <c r="Q104" s="487">
        <f>SUM(Q102:Q103)</f>
        <v>232.41049920000003</v>
      </c>
      <c r="R104" s="564"/>
      <c r="S104" s="564"/>
      <c r="T104" s="484"/>
      <c r="U104" s="564"/>
      <c r="V104" s="564"/>
      <c r="W104" s="564"/>
      <c r="X104" s="564"/>
      <c r="Y104" s="564"/>
      <c r="Z104" s="564"/>
      <c r="AA104" s="564"/>
      <c r="AB104" s="564"/>
      <c r="AC104" s="564"/>
      <c r="AD104" s="564"/>
      <c r="AE104" s="564"/>
      <c r="AF104" s="564"/>
      <c r="AG104" s="564"/>
      <c r="AH104" s="564"/>
      <c r="AI104" s="564"/>
      <c r="AJ104" s="564"/>
      <c r="AK104" s="564"/>
      <c r="AL104" s="564"/>
      <c r="AM104" s="564"/>
      <c r="AN104" s="564"/>
      <c r="AO104" s="564"/>
      <c r="AP104" s="564"/>
      <c r="AQ104" s="564"/>
    </row>
    <row r="105" spans="2:43" x14ac:dyDescent="0.35">
      <c r="B105" s="585" t="str">
        <f t="shared" si="21"/>
        <v>Endeavour</v>
      </c>
      <c r="C105" s="585"/>
      <c r="D105" s="585" t="str">
        <f t="shared" si="22"/>
        <v>controlled load</v>
      </c>
      <c r="F105" s="258"/>
      <c r="H105" s="482"/>
      <c r="I105" s="482"/>
      <c r="J105" s="482"/>
      <c r="K105" s="484"/>
      <c r="L105" s="567"/>
      <c r="M105" s="484"/>
      <c r="N105" s="568"/>
      <c r="O105" s="482"/>
      <c r="P105" s="482"/>
      <c r="Q105" s="482"/>
      <c r="R105" s="484"/>
      <c r="S105" s="484"/>
      <c r="T105" s="484"/>
      <c r="U105" s="484"/>
      <c r="V105" s="484"/>
      <c r="W105" s="484"/>
      <c r="X105" s="484"/>
      <c r="Y105" s="484"/>
      <c r="Z105" s="484"/>
      <c r="AA105" s="484"/>
      <c r="AB105" s="484"/>
      <c r="AC105" s="484"/>
      <c r="AD105" s="484"/>
      <c r="AE105" s="484"/>
      <c r="AF105" s="484"/>
      <c r="AG105" s="484"/>
      <c r="AH105" s="484"/>
      <c r="AI105" s="484"/>
      <c r="AJ105" s="484"/>
      <c r="AK105" s="484"/>
      <c r="AL105" s="484"/>
      <c r="AM105" s="484"/>
      <c r="AN105" s="484"/>
      <c r="AO105" s="484"/>
      <c r="AP105" s="484"/>
      <c r="AQ105" s="484"/>
    </row>
    <row r="106" spans="2:43" x14ac:dyDescent="0.35">
      <c r="B106" s="64" t="s">
        <v>4</v>
      </c>
      <c r="C106" s="64" t="s">
        <v>13</v>
      </c>
      <c r="D106" s="64" t="s">
        <v>276</v>
      </c>
      <c r="F106" s="258"/>
      <c r="H106" s="482"/>
      <c r="I106" s="482"/>
      <c r="J106" s="482"/>
      <c r="K106" s="484"/>
      <c r="L106" s="567"/>
      <c r="M106" s="484"/>
      <c r="N106" s="568"/>
      <c r="O106" s="482"/>
      <c r="P106" s="482"/>
      <c r="Q106" s="482"/>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row>
    <row r="107" spans="2:43" x14ac:dyDescent="0.35">
      <c r="B107" s="30" t="str">
        <f t="shared" ref="B107:D111" si="26">B$106</f>
        <v>Endeavour</v>
      </c>
      <c r="C107" s="30" t="str">
        <f t="shared" si="26"/>
        <v>Small business</v>
      </c>
      <c r="D107" s="30" t="str">
        <f>D$106</f>
        <v>flat rate</v>
      </c>
      <c r="E107" s="30" t="s">
        <v>19</v>
      </c>
      <c r="F107" s="258" cm="1">
        <f t="array" ref="F107">IFERROR(_xlfn.XLOOKUP(1,($B107=DistributionZone)*('Network cost'!$C107=CustomerType)*('Network cost'!$E107=tariffType)*('Network cost'!F$5=Description)*($D107=tariffL2),valuesFY),0)</f>
        <v>10000</v>
      </c>
      <c r="G107" s="30" t="s">
        <v>57</v>
      </c>
      <c r="H107" s="482" cm="1">
        <f t="array" ref="H107">IFERROR(_xlfn.XLOOKUP(1,($B107=DistributionZone)*('Network cost'!$C107=CustomerType)*('Network cost'!$E107=tariffType)*('Network cost'!H$5=Desc_FixedOrVar)*('Network cost'!$G107=Description),valuesPY),0)</f>
        <v>311.63699999999994</v>
      </c>
      <c r="I107" s="482" cm="1">
        <f t="array" ref="I107">IFERROR(_xlfn.XLOOKUP(1,($B107=DistributionZone)*('Network cost'!$C107=CustomerType)*('Network cost'!$E107=tariffType)*('Network cost'!I$5=Desc_FixedOrVar)*('Network cost'!$G107=Description),valuesPY),0)</f>
        <v>112.803</v>
      </c>
      <c r="J107" s="482">
        <f>H107+I107*F107/1000</f>
        <v>1439.6669999999999</v>
      </c>
      <c r="K107" s="484">
        <f>IFERROR(J107/J109,"")</f>
        <v>0.99128667477253918</v>
      </c>
      <c r="L107" s="484"/>
      <c r="M107" s="484">
        <f>IF(OR(J107=0,J107="",Q107=""),"",Q107/J107-1)</f>
        <v>0.11494949873825</v>
      </c>
      <c r="N107" s="563"/>
      <c r="O107" s="482" cm="1">
        <f t="array" ref="O107">IFERROR(_xlfn.XLOOKUP(1,($B107=DistributionZone)*('Network cost'!$C107=CustomerType)*('Network cost'!$E107=tariffType)*('Network cost'!O$5=Desc_FixedOrVar)*('Network cost'!$G107=Description),valuesFY),0)</f>
        <v>347.62599999999998</v>
      </c>
      <c r="P107" s="482" cm="1">
        <f t="array" ref="P107">IFERROR(_xlfn.XLOOKUP(1,($B107=DistributionZone)*('Network cost'!$C107=CustomerType)*('Network cost'!$E107=tariffType)*('Network cost'!P$5=Desc_FixedOrVar)*('Network cost'!$G107=Description),valuesFY),0)</f>
        <v>125.753</v>
      </c>
      <c r="Q107" s="482">
        <f>O107+P107*$F107/1000</f>
        <v>1605.1559999999999</v>
      </c>
      <c r="R107" s="484">
        <f>IFERROR(Q107/Q109,"")</f>
        <v>0.99178617334385877</v>
      </c>
      <c r="S107" s="483"/>
      <c r="T107" s="483"/>
      <c r="U107" s="484"/>
      <c r="V107" s="484"/>
      <c r="W107" s="484"/>
      <c r="X107" s="484"/>
      <c r="Y107" s="484"/>
      <c r="Z107" s="484"/>
      <c r="AA107" s="484"/>
      <c r="AB107" s="484"/>
      <c r="AC107" s="484"/>
      <c r="AD107" s="484"/>
      <c r="AE107" s="484"/>
      <c r="AF107" s="484"/>
      <c r="AG107" s="484"/>
      <c r="AH107" s="484"/>
      <c r="AI107" s="484"/>
      <c r="AJ107" s="484"/>
      <c r="AK107" s="484"/>
      <c r="AL107" s="484"/>
      <c r="AM107" s="484"/>
      <c r="AN107" s="484"/>
      <c r="AO107" s="484"/>
      <c r="AP107" s="484"/>
      <c r="AQ107" s="484"/>
    </row>
    <row r="108" spans="2:43" x14ac:dyDescent="0.35">
      <c r="B108" s="30" t="str">
        <f t="shared" si="26"/>
        <v>Endeavour</v>
      </c>
      <c r="C108" s="30" t="str">
        <f t="shared" si="26"/>
        <v>Small business</v>
      </c>
      <c r="D108" s="30" t="str">
        <f t="shared" si="26"/>
        <v>flat rate</v>
      </c>
      <c r="E108" s="30" t="s">
        <v>19</v>
      </c>
      <c r="F108" s="258" cm="1">
        <f t="array" ref="F108">IFERROR(_xlfn.XLOOKUP(1,($B108=DistributionZone)*('Network cost'!$C108=CustomerType)*('Network cost'!$E108=tariffType)*('Network cost'!F$5=Description)*($D108=tariffL2),valuesFY),0)</f>
        <v>10000</v>
      </c>
      <c r="G108" s="30" t="s">
        <v>61</v>
      </c>
      <c r="H108" s="482" cm="1">
        <f t="array" ref="H108">IFERROR(_xlfn.XLOOKUP(1,($B108=DistributionZone)*('Network cost'!$C108=CustomerType)*('Network cost'!$E108=tariffType)*('Network cost'!H$5=Desc_FixedOrVar)*('Network cost'!$G108=Description),valuesPY),0)</f>
        <v>12.65455</v>
      </c>
      <c r="I108" s="482" cm="1">
        <f t="array" ref="I108">IFERROR(_xlfn.XLOOKUP(1,($B108=DistributionZone)*('Network cost'!$C108=CustomerType)*('Network cost'!$E108=tariffType)*('Network cost'!I$5=Desc_FixedOrVar)*('Network cost'!$G108=Description),valuesPY),0)</f>
        <v>0</v>
      </c>
      <c r="J108" s="482">
        <f>H108+I108*F108/1000</f>
        <v>12.65455</v>
      </c>
      <c r="K108" s="484">
        <f>IFERROR(J108/J109,"")</f>
        <v>8.7133252274608202E-3</v>
      </c>
      <c r="L108" s="484"/>
      <c r="M108" s="484">
        <f>IF(OR(J108=0,J108="",Q108=""),"",Q108/J108-1)</f>
        <v>5.0504759157773416E-2</v>
      </c>
      <c r="N108" s="563"/>
      <c r="O108" s="482" cm="1">
        <f t="array" ref="O108">IFERROR(_xlfn.XLOOKUP(1,($B108=DistributionZone)*('Network cost'!$C108=CustomerType)*('Network cost'!$E108=tariffType)*('Network cost'!O$5=Desc_FixedOrVar)*('Network cost'!$G108=Description),valuesFY),0)</f>
        <v>13.293665000000001</v>
      </c>
      <c r="P108" s="482" cm="1">
        <f t="array" ref="P108">IFERROR(_xlfn.XLOOKUP(1,($B108=DistributionZone)*('Network cost'!$C108=CustomerType)*('Network cost'!$E108=tariffType)*('Network cost'!P$5=Desc_FixedOrVar)*('Network cost'!$G108=Description),valuesFY),0)</f>
        <v>0</v>
      </c>
      <c r="Q108" s="482">
        <f>O108+P108*$F$108/1000</f>
        <v>13.293665000000001</v>
      </c>
      <c r="R108" s="484">
        <f>IFERROR(Q108/Q109,"")</f>
        <v>8.2138266561413275E-3</v>
      </c>
      <c r="S108" s="484"/>
      <c r="T108" s="484"/>
      <c r="U108" s="484"/>
      <c r="V108" s="484"/>
      <c r="W108" s="484"/>
      <c r="X108" s="484"/>
      <c r="Y108" s="484"/>
      <c r="Z108" s="484"/>
      <c r="AA108" s="484"/>
      <c r="AB108" s="484"/>
      <c r="AC108" s="484"/>
      <c r="AD108" s="484"/>
      <c r="AE108" s="484"/>
      <c r="AF108" s="484"/>
      <c r="AG108" s="484"/>
      <c r="AH108" s="484"/>
      <c r="AI108" s="484"/>
      <c r="AJ108" s="484"/>
      <c r="AK108" s="484"/>
      <c r="AL108" s="484"/>
      <c r="AM108" s="484"/>
      <c r="AN108" s="484"/>
      <c r="AO108" s="484"/>
      <c r="AP108" s="484"/>
      <c r="AQ108" s="484"/>
    </row>
    <row r="109" spans="2:43" x14ac:dyDescent="0.35">
      <c r="B109" s="30" t="str">
        <f t="shared" si="26"/>
        <v>Endeavour</v>
      </c>
      <c r="C109" s="30" t="str">
        <f t="shared" si="26"/>
        <v>Small business</v>
      </c>
      <c r="D109" s="30" t="str">
        <f t="shared" si="26"/>
        <v>flat rate</v>
      </c>
      <c r="E109" s="30" t="s">
        <v>19</v>
      </c>
      <c r="F109" s="258" cm="1">
        <f t="array" ref="F109">IFERROR(_xlfn.XLOOKUP(1,($B109=DistributionZone)*('Network cost'!$C109=CustomerType)*('Network cost'!$E109=tariffType)*('Network cost'!F$5=Description)*($D109=tariffL2),valuesFY),0)</f>
        <v>10000</v>
      </c>
      <c r="G109" s="64" t="s">
        <v>55</v>
      </c>
      <c r="H109" s="487">
        <f>+H108+H107</f>
        <v>324.29154999999992</v>
      </c>
      <c r="I109" s="487">
        <f>+I107</f>
        <v>112.803</v>
      </c>
      <c r="J109" s="487">
        <f>H109+I109*F109/1000</f>
        <v>1452.3215499999999</v>
      </c>
      <c r="K109" s="587"/>
      <c r="L109" s="565"/>
      <c r="M109" s="564">
        <f>IF(OR(J109=0,J109="",Q109=""),"",Q109/J109-1)</f>
        <v>0.11438797076308616</v>
      </c>
      <c r="N109" s="566"/>
      <c r="O109" s="487">
        <f>+O108+O107</f>
        <v>360.91966499999995</v>
      </c>
      <c r="P109" s="487">
        <f>+P107</f>
        <v>125.753</v>
      </c>
      <c r="Q109" s="487">
        <f>O109+P109*$F$109/1000</f>
        <v>1618.4496649999999</v>
      </c>
      <c r="R109" s="484"/>
      <c r="S109" s="484"/>
      <c r="T109" s="484"/>
      <c r="U109" s="484"/>
      <c r="V109" s="484"/>
      <c r="W109" s="484"/>
      <c r="X109" s="484"/>
      <c r="Y109" s="484"/>
      <c r="Z109" s="484"/>
      <c r="AA109" s="484"/>
      <c r="AB109" s="484"/>
      <c r="AC109" s="484"/>
      <c r="AD109" s="484"/>
      <c r="AE109" s="484"/>
      <c r="AF109" s="484"/>
      <c r="AG109" s="484"/>
      <c r="AH109" s="484"/>
      <c r="AI109" s="484"/>
      <c r="AJ109" s="484"/>
      <c r="AK109" s="484"/>
      <c r="AL109" s="484"/>
      <c r="AM109" s="484"/>
      <c r="AN109" s="484"/>
      <c r="AO109" s="484"/>
      <c r="AP109" s="484"/>
      <c r="AQ109" s="484"/>
    </row>
    <row r="110" spans="2:43" x14ac:dyDescent="0.35">
      <c r="B110" s="30" t="str">
        <f t="shared" si="26"/>
        <v>Endeavour</v>
      </c>
      <c r="C110" s="30" t="str">
        <f t="shared" si="26"/>
        <v>Small business</v>
      </c>
      <c r="D110" s="30" t="str">
        <f t="shared" si="26"/>
        <v>flat rate</v>
      </c>
      <c r="F110" s="258"/>
      <c r="G110" s="30" t="s">
        <v>38</v>
      </c>
      <c r="H110" s="482"/>
      <c r="I110" s="482"/>
      <c r="J110" s="482">
        <f>J109*GST</f>
        <v>145.23215500000001</v>
      </c>
      <c r="K110" s="484"/>
      <c r="L110" s="567"/>
      <c r="M110" s="484">
        <f>IF(OR(J110=0,J110="",Q110=""),"",Q110/J110-1)</f>
        <v>0.11438797076308616</v>
      </c>
      <c r="N110" s="568"/>
      <c r="O110" s="482"/>
      <c r="P110" s="482"/>
      <c r="Q110" s="482">
        <f>Q109*GST</f>
        <v>161.8449665</v>
      </c>
      <c r="R110" s="484"/>
      <c r="S110" s="484"/>
      <c r="T110" s="484"/>
      <c r="U110" s="484"/>
      <c r="V110" s="484"/>
      <c r="W110" s="484"/>
      <c r="X110" s="484"/>
      <c r="Y110" s="484"/>
      <c r="Z110" s="484"/>
      <c r="AA110" s="484"/>
      <c r="AB110" s="484"/>
      <c r="AC110" s="484"/>
      <c r="AD110" s="484"/>
      <c r="AE110" s="484"/>
      <c r="AF110" s="484"/>
      <c r="AG110" s="484"/>
      <c r="AH110" s="484"/>
      <c r="AI110" s="484"/>
      <c r="AJ110" s="484"/>
      <c r="AK110" s="484"/>
      <c r="AL110" s="484"/>
      <c r="AM110" s="484"/>
      <c r="AN110" s="484"/>
      <c r="AO110" s="484"/>
      <c r="AP110" s="484"/>
      <c r="AQ110" s="484"/>
    </row>
    <row r="111" spans="2:43" x14ac:dyDescent="0.35">
      <c r="B111" s="30" t="str">
        <f t="shared" si="26"/>
        <v>Endeavour</v>
      </c>
      <c r="C111" s="30" t="str">
        <f t="shared" si="26"/>
        <v>Small business</v>
      </c>
      <c r="D111" s="30" t="str">
        <f t="shared" si="26"/>
        <v>flat rate</v>
      </c>
      <c r="E111" s="30" t="s">
        <v>19</v>
      </c>
      <c r="F111" s="258"/>
      <c r="G111" s="64" t="s">
        <v>79</v>
      </c>
      <c r="H111" s="487"/>
      <c r="I111" s="487"/>
      <c r="J111" s="487">
        <f>SUM(J109:J110)</f>
        <v>1597.5537049999998</v>
      </c>
      <c r="K111" s="564"/>
      <c r="L111" s="565"/>
      <c r="M111" s="564">
        <f>IF(OR(J111=0,J111="",Q111=""),"",Q111/J111-1)</f>
        <v>0.11438797076308616</v>
      </c>
      <c r="N111" s="566"/>
      <c r="O111" s="487"/>
      <c r="P111" s="487"/>
      <c r="Q111" s="487">
        <f>SUM(Q109:Q110)</f>
        <v>1780.2946314999999</v>
      </c>
      <c r="R111" s="564"/>
      <c r="S111" s="564"/>
      <c r="T111" s="48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row>
    <row r="112" spans="2:43" s="31" customFormat="1" x14ac:dyDescent="0.35">
      <c r="F112" s="588"/>
      <c r="H112" s="589"/>
      <c r="I112" s="589"/>
      <c r="J112" s="589"/>
      <c r="K112" s="590"/>
      <c r="L112" s="591"/>
      <c r="M112" s="590"/>
      <c r="N112" s="592"/>
      <c r="O112" s="589"/>
      <c r="P112" s="589"/>
      <c r="Q112" s="589"/>
      <c r="R112" s="590"/>
      <c r="S112" s="590"/>
      <c r="T112" s="484"/>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row>
    <row r="113" spans="2:43" x14ac:dyDescent="0.35">
      <c r="B113" s="64" t="s">
        <v>4</v>
      </c>
      <c r="C113" s="64" t="s">
        <v>13</v>
      </c>
      <c r="D113" s="64" t="s">
        <v>276</v>
      </c>
      <c r="E113" s="64" t="s">
        <v>401</v>
      </c>
      <c r="F113" s="258"/>
      <c r="H113" s="482"/>
      <c r="I113" s="482"/>
      <c r="J113" s="482"/>
      <c r="K113" s="484"/>
      <c r="L113" s="567"/>
      <c r="M113" s="484"/>
      <c r="N113" s="568"/>
      <c r="O113" s="482"/>
      <c r="P113" s="482"/>
      <c r="Q113" s="482"/>
      <c r="R113" s="484"/>
      <c r="S113" s="484"/>
      <c r="T113" s="484"/>
      <c r="U113" s="484"/>
      <c r="V113" s="484"/>
      <c r="W113" s="484"/>
      <c r="X113" s="484"/>
      <c r="Y113" s="484"/>
      <c r="Z113" s="484"/>
      <c r="AA113" s="484"/>
      <c r="AB113" s="484"/>
      <c r="AC113" s="484"/>
      <c r="AD113" s="484"/>
      <c r="AE113" s="484"/>
      <c r="AF113" s="484"/>
      <c r="AG113" s="484"/>
      <c r="AH113" s="484"/>
      <c r="AI113" s="484"/>
      <c r="AJ113" s="484"/>
      <c r="AK113" s="484"/>
      <c r="AL113" s="484"/>
      <c r="AM113" s="484"/>
      <c r="AN113" s="484"/>
      <c r="AO113" s="484"/>
      <c r="AP113" s="484"/>
      <c r="AQ113" s="484"/>
    </row>
    <row r="114" spans="2:43" x14ac:dyDescent="0.35">
      <c r="B114" s="30" t="str">
        <f t="shared" ref="B114:D118" si="27">B$106</f>
        <v>Endeavour</v>
      </c>
      <c r="C114" s="30" t="str">
        <f t="shared" si="27"/>
        <v>Small business</v>
      </c>
      <c r="D114" s="30" t="str">
        <f>D$106</f>
        <v>flat rate</v>
      </c>
      <c r="E114" s="30" t="s">
        <v>401</v>
      </c>
      <c r="F114" s="258" cm="1">
        <f t="array" ref="F114">IFERROR(_xlfn.XLOOKUP(1,($B114=DistributionZone)*('Network cost'!$C114=CustomerType)*('Network cost'!$E114=tariffType)*('Network cost'!F$5=Description)*($D114=tariffL2),valuesFY),0)</f>
        <v>0</v>
      </c>
      <c r="G114" s="30" t="s">
        <v>57</v>
      </c>
      <c r="H114" s="482" cm="1">
        <f t="array" ref="H114">IFERROR(_xlfn.XLOOKUP(1,($B114=DistributionZone)*('Network cost'!$C114=CustomerType)*('Network cost'!$E114=tariffType)*('Network cost'!H$5=Desc_FixedOrVar)*('Network cost'!$G114=Description),valuesPY),0)</f>
        <v>0</v>
      </c>
      <c r="I114" s="482" cm="1">
        <f t="array" ref="I114">IFERROR(_xlfn.XLOOKUP(1,($B114=DistributionZone)*('Network cost'!$C114=CustomerType)*('Network cost'!$E114=tariffType)*('Network cost'!I$5=Desc_FixedOrVar)*('Network cost'!$G114=Description),valuesPY),0)</f>
        <v>0</v>
      </c>
      <c r="J114" s="482">
        <f>H114+I114*F114/1000</f>
        <v>0</v>
      </c>
      <c r="K114" s="484" t="str">
        <f>IFERROR(J114/J116,"")</f>
        <v/>
      </c>
      <c r="L114" s="484"/>
      <c r="M114" s="484" t="str">
        <f>IF(OR(J114=0,J114="",Q114=""),"",Q114/J114-1)</f>
        <v/>
      </c>
      <c r="N114" s="563"/>
      <c r="O114" s="482" cm="1">
        <f t="array" ref="O114">IFERROR(_xlfn.XLOOKUP(1,($B114=DistributionZone)*('Network cost'!$C114=CustomerType)*('Network cost'!$E114=tariffType)*('Network cost'!O$5=Desc_FixedOrVar)*('Network cost'!$G114=Description),valuesFY),0)</f>
        <v>0</v>
      </c>
      <c r="P114" s="482" cm="1">
        <f t="array" ref="P114">IFERROR(_xlfn.XLOOKUP(1,($B114=DistributionZone)*('Network cost'!$C114=CustomerType)*('Network cost'!$E114=tariffType)*('Network cost'!P$5=Desc_FixedOrVar)*('Network cost'!$G114=Description),valuesFY),0)</f>
        <v>150.10300000000001</v>
      </c>
      <c r="Q114" s="482">
        <f>O114+P114*$F114/1000</f>
        <v>0</v>
      </c>
      <c r="R114" s="484" t="str">
        <f>IFERROR(Q114/Q116,"")</f>
        <v/>
      </c>
      <c r="S114" s="483"/>
      <c r="T114" s="483"/>
      <c r="U114" s="484"/>
      <c r="V114" s="484"/>
      <c r="W114" s="484"/>
      <c r="X114" s="484"/>
      <c r="Y114" s="484"/>
      <c r="Z114" s="484"/>
      <c r="AA114" s="484"/>
      <c r="AB114" s="484"/>
      <c r="AC114" s="484"/>
      <c r="AD114" s="484"/>
      <c r="AE114" s="484"/>
      <c r="AF114" s="484"/>
      <c r="AG114" s="484"/>
      <c r="AH114" s="484"/>
      <c r="AI114" s="484"/>
      <c r="AJ114" s="484"/>
      <c r="AK114" s="484"/>
      <c r="AL114" s="484"/>
      <c r="AM114" s="484"/>
      <c r="AN114" s="484"/>
      <c r="AO114" s="484"/>
      <c r="AP114" s="484"/>
      <c r="AQ114" s="484"/>
    </row>
    <row r="115" spans="2:43" x14ac:dyDescent="0.35">
      <c r="B115" s="30" t="str">
        <f t="shared" si="27"/>
        <v>Endeavour</v>
      </c>
      <c r="C115" s="30" t="str">
        <f t="shared" si="27"/>
        <v>Small business</v>
      </c>
      <c r="D115" s="30" t="str">
        <f t="shared" si="27"/>
        <v>flat rate</v>
      </c>
      <c r="E115" s="30" t="s">
        <v>401</v>
      </c>
      <c r="F115" s="258" cm="1">
        <f t="array" ref="F115">IFERROR(_xlfn.XLOOKUP(1,($B115=DistributionZone)*('Network cost'!$C115=CustomerType)*('Network cost'!$E115=tariffType)*('Network cost'!F$5=Description)*($D115=tariffL2),valuesFY),0)</f>
        <v>0</v>
      </c>
      <c r="G115" s="30" t="s">
        <v>61</v>
      </c>
      <c r="H115" s="482" cm="1">
        <f t="array" ref="H115">IFERROR(_xlfn.XLOOKUP(1,($B115=DistributionZone)*('Network cost'!$C115=CustomerType)*('Network cost'!$E115=tariffType)*('Network cost'!H$5=Desc_FixedOrVar)*('Network cost'!$G115=Description),valuesPY),0)</f>
        <v>0</v>
      </c>
      <c r="I115" s="482" cm="1">
        <f t="array" ref="I115">IFERROR(_xlfn.XLOOKUP(1,($B115=DistributionZone)*('Network cost'!$C115=CustomerType)*('Network cost'!$E115=tariffType)*('Network cost'!I$5=Desc_FixedOrVar)*('Network cost'!$G115=Description),valuesPY),0)</f>
        <v>0</v>
      </c>
      <c r="J115" s="482">
        <f>H115+I115*F115/1000</f>
        <v>0</v>
      </c>
      <c r="K115" s="484" t="str">
        <f>IFERROR(J115/J116,"")</f>
        <v/>
      </c>
      <c r="L115" s="484"/>
      <c r="M115" s="484" t="str">
        <f>IF(OR(J115=0,J115="",Q115=""),"",Q115/J115-1)</f>
        <v/>
      </c>
      <c r="N115" s="563"/>
      <c r="O115" s="482" cm="1">
        <f t="array" ref="O115">IFERROR(_xlfn.XLOOKUP(1,($B115=DistributionZone)*('Network cost'!$C115=CustomerType)*('Network cost'!$E115=tariffType)*('Network cost'!O$5=Desc_FixedOrVar)*('Network cost'!$G115=Description),valuesFY),0)</f>
        <v>0</v>
      </c>
      <c r="P115" s="482" cm="1">
        <f t="array" ref="P115">IFERROR(_xlfn.XLOOKUP(1,($B115=DistributionZone)*('Network cost'!$C115=CustomerType)*('Network cost'!$E115=tariffType)*('Network cost'!P$5=Desc_FixedOrVar)*('Network cost'!$G115=Description),valuesFY),0)</f>
        <v>0</v>
      </c>
      <c r="Q115" s="482">
        <f>O115+P115*$F$108/1000</f>
        <v>0</v>
      </c>
      <c r="R115" s="484" t="str">
        <f>IFERROR(Q115/Q116,"")</f>
        <v/>
      </c>
      <c r="S115" s="484"/>
      <c r="T115" s="484"/>
      <c r="U115" s="484"/>
      <c r="V115" s="484"/>
      <c r="W115" s="484"/>
      <c r="X115" s="484"/>
      <c r="Y115" s="484"/>
      <c r="Z115" s="484"/>
      <c r="AA115" s="484"/>
      <c r="AB115" s="484"/>
      <c r="AC115" s="484"/>
      <c r="AD115" s="484"/>
      <c r="AE115" s="484"/>
      <c r="AF115" s="484"/>
      <c r="AG115" s="484"/>
      <c r="AH115" s="484"/>
      <c r="AI115" s="484"/>
      <c r="AJ115" s="484"/>
      <c r="AK115" s="484"/>
      <c r="AL115" s="484"/>
      <c r="AM115" s="484"/>
      <c r="AN115" s="484"/>
      <c r="AO115" s="484"/>
      <c r="AP115" s="484"/>
      <c r="AQ115" s="484"/>
    </row>
    <row r="116" spans="2:43" x14ac:dyDescent="0.35">
      <c r="B116" s="30" t="str">
        <f t="shared" si="27"/>
        <v>Endeavour</v>
      </c>
      <c r="C116" s="30" t="str">
        <f t="shared" si="27"/>
        <v>Small business</v>
      </c>
      <c r="D116" s="30" t="str">
        <f t="shared" si="27"/>
        <v>flat rate</v>
      </c>
      <c r="E116" s="30" t="s">
        <v>401</v>
      </c>
      <c r="F116" s="258" cm="1">
        <f t="array" ref="F116">IFERROR(_xlfn.XLOOKUP(1,($B116=DistributionZone)*('Network cost'!$C116=CustomerType)*('Network cost'!$E116=tariffType)*('Network cost'!F$5=Description)*($D116=tariffL2),valuesFY),0)</f>
        <v>0</v>
      </c>
      <c r="G116" s="64" t="s">
        <v>55</v>
      </c>
      <c r="H116" s="487">
        <f>+H115+H114</f>
        <v>0</v>
      </c>
      <c r="I116" s="487">
        <f>+I114</f>
        <v>0</v>
      </c>
      <c r="J116" s="487">
        <f>H116+I116*F116/1000</f>
        <v>0</v>
      </c>
      <c r="K116" s="587"/>
      <c r="L116" s="565"/>
      <c r="M116" s="564" t="str">
        <f>IF(OR(J116=0,J116="",Q116=""),"",Q116/J116-1)</f>
        <v/>
      </c>
      <c r="N116" s="566"/>
      <c r="O116" s="487">
        <f>+O115+O114</f>
        <v>0</v>
      </c>
      <c r="P116" s="487">
        <f>+P114</f>
        <v>150.10300000000001</v>
      </c>
      <c r="Q116" s="487">
        <f>O116+P116*$F$116/1000</f>
        <v>0</v>
      </c>
      <c r="R116" s="484"/>
      <c r="S116" s="484"/>
      <c r="T116" s="484"/>
      <c r="U116" s="484"/>
      <c r="V116" s="484"/>
      <c r="W116" s="484"/>
      <c r="X116" s="484"/>
      <c r="Y116" s="484"/>
      <c r="Z116" s="484"/>
      <c r="AA116" s="484"/>
      <c r="AB116" s="484"/>
      <c r="AC116" s="484"/>
      <c r="AD116" s="484"/>
      <c r="AE116" s="484"/>
      <c r="AF116" s="484"/>
      <c r="AG116" s="484"/>
      <c r="AH116" s="484"/>
      <c r="AI116" s="484"/>
      <c r="AJ116" s="484"/>
      <c r="AK116" s="484"/>
      <c r="AL116" s="484"/>
      <c r="AM116" s="484"/>
      <c r="AN116" s="484"/>
      <c r="AO116" s="484"/>
      <c r="AP116" s="484"/>
      <c r="AQ116" s="484"/>
    </row>
    <row r="117" spans="2:43" x14ac:dyDescent="0.35">
      <c r="B117" s="30" t="str">
        <f t="shared" si="27"/>
        <v>Endeavour</v>
      </c>
      <c r="C117" s="30" t="str">
        <f t="shared" si="27"/>
        <v>Small business</v>
      </c>
      <c r="D117" s="30" t="str">
        <f t="shared" si="27"/>
        <v>flat rate</v>
      </c>
      <c r="F117" s="258"/>
      <c r="G117" s="30" t="s">
        <v>38</v>
      </c>
      <c r="H117" s="482"/>
      <c r="I117" s="482"/>
      <c r="J117" s="482">
        <f>J116*GST</f>
        <v>0</v>
      </c>
      <c r="K117" s="484"/>
      <c r="L117" s="567"/>
      <c r="M117" s="484" t="str">
        <f>IF(OR(J117=0,J117="",Q117=""),"",Q117/J117-1)</f>
        <v/>
      </c>
      <c r="N117" s="568"/>
      <c r="O117" s="482"/>
      <c r="P117" s="482"/>
      <c r="Q117" s="482">
        <f>Q116*GST</f>
        <v>0</v>
      </c>
      <c r="R117" s="484"/>
      <c r="S117" s="484"/>
      <c r="T117" s="484"/>
      <c r="U117" s="484"/>
      <c r="V117" s="484"/>
      <c r="W117" s="484"/>
      <c r="X117" s="484"/>
      <c r="Y117" s="484"/>
      <c r="Z117" s="484"/>
      <c r="AA117" s="484"/>
      <c r="AB117" s="484"/>
      <c r="AC117" s="484"/>
      <c r="AD117" s="484"/>
      <c r="AE117" s="484"/>
      <c r="AF117" s="484"/>
      <c r="AG117" s="484"/>
      <c r="AH117" s="484"/>
      <c r="AI117" s="484"/>
      <c r="AJ117" s="484"/>
      <c r="AK117" s="484"/>
      <c r="AL117" s="484"/>
      <c r="AM117" s="484"/>
      <c r="AN117" s="484"/>
      <c r="AO117" s="484"/>
      <c r="AP117" s="484"/>
      <c r="AQ117" s="484"/>
    </row>
    <row r="118" spans="2:43" x14ac:dyDescent="0.35">
      <c r="B118" s="30" t="str">
        <f t="shared" si="27"/>
        <v>Endeavour</v>
      </c>
      <c r="C118" s="30" t="str">
        <f t="shared" si="27"/>
        <v>Small business</v>
      </c>
      <c r="D118" s="30" t="str">
        <f t="shared" si="27"/>
        <v>flat rate</v>
      </c>
      <c r="E118" s="30" t="s">
        <v>401</v>
      </c>
      <c r="F118" s="258"/>
      <c r="G118" s="64" t="s">
        <v>79</v>
      </c>
      <c r="H118" s="487"/>
      <c r="I118" s="487"/>
      <c r="J118" s="487">
        <f>SUM(J116:J117)</f>
        <v>0</v>
      </c>
      <c r="K118" s="564"/>
      <c r="L118" s="565"/>
      <c r="M118" s="564" t="str">
        <f>IF(OR(J118=0,J118="",Q118=""),"",Q118/J118-1)</f>
        <v/>
      </c>
      <c r="N118" s="566"/>
      <c r="O118" s="487"/>
      <c r="P118" s="487"/>
      <c r="Q118" s="487">
        <f>SUM(Q116:Q117)</f>
        <v>0</v>
      </c>
      <c r="R118" s="564"/>
      <c r="S118" s="564"/>
      <c r="T118" s="484"/>
      <c r="U118" s="564"/>
      <c r="V118" s="564"/>
      <c r="W118" s="564"/>
      <c r="X118" s="564"/>
      <c r="Y118" s="564"/>
      <c r="Z118" s="564"/>
      <c r="AA118" s="564"/>
      <c r="AB118" s="564"/>
      <c r="AC118" s="564"/>
      <c r="AD118" s="564"/>
      <c r="AE118" s="564"/>
      <c r="AF118" s="564"/>
      <c r="AG118" s="564"/>
      <c r="AH118" s="564"/>
      <c r="AI118" s="564"/>
      <c r="AJ118" s="564"/>
      <c r="AK118" s="564"/>
      <c r="AL118" s="564"/>
      <c r="AM118" s="564"/>
      <c r="AN118" s="564"/>
      <c r="AO118" s="564"/>
      <c r="AP118" s="564"/>
      <c r="AQ118" s="564"/>
    </row>
    <row r="119" spans="2:43" s="31" customFormat="1" x14ac:dyDescent="0.35">
      <c r="F119" s="588"/>
      <c r="H119" s="589"/>
      <c r="I119" s="589"/>
      <c r="J119" s="589"/>
      <c r="K119" s="590"/>
      <c r="L119" s="591"/>
      <c r="M119" s="590"/>
      <c r="N119" s="592"/>
      <c r="O119" s="589"/>
      <c r="P119" s="589"/>
      <c r="Q119" s="589"/>
      <c r="R119" s="590"/>
      <c r="S119" s="590"/>
      <c r="T119" s="484"/>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row>
    <row r="120" spans="2:43" s="570" customFormat="1" x14ac:dyDescent="0.35">
      <c r="B120" s="571" t="s">
        <v>4</v>
      </c>
      <c r="C120" s="571" t="s">
        <v>13</v>
      </c>
      <c r="D120" s="571" t="s">
        <v>272</v>
      </c>
      <c r="F120" s="485"/>
      <c r="H120" s="574"/>
      <c r="I120" s="574"/>
      <c r="J120" s="574"/>
      <c r="K120" s="575"/>
      <c r="L120" s="581"/>
      <c r="M120" s="575"/>
      <c r="N120" s="582"/>
      <c r="O120" s="574"/>
      <c r="P120" s="574"/>
      <c r="Q120" s="574"/>
      <c r="R120" s="575"/>
      <c r="S120" s="575"/>
      <c r="T120" s="484"/>
      <c r="U120" s="575"/>
      <c r="V120" s="575"/>
      <c r="W120" s="575"/>
      <c r="X120" s="575"/>
      <c r="Y120" s="575"/>
      <c r="Z120" s="575"/>
      <c r="AA120" s="575"/>
      <c r="AB120" s="575"/>
      <c r="AC120" s="575"/>
      <c r="AD120" s="575"/>
      <c r="AE120" s="575"/>
      <c r="AF120" s="575"/>
      <c r="AG120" s="575"/>
      <c r="AH120" s="575"/>
      <c r="AI120" s="575"/>
      <c r="AJ120" s="575"/>
      <c r="AK120" s="575"/>
      <c r="AL120" s="575"/>
      <c r="AM120" s="575"/>
      <c r="AN120" s="575"/>
      <c r="AO120" s="575"/>
      <c r="AP120" s="575"/>
      <c r="AQ120" s="575"/>
    </row>
    <row r="121" spans="2:43" s="570" customFormat="1" x14ac:dyDescent="0.35">
      <c r="B121" s="570" t="str">
        <f t="shared" ref="B121:D126" si="28">B120</f>
        <v>Endeavour</v>
      </c>
      <c r="C121" s="570" t="str">
        <f t="shared" si="28"/>
        <v>Small business</v>
      </c>
      <c r="D121" s="570" t="str">
        <f>D120</f>
        <v>time of use</v>
      </c>
      <c r="E121" s="570" t="s">
        <v>279</v>
      </c>
      <c r="F121" s="485" cm="1">
        <f t="array" ref="F121">_xlfn.XLOOKUP(1,($B121=DistributionZone)*('Network cost'!$C121=CustomerType)*('Network cost'!$D121=tariffL2)*($F$5=Description),valuesPY)*_xlfn.XLOOKUP(1,($B121=DistributionZone)*($C121=CustomerType)*('Network cost'!$D121=tariffL2)*($E121=tariffType)*("Usage proportion"=Description),valuesFY)</f>
        <v>6469.8407560338619</v>
      </c>
      <c r="G121" s="570" t="s">
        <v>57</v>
      </c>
      <c r="H121" s="574" cm="1">
        <f t="array" ref="H121">IFERROR(_xlfn.XLOOKUP(1,($B121=DistributionZone)*('Network cost'!$C121=CustomerType)*('Network cost'!$E121=tariffType)*('Network cost'!H$5=Desc_FixedOrVar)*('Network cost'!$G121=Description),valuesPY),0)*_xlfn.XLOOKUP(1,($B121=DistributionZone)*('Network cost'!$D121=tariffL2)*($E121=tariffType)*("Usage proportion"=Description),valuesPY)</f>
        <v>0</v>
      </c>
      <c r="I121" s="574" cm="1">
        <f t="array" ref="I121">IFERROR(_xlfn.XLOOKUP(1,($B121=DistributionZone)*('Network cost'!$C121=CustomerType)*('Network cost'!$E121=tariffType)*('Network cost'!I$5=Desc_FixedOrVar)*('Network cost'!$G121=Description),valuesPY),0)</f>
        <v>0</v>
      </c>
      <c r="J121" s="574">
        <f>H121+I121*F121/1000</f>
        <v>0</v>
      </c>
      <c r="K121" s="575" t="str">
        <f>IFERROR(J121/J126,"")</f>
        <v/>
      </c>
      <c r="L121" s="575"/>
      <c r="M121" s="575" t="str">
        <f t="shared" ref="M121:M128" si="29">IF(OR(J121=0,J121="",Q121=""),"",Q121/J121-1)</f>
        <v/>
      </c>
      <c r="N121" s="576"/>
      <c r="O121" s="574" cm="1">
        <f t="array" ref="O121">IFERROR(_xlfn.XLOOKUP(1,($B121=DistributionZone)*('Network cost'!$C121=CustomerType)*('Network cost'!$E121=tariffType)*('Network cost'!O$5=Desc_FixedOrVar)*('Network cost'!$G121=Description),valuesFY),0)*_xlfn.XLOOKUP(1,($B121=DistributionZone)*('Network cost'!$D121=tariffL2)*($E121=tariffType)*("Usage proportion"=Description),valuesFY)</f>
        <v>230.87871937477797</v>
      </c>
      <c r="P121" s="574" cm="1">
        <f t="array" ref="P121">IFERROR(_xlfn.XLOOKUP(1,($B121=DistributionZone)*('Network cost'!$C121=CustomerType)*('Network cost'!$E121=tariffType)*('Network cost'!P$5=Desc_FixedOrVar)*('Network cost'!$G121=Description),valuesFY),0)</f>
        <v>134.42099999999999</v>
      </c>
      <c r="Q121" s="574">
        <f>O121+P121*$F121/1000</f>
        <v>1100.5611836416056</v>
      </c>
      <c r="R121" s="575">
        <f>IFERROR(Q121/Q126,"")</f>
        <v>0.69144747003968776</v>
      </c>
      <c r="S121" s="483"/>
      <c r="T121" s="483"/>
      <c r="U121" s="575"/>
      <c r="V121" s="575"/>
      <c r="W121" s="575"/>
      <c r="X121" s="575"/>
      <c r="Y121" s="575"/>
      <c r="Z121" s="575"/>
      <c r="AA121" s="575"/>
      <c r="AB121" s="575"/>
      <c r="AC121" s="575"/>
      <c r="AD121" s="575"/>
      <c r="AE121" s="575"/>
      <c r="AF121" s="575"/>
      <c r="AG121" s="575"/>
      <c r="AH121" s="575"/>
      <c r="AI121" s="575"/>
      <c r="AJ121" s="575"/>
      <c r="AK121" s="575"/>
      <c r="AL121" s="575"/>
      <c r="AM121" s="575"/>
      <c r="AN121" s="575"/>
      <c r="AO121" s="575"/>
      <c r="AP121" s="575"/>
      <c r="AQ121" s="575"/>
    </row>
    <row r="122" spans="2:43" s="570" customFormat="1" x14ac:dyDescent="0.35">
      <c r="B122" s="570" t="str">
        <f t="shared" si="28"/>
        <v>Endeavour</v>
      </c>
      <c r="C122" s="570" t="str">
        <f t="shared" si="28"/>
        <v>Small business</v>
      </c>
      <c r="D122" s="570" t="str">
        <f t="shared" si="28"/>
        <v>time of use</v>
      </c>
      <c r="E122" s="570" t="s">
        <v>280</v>
      </c>
      <c r="F122" s="485" cm="1">
        <f t="array" ref="F122">_xlfn.XLOOKUP(1,($B122=DistributionZone)*('Network cost'!$C122=CustomerType)*('Network cost'!$D122=tariffL2)*($F$5=Description),valuesPY)*_xlfn.XLOOKUP(1,($B122=DistributionZone)*($C122=CustomerType)*('Network cost'!$D122=tariffL2)*($E122=tariffType)*("Usage proportion"=Description),valuesFY)</f>
        <v>479.35429346441191</v>
      </c>
      <c r="G122" s="570" t="s">
        <v>57</v>
      </c>
      <c r="H122" s="574" cm="1">
        <f t="array" ref="H122">IFERROR(_xlfn.XLOOKUP(1,($B122=DistributionZone)*('Network cost'!$C122=CustomerType)*('Network cost'!$E122=tariffType)*('Network cost'!H$5=Desc_FixedOrVar)*('Network cost'!$G122=Description),valuesPY),0)*_xlfn.XLOOKUP(1,($B122=DistributionZone)*('Network cost'!$D122=tariffL2)*($E122=tariffType)*("Usage proportion"=Description),valuesPY)</f>
        <v>0</v>
      </c>
      <c r="I122" s="574" cm="1">
        <f t="array" ref="I122">IFERROR(_xlfn.XLOOKUP(1,($B122=DistributionZone)*('Network cost'!$C122=CustomerType)*('Network cost'!$E122=tariffType)*('Network cost'!I$5=Desc_FixedOrVar)*('Network cost'!$G122=Description),valuesPY),0)</f>
        <v>0</v>
      </c>
      <c r="J122" s="574">
        <f>H122+I122*F122/1000</f>
        <v>0</v>
      </c>
      <c r="K122" s="575" t="str">
        <f>IFERROR(J122/J126,"")</f>
        <v/>
      </c>
      <c r="L122" s="575"/>
      <c r="M122" s="575" t="str">
        <f t="shared" si="29"/>
        <v/>
      </c>
      <c r="N122" s="576"/>
      <c r="O122" s="574" cm="1">
        <f t="array" ref="O122">IFERROR(_xlfn.XLOOKUP(1,($B122=DistributionZone)*('Network cost'!$C122=CustomerType)*('Network cost'!$E122=tariffType)*('Network cost'!O$5=Desc_FixedOrVar)*('Network cost'!$G122=Description),valuesFY),0)*_xlfn.XLOOKUP(1,($B122=DistributionZone)*('Network cost'!$D122=tariffL2)*($E122=tariffType)*("Usage proportion"=Description),valuesFY)</f>
        <v>23.206752383130759</v>
      </c>
      <c r="P122" s="574" cm="1">
        <f t="array" ref="P122">IFERROR(_xlfn.XLOOKUP(1,($B122=DistributionZone)*('Network cost'!$C122=CustomerType)*('Network cost'!$E122=tariffType)*('Network cost'!P$5=Desc_FixedOrVar)*('Network cost'!$G122=Description),valuesFY),0)</f>
        <v>251.55200000000002</v>
      </c>
      <c r="Q122" s="574">
        <f>O122+P122*$F122/1000</f>
        <v>143.7892836126905</v>
      </c>
      <c r="R122" s="575">
        <f>IFERROR(Q122/Q126,"")</f>
        <v>9.0338218220488042E-2</v>
      </c>
      <c r="S122" s="483"/>
      <c r="T122" s="483"/>
      <c r="U122" s="575"/>
      <c r="V122" s="575"/>
      <c r="W122" s="575"/>
      <c r="X122" s="575"/>
      <c r="Y122" s="575"/>
      <c r="Z122" s="575"/>
      <c r="AA122" s="575"/>
      <c r="AB122" s="575"/>
      <c r="AC122" s="575"/>
      <c r="AD122" s="575"/>
      <c r="AE122" s="575"/>
      <c r="AF122" s="575"/>
      <c r="AG122" s="575"/>
      <c r="AH122" s="575"/>
      <c r="AI122" s="575"/>
      <c r="AJ122" s="575"/>
      <c r="AK122" s="575"/>
      <c r="AL122" s="575"/>
      <c r="AM122" s="575"/>
      <c r="AN122" s="575"/>
      <c r="AO122" s="575"/>
      <c r="AP122" s="575"/>
      <c r="AQ122" s="575"/>
    </row>
    <row r="123" spans="2:43" s="570" customFormat="1" x14ac:dyDescent="0.35">
      <c r="B123" s="570" t="str">
        <f t="shared" si="28"/>
        <v>Endeavour</v>
      </c>
      <c r="C123" s="570" t="str">
        <f t="shared" si="28"/>
        <v>Small business</v>
      </c>
      <c r="D123" s="570" t="str">
        <f t="shared" si="28"/>
        <v>time of use</v>
      </c>
      <c r="E123" s="570" t="s">
        <v>281</v>
      </c>
      <c r="F123" s="485" cm="1">
        <f t="array" ref="F123">_xlfn.XLOOKUP(1,($B123=DistributionZone)*('Network cost'!$C123=CustomerType)*('Network cost'!$D123=tariffL2)*($F$5=Description),valuesPY)*_xlfn.XLOOKUP(1,($B123=DistributionZone)*($C123=CustomerType)*('Network cost'!$D123=tariffL2)*($E123=tariffType)*("Usage proportion"=Description),valuesFY)</f>
        <v>704.93278450648802</v>
      </c>
      <c r="G123" s="570" t="s">
        <v>57</v>
      </c>
      <c r="H123" s="574" cm="1">
        <f t="array" ref="H123">IFERROR(_xlfn.XLOOKUP(1,($B123=DistributionZone)*('Network cost'!$C123=CustomerType)*('Network cost'!$E123=tariffType)*('Network cost'!H$5=Desc_FixedOrVar)*('Network cost'!$G123=Description),valuesPY),0)*_xlfn.XLOOKUP(1,($B123=DistributionZone)*('Network cost'!$D123=tariffL2)*($E123=tariffType)*("Usage proportion"=Description),valuesPY)</f>
        <v>0</v>
      </c>
      <c r="I123" s="574" cm="1">
        <f t="array" ref="I123">IFERROR(_xlfn.XLOOKUP(1,($B123=DistributionZone)*('Network cost'!$C123=CustomerType)*('Network cost'!$E123=tariffType)*('Network cost'!I$5=Desc_FixedOrVar)*('Network cost'!$G123=Description),valuesPY),0)</f>
        <v>0</v>
      </c>
      <c r="J123" s="574">
        <f>H123+I123*F123/1000</f>
        <v>0</v>
      </c>
      <c r="K123" s="575" t="str">
        <f>IFERROR(J123/J126,"")</f>
        <v/>
      </c>
      <c r="L123" s="575"/>
      <c r="M123" s="575" t="str">
        <f t="shared" si="29"/>
        <v/>
      </c>
      <c r="N123" s="576"/>
      <c r="O123" s="574" cm="1">
        <f t="array" ref="O123">IFERROR(_xlfn.XLOOKUP(1,($B123=DistributionZone)*('Network cost'!$C123=CustomerType)*('Network cost'!$E123=tariffType)*('Network cost'!O$5=Desc_FixedOrVar)*('Network cost'!$G123=Description),valuesFY),0)*_xlfn.XLOOKUP(1,($B123=DistributionZone)*('Network cost'!$D123=tariffL2)*($E123=tariffType)*("Usage proportion"=Description),valuesFY)</f>
        <v>34.127577034015829</v>
      </c>
      <c r="P123" s="574" cm="1">
        <f t="array" ref="P123">IFERROR(_xlfn.XLOOKUP(1,($B123=DistributionZone)*('Network cost'!$C123=CustomerType)*('Network cost'!$E123=tariffType)*('Network cost'!P$5=Desc_FixedOrVar)*('Network cost'!$G123=Description),valuesFY),0)</f>
        <v>169.12299999999999</v>
      </c>
      <c r="Q123" s="574">
        <f>O123+P123*$F123/1000</f>
        <v>153.3479243481066</v>
      </c>
      <c r="R123" s="575">
        <f>IFERROR(Q123/Q126,"")</f>
        <v>9.6343607154570299E-2</v>
      </c>
      <c r="S123" s="483"/>
      <c r="T123" s="483"/>
      <c r="U123" s="575"/>
      <c r="V123" s="575"/>
      <c r="W123" s="575"/>
      <c r="X123" s="575"/>
      <c r="Y123" s="575"/>
      <c r="Z123" s="575"/>
      <c r="AA123" s="575"/>
      <c r="AB123" s="575"/>
      <c r="AC123" s="575"/>
      <c r="AD123" s="575"/>
      <c r="AE123" s="575"/>
      <c r="AF123" s="575"/>
      <c r="AG123" s="575"/>
      <c r="AH123" s="575"/>
      <c r="AI123" s="575"/>
      <c r="AJ123" s="575"/>
      <c r="AK123" s="575"/>
      <c r="AL123" s="575"/>
      <c r="AM123" s="575"/>
      <c r="AN123" s="575"/>
      <c r="AO123" s="575"/>
      <c r="AP123" s="575"/>
      <c r="AQ123" s="575"/>
    </row>
    <row r="124" spans="2:43" s="570" customFormat="1" x14ac:dyDescent="0.35">
      <c r="B124" s="570" t="str">
        <f t="shared" si="28"/>
        <v>Endeavour</v>
      </c>
      <c r="C124" s="570" t="str">
        <f t="shared" si="28"/>
        <v>Small business</v>
      </c>
      <c r="D124" s="570" t="str">
        <f t="shared" si="28"/>
        <v>time of use</v>
      </c>
      <c r="E124" s="570" t="s">
        <v>282</v>
      </c>
      <c r="F124" s="485" cm="1">
        <f t="array" ref="F124">_xlfn.XLOOKUP(1,($B124=DistributionZone)*('Network cost'!$C124=CustomerType)*('Network cost'!$D124=tariffL2)*($F$5=Description),valuesPY)*_xlfn.XLOOKUP(1,($B124=DistributionZone)*($C124=CustomerType)*('Network cost'!$D124=tariffL2)*($E124=tariffType)*("Usage proportion"=Description),valuesFY)</f>
        <v>2345.8721659952375</v>
      </c>
      <c r="G124" s="570" t="s">
        <v>57</v>
      </c>
      <c r="H124" s="574" cm="1">
        <f t="array" ref="H124">IFERROR(_xlfn.XLOOKUP(1,($B124=DistributionZone)*('Network cost'!$C124=CustomerType)*('Network cost'!$E124=tariffType)*('Network cost'!H$5=Desc_FixedOrVar)*('Network cost'!$G124=Description),valuesPY),0)*_xlfn.XLOOKUP(1,($B124=DistributionZone)*('Network cost'!$D124=tariffL2)*($E124=tariffType)*("Usage proportion"=Description),valuesPY)</f>
        <v>0</v>
      </c>
      <c r="I124" s="574" cm="1">
        <f t="array" ref="I124">IFERROR(_xlfn.XLOOKUP(1,($B124=DistributionZone)*('Network cost'!$C124=CustomerType)*('Network cost'!$E124=tariffType)*('Network cost'!I$5=Desc_FixedOrVar)*('Network cost'!$G124=Description),valuesPY),0)</f>
        <v>0</v>
      </c>
      <c r="J124" s="574">
        <f>H124+I124*F124/1000</f>
        <v>0</v>
      </c>
      <c r="K124" s="575" t="str">
        <f>IFERROR(J124/J126,"")</f>
        <v/>
      </c>
      <c r="L124" s="575"/>
      <c r="M124" s="575" t="str">
        <f t="shared" si="29"/>
        <v/>
      </c>
      <c r="N124" s="576"/>
      <c r="O124" s="574" cm="1">
        <f t="array" ref="O124">IFERROR(_xlfn.XLOOKUP(1,($B124=DistributionZone)*('Network cost'!$C124=CustomerType)*('Network cost'!$E124=tariffType)*('Network cost'!O$5=Desc_FixedOrVar)*('Network cost'!$G124=Description),valuesFY),0)*_xlfn.XLOOKUP(1,($B124=DistributionZone)*('Network cost'!$D124=tariffL2)*($E124=tariffType)*("Usage proportion"=Description),valuesFY)</f>
        <v>59.412951208075405</v>
      </c>
      <c r="P124" s="574" cm="1">
        <f t="array" ref="P124">IFERROR(_xlfn.XLOOKUP(1,($B124=DistributionZone)*('Network cost'!$C124=CustomerType)*('Network cost'!$E124=tariffType)*('Network cost'!P$5=Desc_FixedOrVar)*('Network cost'!$G124=Description),valuesFY),0)</f>
        <v>51.695999999999998</v>
      </c>
      <c r="Q124" s="574">
        <f>O124+P124*$F124/1000</f>
        <v>180.6851587013652</v>
      </c>
      <c r="R124" s="575">
        <f>IFERROR(Q124/Q126,"")</f>
        <v>0.11351871909963973</v>
      </c>
      <c r="S124" s="483"/>
      <c r="T124" s="483"/>
      <c r="U124" s="575"/>
      <c r="V124" s="575"/>
      <c r="W124" s="575"/>
      <c r="X124" s="575"/>
      <c r="Y124" s="575"/>
      <c r="Z124" s="575"/>
      <c r="AA124" s="575"/>
      <c r="AB124" s="575"/>
      <c r="AC124" s="575"/>
      <c r="AD124" s="575"/>
      <c r="AE124" s="575"/>
      <c r="AF124" s="575"/>
      <c r="AG124" s="575"/>
      <c r="AH124" s="575"/>
      <c r="AI124" s="575"/>
      <c r="AJ124" s="575"/>
      <c r="AK124" s="575"/>
      <c r="AL124" s="575"/>
      <c r="AM124" s="575"/>
      <c r="AN124" s="575"/>
      <c r="AO124" s="575"/>
      <c r="AP124" s="575"/>
      <c r="AQ124" s="575"/>
    </row>
    <row r="125" spans="2:43" s="570" customFormat="1" x14ac:dyDescent="0.35">
      <c r="B125" s="570" t="str">
        <f t="shared" si="28"/>
        <v>Endeavour</v>
      </c>
      <c r="C125" s="570" t="str">
        <f t="shared" si="28"/>
        <v>Small business</v>
      </c>
      <c r="D125" s="570" t="str">
        <f t="shared" si="28"/>
        <v>time of use</v>
      </c>
      <c r="E125" s="570" t="s">
        <v>272</v>
      </c>
      <c r="F125" s="485" cm="1">
        <f t="array" ref="F125">IFERROR(_xlfn.XLOOKUP(1,($B125=DistributionZone)*('Network cost'!$C125=CustomerType)*('Network cost'!$E125=tariffType)*('Network cost'!F$5=Description)*($D125=tariffL2),valuesFY),0)</f>
        <v>10000</v>
      </c>
      <c r="G125" s="570" t="s">
        <v>61</v>
      </c>
      <c r="H125" s="574" cm="1">
        <f t="array" ref="H125">IFERROR(_xlfn.XLOOKUP(1,($B125=DistributionZone)*('Network cost'!$C125=CustomerType)*('Network cost'!$E125=tariffType)*('Network cost'!H$5=Desc_FixedOrVar)*('Network cost'!$G125=Description),valuesPY),0)</f>
        <v>0</v>
      </c>
      <c r="I125" s="574" cm="1">
        <f t="array" ref="I125">IFERROR(_xlfn.XLOOKUP(1,($B125=DistributionZone)*('Network cost'!$C125=CustomerType)*('Network cost'!$E125=tariffType)*('Network cost'!I$5=Desc_FixedOrVar)*('Network cost'!$G125=Description),valuesPY),0)</f>
        <v>0</v>
      </c>
      <c r="J125" s="574">
        <f>H125+I125*F125/1000</f>
        <v>0</v>
      </c>
      <c r="K125" s="575" t="str">
        <f>IFERROR(J125/J126,"")</f>
        <v/>
      </c>
      <c r="L125" s="575"/>
      <c r="M125" s="575" t="str">
        <f t="shared" si="29"/>
        <v/>
      </c>
      <c r="N125" s="576"/>
      <c r="O125" s="574" cm="1">
        <f t="array" ref="O125">IFERROR(_xlfn.XLOOKUP(1,($B125=DistributionZone)*('Network cost'!$C125=CustomerType)*('Network cost'!$E125=tariffType)*('Network cost'!O$5=Desc_FixedOrVar)*('Network cost'!$G125=Description),valuesFY),0)</f>
        <v>13.293665000000001</v>
      </c>
      <c r="P125" s="574" cm="1">
        <f t="array" ref="P125">IFERROR(_xlfn.XLOOKUP(1,($B125=DistributionZone)*('Network cost'!$C125=CustomerType)*('Network cost'!$E125=tariffType)*('Network cost'!P$5=Desc_FixedOrVar)*('Network cost'!$G125=Description),valuesFY),0)</f>
        <v>0</v>
      </c>
      <c r="Q125" s="574">
        <f>O125+P125*$F$108/1000</f>
        <v>13.293665000000001</v>
      </c>
      <c r="R125" s="575">
        <f>IFERROR(Q125/Q126,"")</f>
        <v>8.3519854856142651E-3</v>
      </c>
      <c r="S125" s="575"/>
      <c r="T125" s="484"/>
      <c r="U125" s="575"/>
      <c r="V125" s="575"/>
      <c r="W125" s="575"/>
      <c r="X125" s="575"/>
      <c r="Y125" s="575"/>
      <c r="Z125" s="575"/>
      <c r="AA125" s="575"/>
      <c r="AB125" s="575"/>
      <c r="AC125" s="575"/>
      <c r="AD125" s="575"/>
      <c r="AE125" s="575"/>
      <c r="AF125" s="575"/>
      <c r="AG125" s="575"/>
      <c r="AH125" s="575"/>
      <c r="AI125" s="575"/>
      <c r="AJ125" s="575"/>
      <c r="AK125" s="575"/>
      <c r="AL125" s="575"/>
      <c r="AM125" s="575"/>
      <c r="AN125" s="575"/>
      <c r="AO125" s="575"/>
      <c r="AP125" s="575"/>
      <c r="AQ125" s="575"/>
    </row>
    <row r="126" spans="2:43" s="570" customFormat="1" x14ac:dyDescent="0.35">
      <c r="B126" s="570" t="str">
        <f t="shared" si="28"/>
        <v>Endeavour</v>
      </c>
      <c r="C126" s="570" t="str">
        <f t="shared" si="28"/>
        <v>Small business</v>
      </c>
      <c r="D126" s="570" t="str">
        <f t="shared" si="28"/>
        <v>time of use</v>
      </c>
      <c r="E126" s="570" t="s">
        <v>272</v>
      </c>
      <c r="F126" s="485" cm="1">
        <f t="array" ref="F126">IFERROR(_xlfn.XLOOKUP(1,($B126=DistributionZone)*('Network cost'!$C126=CustomerType)*('Network cost'!$E126=tariffType)*('Network cost'!F$5=Description)*($D126=tariffL2),valuesFY),0)</f>
        <v>10000</v>
      </c>
      <c r="G126" s="571" t="s">
        <v>55</v>
      </c>
      <c r="H126" s="577">
        <f>SUM(H121:H125)</f>
        <v>0</v>
      </c>
      <c r="I126" s="577">
        <f>SUM(I121:I125)</f>
        <v>0</v>
      </c>
      <c r="J126" s="577">
        <f>SUM(J121:J125)</f>
        <v>0</v>
      </c>
      <c r="K126" s="578"/>
      <c r="L126" s="579"/>
      <c r="M126" s="578" t="str">
        <f t="shared" si="29"/>
        <v/>
      </c>
      <c r="N126" s="580"/>
      <c r="O126" s="577">
        <f>SUM(O121:O125)</f>
        <v>360.91966499999995</v>
      </c>
      <c r="P126" s="577">
        <f>SUM(P121:P125)</f>
        <v>606.79200000000003</v>
      </c>
      <c r="Q126" s="577">
        <f>SUM(Q121:Q125)</f>
        <v>1591.6772153037678</v>
      </c>
      <c r="R126" s="575"/>
      <c r="S126" s="575"/>
      <c r="T126" s="484"/>
      <c r="U126" s="575"/>
      <c r="V126" s="575"/>
      <c r="W126" s="575"/>
      <c r="X126" s="575"/>
      <c r="Y126" s="575"/>
      <c r="Z126" s="575"/>
      <c r="AA126" s="575"/>
      <c r="AB126" s="575"/>
      <c r="AC126" s="575"/>
      <c r="AD126" s="575"/>
      <c r="AE126" s="575"/>
      <c r="AF126" s="575"/>
      <c r="AG126" s="575"/>
      <c r="AH126" s="575"/>
      <c r="AI126" s="575"/>
      <c r="AJ126" s="575"/>
      <c r="AK126" s="575"/>
      <c r="AL126" s="575"/>
      <c r="AM126" s="575"/>
      <c r="AN126" s="575"/>
      <c r="AO126" s="575"/>
      <c r="AP126" s="575"/>
      <c r="AQ126" s="575"/>
    </row>
    <row r="127" spans="2:43" s="570" customFormat="1" x14ac:dyDescent="0.35">
      <c r="B127" s="570" t="str">
        <f>B$106</f>
        <v>Endeavour</v>
      </c>
      <c r="C127" s="570" t="str">
        <f>C$106</f>
        <v>Small business</v>
      </c>
      <c r="D127" s="570" t="str">
        <f>D126</f>
        <v>time of use</v>
      </c>
      <c r="F127" s="485"/>
      <c r="G127" s="570" t="s">
        <v>38</v>
      </c>
      <c r="H127" s="574"/>
      <c r="I127" s="574"/>
      <c r="J127" s="574">
        <f>J126*GST</f>
        <v>0</v>
      </c>
      <c r="K127" s="575"/>
      <c r="L127" s="581"/>
      <c r="M127" s="575" t="str">
        <f t="shared" si="29"/>
        <v/>
      </c>
      <c r="N127" s="582"/>
      <c r="O127" s="574"/>
      <c r="P127" s="574"/>
      <c r="Q127" s="574">
        <f>Q126*GST</f>
        <v>159.16772153037678</v>
      </c>
      <c r="R127" s="575"/>
      <c r="S127" s="575"/>
      <c r="T127" s="484"/>
      <c r="U127" s="575"/>
      <c r="V127" s="575"/>
      <c r="W127" s="575"/>
      <c r="X127" s="575"/>
      <c r="Y127" s="575"/>
      <c r="Z127" s="575"/>
      <c r="AA127" s="575"/>
      <c r="AB127" s="575"/>
      <c r="AC127" s="575"/>
      <c r="AD127" s="575"/>
      <c r="AE127" s="575"/>
      <c r="AF127" s="575"/>
      <c r="AG127" s="575"/>
      <c r="AH127" s="575"/>
      <c r="AI127" s="575"/>
      <c r="AJ127" s="575"/>
      <c r="AK127" s="575"/>
      <c r="AL127" s="575"/>
      <c r="AM127" s="575"/>
      <c r="AN127" s="575"/>
      <c r="AO127" s="575"/>
      <c r="AP127" s="575"/>
      <c r="AQ127" s="575"/>
    </row>
    <row r="128" spans="2:43" s="570" customFormat="1" x14ac:dyDescent="0.35">
      <c r="B128" s="570" t="str">
        <f>B$106</f>
        <v>Endeavour</v>
      </c>
      <c r="C128" s="570" t="str">
        <f>C$106</f>
        <v>Small business</v>
      </c>
      <c r="D128" s="570" t="str">
        <f>D127</f>
        <v>time of use</v>
      </c>
      <c r="E128" s="570" t="s">
        <v>272</v>
      </c>
      <c r="F128" s="485"/>
      <c r="G128" s="571" t="s">
        <v>79</v>
      </c>
      <c r="H128" s="577"/>
      <c r="I128" s="577"/>
      <c r="J128" s="577">
        <f>SUM(J126:J127)</f>
        <v>0</v>
      </c>
      <c r="K128" s="578"/>
      <c r="L128" s="579"/>
      <c r="M128" s="578" t="str">
        <f t="shared" si="29"/>
        <v/>
      </c>
      <c r="N128" s="580"/>
      <c r="O128" s="577"/>
      <c r="P128" s="577"/>
      <c r="Q128" s="577">
        <f>SUM(Q126:Q127)</f>
        <v>1750.8449368341446</v>
      </c>
      <c r="R128" s="578"/>
      <c r="S128" s="578"/>
      <c r="T128" s="484"/>
      <c r="U128" s="578"/>
      <c r="V128" s="578"/>
      <c r="W128" s="578"/>
      <c r="X128" s="578"/>
      <c r="Y128" s="578"/>
      <c r="Z128" s="578"/>
      <c r="AA128" s="578"/>
      <c r="AB128" s="578"/>
      <c r="AC128" s="578"/>
      <c r="AD128" s="578"/>
      <c r="AE128" s="578"/>
      <c r="AF128" s="578"/>
      <c r="AG128" s="578"/>
      <c r="AH128" s="578"/>
      <c r="AI128" s="578"/>
      <c r="AJ128" s="578"/>
      <c r="AK128" s="578"/>
      <c r="AL128" s="578"/>
      <c r="AM128" s="578"/>
      <c r="AN128" s="578"/>
      <c r="AO128" s="578"/>
      <c r="AP128" s="578"/>
      <c r="AQ128" s="578"/>
    </row>
    <row r="129" spans="2:43" x14ac:dyDescent="0.35">
      <c r="F129" s="258"/>
      <c r="H129" s="482"/>
      <c r="I129" s="482"/>
      <c r="J129" s="482"/>
      <c r="K129" s="484"/>
      <c r="L129" s="567"/>
      <c r="M129" s="484"/>
      <c r="N129" s="568"/>
      <c r="O129" s="482"/>
      <c r="P129" s="482"/>
      <c r="Q129" s="482"/>
      <c r="R129" s="484"/>
      <c r="S129" s="484"/>
      <c r="T129" s="484"/>
      <c r="U129" s="484"/>
      <c r="V129" s="484"/>
      <c r="W129" s="484"/>
      <c r="X129" s="484"/>
      <c r="Y129" s="484"/>
      <c r="Z129" s="484"/>
      <c r="AA129" s="484"/>
      <c r="AB129" s="484"/>
      <c r="AC129" s="484"/>
      <c r="AD129" s="484"/>
      <c r="AE129" s="484"/>
      <c r="AF129" s="484"/>
      <c r="AG129" s="484"/>
      <c r="AH129" s="484"/>
      <c r="AI129" s="484"/>
      <c r="AJ129" s="484"/>
      <c r="AK129" s="484"/>
      <c r="AL129" s="484"/>
      <c r="AM129" s="484"/>
      <c r="AN129" s="484"/>
      <c r="AO129" s="484"/>
      <c r="AP129" s="484"/>
      <c r="AQ129" s="484"/>
    </row>
    <row r="130" spans="2:43" s="749" customFormat="1" x14ac:dyDescent="0.35">
      <c r="B130" s="748" t="s">
        <v>4</v>
      </c>
      <c r="C130" s="748" t="s">
        <v>13</v>
      </c>
      <c r="D130" s="748" t="s">
        <v>276</v>
      </c>
      <c r="F130" s="750"/>
      <c r="H130" s="751"/>
      <c r="I130" s="751"/>
      <c r="J130" s="751"/>
      <c r="K130" s="752"/>
      <c r="L130" s="757"/>
      <c r="M130" s="752" t="str">
        <f>IF(OR(J130=0,Q130=""),"",Q130/J130-1)</f>
        <v/>
      </c>
      <c r="N130" s="758"/>
      <c r="O130" s="751"/>
      <c r="P130" s="751"/>
      <c r="Q130" s="751"/>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752"/>
      <c r="AN130" s="752"/>
      <c r="AO130" s="752"/>
      <c r="AP130" s="752"/>
      <c r="AQ130" s="752"/>
    </row>
    <row r="131" spans="2:43" s="749" customFormat="1" x14ac:dyDescent="0.35">
      <c r="B131" s="749" t="str">
        <f t="shared" ref="B131:D135" si="30">B$67</f>
        <v>Endeavour</v>
      </c>
      <c r="C131" s="749" t="str">
        <f>C$130</f>
        <v>Small business</v>
      </c>
      <c r="D131" s="749" t="str">
        <f>D$67</f>
        <v>flat rate</v>
      </c>
      <c r="E131" s="749" t="s">
        <v>19</v>
      </c>
      <c r="F131" s="750" cm="1">
        <f t="array" ref="F131">IFERROR(_xlfn.XLOOKUP(1,($B131=DistributionZone)*('Network cost'!$C131=CustomerType)*('Network cost'!$E131=tariffType)*('Network cost'!F$5=Description),valuesFY),0)</f>
        <v>10000</v>
      </c>
      <c r="G131" s="749" t="s">
        <v>57</v>
      </c>
      <c r="H131" s="751" cm="1">
        <f t="array" ref="H131">IFERROR(_xlfn.XLOOKUP(1,($B131=DistributionZone)*('Network cost'!$C131=CustomerType)*('Network cost'!$E131=tariffType)*('Network cost'!H$5=Desc_FixedOrVar)*('Network cost'!$G131=Description),valuesPY),0)</f>
        <v>311.63699999999994</v>
      </c>
      <c r="I131" s="751" cm="1">
        <f t="array" ref="I131">IFERROR(_xlfn.XLOOKUP(1,($B131=DistributionZone)*('Network cost'!$C131=CustomerType)*('Network cost'!$E131=tariffType)*('Network cost'!I$5=Desc_FixedOrVar)*('Network cost'!$G131=Description),valuesPY),0)</f>
        <v>112.803</v>
      </c>
      <c r="J131" s="751">
        <f>H131+I131*F131/1000</f>
        <v>1439.6669999999999</v>
      </c>
      <c r="K131" s="752">
        <f>IFERROR(J131/J133,"")</f>
        <v>0.99128667477253918</v>
      </c>
      <c r="L131" s="752"/>
      <c r="M131" s="752">
        <f>IF(OR(J131=0,J131="",Q131=""),"",Q131/J131-1)</f>
        <v>0.10651569526993687</v>
      </c>
      <c r="N131" s="753"/>
      <c r="O131" s="751">
        <f>SUM((O107*End_SB_flat_proportion),(O121*End_SB_tou_proportion),(O122*End_SB_tou_proportion),(O123*End_SB_tou_proportion),(O124*End_SB_tou_proportion))</f>
        <v>347.62599999999998</v>
      </c>
      <c r="P131" s="751">
        <f>SUM((P107*End_SB_flat_proportion),(P121*End_SB_tou_proportion*F121/F126),(P122*End_SB_tou_proportion*F122/F126),(P123*End_SB_tou_proportion*F123/F126),(P124*End_SB_tou_proportion*F124/F126))</f>
        <v>124.53881314621842</v>
      </c>
      <c r="Q131" s="751">
        <f>O131+P131*$F131/1000</f>
        <v>1593.0141314621842</v>
      </c>
      <c r="R131" s="752">
        <f>IFERROR(Q131/Q133,"")</f>
        <v>0.99172408611271223</v>
      </c>
      <c r="S131" s="752"/>
      <c r="T131" s="752"/>
      <c r="U131" s="752"/>
      <c r="V131" s="752"/>
      <c r="W131" s="752"/>
      <c r="X131" s="752"/>
      <c r="Y131" s="752"/>
      <c r="Z131" s="752"/>
      <c r="AA131" s="752"/>
      <c r="AB131" s="752"/>
      <c r="AC131" s="752"/>
      <c r="AD131" s="752"/>
      <c r="AE131" s="752"/>
      <c r="AF131" s="752"/>
      <c r="AG131" s="752"/>
      <c r="AH131" s="752"/>
      <c r="AI131" s="752"/>
      <c r="AJ131" s="752"/>
      <c r="AK131" s="752"/>
      <c r="AL131" s="752"/>
      <c r="AM131" s="752"/>
      <c r="AN131" s="752"/>
      <c r="AO131" s="752"/>
      <c r="AP131" s="752"/>
      <c r="AQ131" s="752"/>
    </row>
    <row r="132" spans="2:43" s="749" customFormat="1" x14ac:dyDescent="0.35">
      <c r="B132" s="749" t="str">
        <f t="shared" si="30"/>
        <v>Endeavour</v>
      </c>
      <c r="C132" s="749" t="str">
        <f t="shared" ref="C132:C135" si="31">C$130</f>
        <v>Small business</v>
      </c>
      <c r="D132" s="749" t="str">
        <f t="shared" si="30"/>
        <v>flat rate</v>
      </c>
      <c r="E132" s="749" t="s">
        <v>19</v>
      </c>
      <c r="F132" s="750" cm="1">
        <f t="array" ref="F132">IFERROR(_xlfn.XLOOKUP(1,($B132=DistributionZone)*('Network cost'!$C132=CustomerType)*('Network cost'!$E132=tariffType)*('Network cost'!F$5=Description),valuesFY),0)</f>
        <v>10000</v>
      </c>
      <c r="G132" s="749" t="s">
        <v>61</v>
      </c>
      <c r="H132" s="751" cm="1">
        <f t="array" ref="H132">IFERROR(_xlfn.XLOOKUP(1,($B132=DistributionZone)*('Network cost'!$C132=CustomerType)*('Network cost'!$E132=tariffType)*('Network cost'!H$5=Desc_FixedOrVar)*('Network cost'!$G132=Description),valuesPY),0)</f>
        <v>12.65455</v>
      </c>
      <c r="I132" s="751" cm="1">
        <f t="array" ref="I132">IFERROR(_xlfn.XLOOKUP(1,($B132=DistributionZone)*('Network cost'!$C132=CustomerType)*('Network cost'!$E132=tariffType)*('Network cost'!I$5=Desc_FixedOrVar)*('Network cost'!$G132=Description),valuesPY),0)</f>
        <v>0</v>
      </c>
      <c r="J132" s="751">
        <f>H132+I132*F132/1000</f>
        <v>12.65455</v>
      </c>
      <c r="K132" s="752">
        <f>IFERROR(J132/J133,"")</f>
        <v>8.7133252274608202E-3</v>
      </c>
      <c r="L132" s="752"/>
      <c r="M132" s="752">
        <f>IF(OR(J132=0,J132="",Q132=""),"",Q132/J132-1)</f>
        <v>5.0504759157773416E-2</v>
      </c>
      <c r="N132" s="753"/>
      <c r="O132" s="751">
        <f>SUM((O108*End_SB_flat_proportion),(O125*End_SB_tou_proportion))</f>
        <v>13.293665000000001</v>
      </c>
      <c r="P132" s="751">
        <f>SUM((P108*End_SB_flat_proportion),(P125*End_SB_tou_proportion))</f>
        <v>0</v>
      </c>
      <c r="Q132" s="751">
        <f>O132+P132*$F$69/1000</f>
        <v>13.293665000000001</v>
      </c>
      <c r="R132" s="752">
        <f>IFERROR(Q132/Q133,"")</f>
        <v>8.2759138872877669E-3</v>
      </c>
      <c r="S132" s="752"/>
      <c r="T132" s="752"/>
      <c r="U132" s="752"/>
      <c r="V132" s="752"/>
      <c r="W132" s="752"/>
      <c r="X132" s="752"/>
      <c r="Y132" s="752"/>
      <c r="Z132" s="752"/>
      <c r="AA132" s="752"/>
      <c r="AB132" s="752"/>
      <c r="AC132" s="752"/>
      <c r="AD132" s="752"/>
      <c r="AE132" s="752"/>
      <c r="AF132" s="752"/>
      <c r="AG132" s="752"/>
      <c r="AH132" s="752"/>
      <c r="AI132" s="752"/>
      <c r="AJ132" s="752"/>
      <c r="AK132" s="752"/>
      <c r="AL132" s="752"/>
      <c r="AM132" s="752"/>
      <c r="AN132" s="752"/>
      <c r="AO132" s="752"/>
      <c r="AP132" s="752"/>
      <c r="AQ132" s="752"/>
    </row>
    <row r="133" spans="2:43" s="749" customFormat="1" x14ac:dyDescent="0.35">
      <c r="B133" s="749" t="str">
        <f t="shared" si="30"/>
        <v>Endeavour</v>
      </c>
      <c r="C133" s="749" t="str">
        <f t="shared" si="31"/>
        <v>Small business</v>
      </c>
      <c r="D133" s="749" t="str">
        <f t="shared" si="30"/>
        <v>flat rate</v>
      </c>
      <c r="E133" s="749" t="s">
        <v>396</v>
      </c>
      <c r="F133" s="750">
        <f>F132</f>
        <v>10000</v>
      </c>
      <c r="G133" s="748" t="s">
        <v>55</v>
      </c>
      <c r="H133" s="754">
        <f>SUM(H131:H132)</f>
        <v>324.29154999999992</v>
      </c>
      <c r="I133" s="754">
        <f t="shared" ref="I133:J133" si="32">SUM(I131:I132)</f>
        <v>112.803</v>
      </c>
      <c r="J133" s="754">
        <f t="shared" si="32"/>
        <v>1452.3215499999999</v>
      </c>
      <c r="K133" s="747"/>
      <c r="L133" s="755"/>
      <c r="M133" s="747">
        <f>IF(OR(J133=0,J133="",Q133=""),"",Q133/J133-1)</f>
        <v>0.10602765376729706</v>
      </c>
      <c r="N133" s="756"/>
      <c r="O133" s="754">
        <f>+O132+O131</f>
        <v>360.91966499999995</v>
      </c>
      <c r="P133" s="754">
        <f>SUM(P131:P132)</f>
        <v>124.53881314621842</v>
      </c>
      <c r="Q133" s="754">
        <f>SUM(Q131:Q132)</f>
        <v>1606.3077964621841</v>
      </c>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c r="AM133" s="752"/>
      <c r="AN133" s="752"/>
      <c r="AO133" s="752"/>
      <c r="AP133" s="752"/>
      <c r="AQ133" s="752"/>
    </row>
    <row r="134" spans="2:43" s="749" customFormat="1" x14ac:dyDescent="0.35">
      <c r="B134" s="749" t="str">
        <f t="shared" si="30"/>
        <v>Endeavour</v>
      </c>
      <c r="C134" s="749" t="str">
        <f t="shared" si="31"/>
        <v>Small business</v>
      </c>
      <c r="D134" s="749" t="str">
        <f t="shared" si="30"/>
        <v>flat rate</v>
      </c>
      <c r="F134" s="750"/>
      <c r="G134" s="749" t="s">
        <v>38</v>
      </c>
      <c r="H134" s="751"/>
      <c r="I134" s="751"/>
      <c r="J134" s="751">
        <f>J133*GST</f>
        <v>145.23215500000001</v>
      </c>
      <c r="K134" s="752"/>
      <c r="L134" s="757"/>
      <c r="M134" s="752">
        <f>IF(OR(J134=0,J134="",Q134=""),"",Q134/J134-1)</f>
        <v>0.10602765376729706</v>
      </c>
      <c r="N134" s="758"/>
      <c r="O134" s="751"/>
      <c r="P134" s="751"/>
      <c r="Q134" s="751">
        <f>Q133*GST</f>
        <v>160.63077964621843</v>
      </c>
      <c r="R134" s="752"/>
      <c r="S134" s="752"/>
      <c r="T134" s="752"/>
      <c r="U134" s="752"/>
      <c r="V134" s="752"/>
      <c r="W134" s="752"/>
      <c r="X134" s="752"/>
      <c r="Y134" s="752"/>
      <c r="Z134" s="752"/>
      <c r="AA134" s="752"/>
      <c r="AB134" s="752"/>
      <c r="AC134" s="752"/>
      <c r="AD134" s="752"/>
      <c r="AE134" s="752"/>
      <c r="AF134" s="752"/>
      <c r="AG134" s="752"/>
      <c r="AH134" s="752"/>
      <c r="AI134" s="752"/>
      <c r="AJ134" s="752"/>
      <c r="AK134" s="752"/>
      <c r="AL134" s="752"/>
      <c r="AM134" s="752"/>
      <c r="AN134" s="752"/>
      <c r="AO134" s="752"/>
      <c r="AP134" s="752"/>
      <c r="AQ134" s="752"/>
    </row>
    <row r="135" spans="2:43" s="749" customFormat="1" x14ac:dyDescent="0.35">
      <c r="B135" s="749" t="str">
        <f t="shared" si="30"/>
        <v>Endeavour</v>
      </c>
      <c r="C135" s="749" t="str">
        <f t="shared" si="31"/>
        <v>Small business</v>
      </c>
      <c r="D135" s="749" t="str">
        <f t="shared" si="30"/>
        <v>flat rate</v>
      </c>
      <c r="E135" s="749" t="s">
        <v>396</v>
      </c>
      <c r="F135" s="750"/>
      <c r="G135" s="748" t="s">
        <v>79</v>
      </c>
      <c r="H135" s="754"/>
      <c r="I135" s="754"/>
      <c r="J135" s="754">
        <f>SUM(J133:J134)</f>
        <v>1597.5537049999998</v>
      </c>
      <c r="K135" s="747"/>
      <c r="L135" s="755"/>
      <c r="M135" s="747">
        <f>IF(OR(J135=0,J135="",Q135=""),"",Q135/J135-1)</f>
        <v>0.10602765376729706</v>
      </c>
      <c r="N135" s="756"/>
      <c r="O135" s="754"/>
      <c r="P135" s="754"/>
      <c r="Q135" s="754">
        <f>SUM(Q133:Q134)</f>
        <v>1766.9385761084025</v>
      </c>
      <c r="R135" s="747"/>
      <c r="S135" s="747"/>
      <c r="T135" s="752"/>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row>
    <row r="136" spans="2:43" s="749" customFormat="1" x14ac:dyDescent="0.35">
      <c r="F136" s="750"/>
      <c r="H136" s="751"/>
      <c r="I136" s="751"/>
      <c r="J136" s="751"/>
      <c r="K136" s="752"/>
      <c r="L136" s="757"/>
      <c r="M136" s="752"/>
      <c r="N136" s="758"/>
      <c r="O136" s="751"/>
      <c r="P136" s="751"/>
      <c r="Q136" s="751"/>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row>
    <row r="137" spans="2:43" s="749" customFormat="1" x14ac:dyDescent="0.35">
      <c r="B137" s="748" t="s">
        <v>4</v>
      </c>
      <c r="C137" s="748" t="s">
        <v>13</v>
      </c>
      <c r="D137" s="748" t="s">
        <v>400</v>
      </c>
      <c r="E137" s="64" t="s">
        <v>401</v>
      </c>
      <c r="F137" s="750"/>
      <c r="H137" s="751"/>
      <c r="I137" s="751"/>
      <c r="J137" s="751"/>
      <c r="K137" s="752"/>
      <c r="L137" s="757"/>
      <c r="M137" s="752" t="str">
        <f>IF(OR(J137=0,Q137=""),"",Q137/J137-1)</f>
        <v/>
      </c>
      <c r="N137" s="758"/>
      <c r="O137" s="751"/>
      <c r="P137" s="751"/>
      <c r="Q137" s="751"/>
      <c r="R137" s="752"/>
      <c r="S137" s="752"/>
      <c r="T137" s="752"/>
      <c r="U137" s="752"/>
      <c r="V137" s="752"/>
      <c r="W137" s="752"/>
      <c r="X137" s="752"/>
      <c r="Y137" s="752"/>
      <c r="Z137" s="752"/>
      <c r="AA137" s="752"/>
      <c r="AB137" s="752"/>
      <c r="AC137" s="752"/>
      <c r="AD137" s="752"/>
      <c r="AE137" s="752"/>
      <c r="AF137" s="752"/>
      <c r="AG137" s="752"/>
      <c r="AH137" s="752"/>
      <c r="AI137" s="752"/>
      <c r="AJ137" s="752"/>
      <c r="AK137" s="752"/>
      <c r="AL137" s="752"/>
      <c r="AM137" s="752"/>
      <c r="AN137" s="752"/>
      <c r="AO137" s="752"/>
      <c r="AP137" s="752"/>
      <c r="AQ137" s="752"/>
    </row>
    <row r="138" spans="2:43" s="749" customFormat="1" x14ac:dyDescent="0.35">
      <c r="B138" s="749" t="str">
        <f t="shared" ref="B138:D142" si="33">B$67</f>
        <v>Endeavour</v>
      </c>
      <c r="C138" s="749" t="str">
        <f>C$130</f>
        <v>Small business</v>
      </c>
      <c r="D138" s="749" t="s">
        <v>400</v>
      </c>
      <c r="E138" s="30" t="s">
        <v>401</v>
      </c>
      <c r="F138" s="750" cm="1">
        <f t="array" ref="F138">IFERROR(_xlfn.XLOOKUP(1,($B138=DistributionZone)*('Network cost'!$C138=CustomerType)*('Network cost'!$E138=tariffType)*('Network cost'!F$5=Description),valuesFY),0)</f>
        <v>0</v>
      </c>
      <c r="G138" s="749" t="s">
        <v>57</v>
      </c>
      <c r="H138" s="751" cm="1">
        <f t="array" ref="H138">IFERROR(_xlfn.XLOOKUP(1,($B138=DistributionZone)*('Network cost'!$C138=CustomerType)*('Network cost'!$E138=tariffType)*('Network cost'!H$5=Desc_FixedOrVar)*('Network cost'!$G138=Description),valuesPY),0)</f>
        <v>0</v>
      </c>
      <c r="I138" s="751" cm="1">
        <f t="array" ref="I138">IFERROR(_xlfn.XLOOKUP(1,($B138=DistributionZone)*('Network cost'!$C138=CustomerType)*('Network cost'!$E138=tariffType)*('Network cost'!I$5=Desc_FixedOrVar)*('Network cost'!$G138=Description),valuesPY),0)</f>
        <v>0</v>
      </c>
      <c r="J138" s="751">
        <f>H138+I138*F138/1000</f>
        <v>0</v>
      </c>
      <c r="K138" s="752" t="str">
        <f>IFERROR(J138/J140,"")</f>
        <v/>
      </c>
      <c r="L138" s="752"/>
      <c r="M138" s="752" t="str">
        <f>IF(OR(J138=0,J138="",Q138=""),"",Q138/J138-1)</f>
        <v/>
      </c>
      <c r="N138" s="753"/>
      <c r="O138" s="751">
        <v>0</v>
      </c>
      <c r="P138" s="751">
        <f>SUM((P114*End_SB_flat_proportion),(P121*End_SB_tou_proportion*F121/F126),(P122*End_SB_tou_proportion*F122/F126),(P123*End_SB_tou_proportion*F123/F126),(P124*End_SB_tou_proportion*F124/F126))</f>
        <v>137.84557645139225</v>
      </c>
      <c r="Q138" s="751">
        <f>O138+P138*$F138/1000</f>
        <v>0</v>
      </c>
      <c r="R138" s="752" t="str">
        <f>IFERROR(Q138/Q140,"")</f>
        <v/>
      </c>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row>
    <row r="139" spans="2:43" s="749" customFormat="1" x14ac:dyDescent="0.35">
      <c r="B139" s="749" t="str">
        <f t="shared" si="33"/>
        <v>Endeavour</v>
      </c>
      <c r="C139" s="749" t="str">
        <f t="shared" ref="C139:C142" si="34">C$130</f>
        <v>Small business</v>
      </c>
      <c r="D139" s="749" t="s">
        <v>400</v>
      </c>
      <c r="E139" s="30" t="s">
        <v>401</v>
      </c>
      <c r="F139" s="750" cm="1">
        <f t="array" ref="F139">IFERROR(_xlfn.XLOOKUP(1,($B139=DistributionZone)*('Network cost'!$C139=CustomerType)*('Network cost'!$E139=tariffType)*('Network cost'!F$5=Description),valuesFY),0)</f>
        <v>0</v>
      </c>
      <c r="G139" s="749" t="s">
        <v>61</v>
      </c>
      <c r="H139" s="751" cm="1">
        <f t="array" ref="H139">IFERROR(_xlfn.XLOOKUP(1,($B139=DistributionZone)*('Network cost'!$C139=CustomerType)*('Network cost'!$E139=tariffType)*('Network cost'!H$5=Desc_FixedOrVar)*('Network cost'!$G139=Description),valuesPY),0)</f>
        <v>0</v>
      </c>
      <c r="I139" s="751" cm="1">
        <f t="array" ref="I139">IFERROR(_xlfn.XLOOKUP(1,($B139=DistributionZone)*('Network cost'!$C139=CustomerType)*('Network cost'!$E139=tariffType)*('Network cost'!I$5=Desc_FixedOrVar)*('Network cost'!$G139=Description),valuesPY),0)</f>
        <v>0</v>
      </c>
      <c r="J139" s="751">
        <f>H139+I139*F139/1000</f>
        <v>0</v>
      </c>
      <c r="K139" s="752" t="str">
        <f>IFERROR(J139/J140,"")</f>
        <v/>
      </c>
      <c r="L139" s="752"/>
      <c r="M139" s="752" t="str">
        <f>IF(OR(J139=0,J139="",Q139=""),"",Q139/J139-1)</f>
        <v/>
      </c>
      <c r="N139" s="753"/>
      <c r="O139" s="751">
        <v>0</v>
      </c>
      <c r="P139" s="751">
        <f>SUM((P115*End_SB_flat_proportion),(P125*End_SB_tou_proportion))</f>
        <v>0</v>
      </c>
      <c r="Q139" s="751">
        <f>O139+P139*$F$69/1000</f>
        <v>0</v>
      </c>
      <c r="R139" s="752" t="str">
        <f>IFERROR(Q139/Q140,"")</f>
        <v/>
      </c>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row>
    <row r="140" spans="2:43" s="749" customFormat="1" x14ac:dyDescent="0.35">
      <c r="B140" s="749" t="str">
        <f t="shared" si="33"/>
        <v>Endeavour</v>
      </c>
      <c r="C140" s="749" t="str">
        <f t="shared" si="34"/>
        <v>Small business</v>
      </c>
      <c r="D140" s="30" t="s">
        <v>400</v>
      </c>
      <c r="E140" s="30" t="s">
        <v>401</v>
      </c>
      <c r="F140" s="750">
        <f>F139</f>
        <v>0</v>
      </c>
      <c r="G140" s="748" t="s">
        <v>55</v>
      </c>
      <c r="H140" s="754">
        <f>SUM(H138:H139)</f>
        <v>0</v>
      </c>
      <c r="I140" s="754">
        <f t="shared" ref="I140:J140" si="35">SUM(I138:I139)</f>
        <v>0</v>
      </c>
      <c r="J140" s="754">
        <f t="shared" si="35"/>
        <v>0</v>
      </c>
      <c r="K140" s="747"/>
      <c r="L140" s="755"/>
      <c r="M140" s="747" t="str">
        <f>IF(OR(J140=0,J140="",Q140=""),"",Q140/J140-1)</f>
        <v/>
      </c>
      <c r="N140" s="756"/>
      <c r="O140" s="754">
        <f>+O139+O138</f>
        <v>0</v>
      </c>
      <c r="P140" s="754">
        <f>SUM(P138:P139)</f>
        <v>137.84557645139225</v>
      </c>
      <c r="Q140" s="754">
        <f>SUM(Q138:Q139)</f>
        <v>0</v>
      </c>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row>
    <row r="141" spans="2:43" s="749" customFormat="1" x14ac:dyDescent="0.35">
      <c r="B141" s="749" t="str">
        <f t="shared" si="33"/>
        <v>Endeavour</v>
      </c>
      <c r="C141" s="749" t="str">
        <f t="shared" si="34"/>
        <v>Small business</v>
      </c>
      <c r="E141" s="30"/>
      <c r="F141" s="750"/>
      <c r="G141" s="749" t="s">
        <v>38</v>
      </c>
      <c r="H141" s="751"/>
      <c r="I141" s="751"/>
      <c r="J141" s="751">
        <f>J140*GST</f>
        <v>0</v>
      </c>
      <c r="K141" s="752"/>
      <c r="L141" s="757"/>
      <c r="M141" s="752" t="str">
        <f>IF(OR(J141=0,J141="",Q141=""),"",Q141/J141-1)</f>
        <v/>
      </c>
      <c r="N141" s="758"/>
      <c r="O141" s="751"/>
      <c r="P141" s="751"/>
      <c r="Q141" s="751">
        <f>Q140*GST</f>
        <v>0</v>
      </c>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row>
    <row r="142" spans="2:43" s="749" customFormat="1" x14ac:dyDescent="0.35">
      <c r="B142" s="749" t="str">
        <f t="shared" si="33"/>
        <v>Endeavour</v>
      </c>
      <c r="C142" s="749" t="str">
        <f t="shared" si="34"/>
        <v>Small business</v>
      </c>
      <c r="D142" s="749" t="str">
        <f t="shared" si="33"/>
        <v>flat rate</v>
      </c>
      <c r="E142" s="749" t="s">
        <v>396</v>
      </c>
      <c r="F142" s="750"/>
      <c r="G142" s="748" t="s">
        <v>79</v>
      </c>
      <c r="H142" s="754"/>
      <c r="I142" s="754"/>
      <c r="J142" s="754">
        <f>SUM(J140:J141)</f>
        <v>0</v>
      </c>
      <c r="K142" s="747"/>
      <c r="L142" s="755"/>
      <c r="M142" s="747" t="str">
        <f>IF(OR(J142=0,J142="",Q142=""),"",Q142/J142-1)</f>
        <v/>
      </c>
      <c r="N142" s="756"/>
      <c r="O142" s="754"/>
      <c r="P142" s="754"/>
      <c r="Q142" s="754">
        <f>SUM(Q140:Q141)</f>
        <v>0</v>
      </c>
      <c r="R142" s="747"/>
      <c r="S142" s="747"/>
      <c r="T142" s="752"/>
      <c r="U142" s="747"/>
      <c r="V142" s="747"/>
      <c r="W142" s="747"/>
      <c r="X142" s="747"/>
      <c r="Y142" s="747"/>
      <c r="Z142" s="747"/>
      <c r="AA142" s="747"/>
      <c r="AB142" s="747"/>
      <c r="AC142" s="747"/>
      <c r="AD142" s="747"/>
      <c r="AE142" s="747"/>
      <c r="AF142" s="747"/>
      <c r="AG142" s="747"/>
      <c r="AH142" s="747"/>
      <c r="AI142" s="747"/>
      <c r="AJ142" s="747"/>
      <c r="AK142" s="747"/>
      <c r="AL142" s="747"/>
      <c r="AM142" s="747"/>
      <c r="AN142" s="747"/>
      <c r="AO142" s="747"/>
      <c r="AP142" s="747"/>
      <c r="AQ142" s="747"/>
    </row>
    <row r="143" spans="2:43" s="749" customFormat="1" x14ac:dyDescent="0.35">
      <c r="F143" s="750"/>
      <c r="H143" s="751"/>
      <c r="I143" s="751"/>
      <c r="J143" s="751"/>
      <c r="K143" s="752"/>
      <c r="L143" s="757"/>
      <c r="M143" s="752"/>
      <c r="N143" s="758"/>
      <c r="O143" s="751"/>
      <c r="P143" s="751"/>
      <c r="Q143" s="751"/>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row>
    <row r="144" spans="2:43" x14ac:dyDescent="0.35">
      <c r="B144" s="64" t="s">
        <v>3</v>
      </c>
      <c r="C144" s="64" t="s">
        <v>6</v>
      </c>
      <c r="D144" s="64" t="s">
        <v>276</v>
      </c>
      <c r="F144" s="258"/>
      <c r="H144" s="482"/>
      <c r="I144" s="482"/>
      <c r="J144" s="482"/>
      <c r="K144" s="484"/>
      <c r="L144" s="484"/>
      <c r="M144" s="484"/>
      <c r="N144" s="563"/>
      <c r="O144" s="482"/>
      <c r="P144" s="482"/>
      <c r="Q144" s="482"/>
      <c r="R144" s="484"/>
      <c r="S144" s="484"/>
      <c r="T144" s="484"/>
      <c r="U144" s="484"/>
      <c r="V144" s="484"/>
      <c r="W144" s="484"/>
      <c r="X144" s="484"/>
      <c r="Y144" s="484"/>
      <c r="Z144" s="484"/>
      <c r="AA144" s="484"/>
      <c r="AB144" s="484"/>
      <c r="AC144" s="484"/>
      <c r="AD144" s="484"/>
      <c r="AE144" s="484"/>
      <c r="AF144" s="484"/>
      <c r="AG144" s="484"/>
      <c r="AH144" s="484"/>
      <c r="AI144" s="484"/>
      <c r="AJ144" s="484"/>
      <c r="AK144" s="484"/>
      <c r="AL144" s="484"/>
      <c r="AM144" s="484"/>
      <c r="AN144" s="484"/>
      <c r="AO144" s="484"/>
      <c r="AP144" s="484"/>
      <c r="AQ144" s="484"/>
    </row>
    <row r="145" spans="2:43" x14ac:dyDescent="0.35">
      <c r="B145" s="30" t="str">
        <f t="shared" ref="B145:D149" si="36">B$144</f>
        <v>Essential</v>
      </c>
      <c r="C145" s="30" t="str">
        <f t="shared" si="36"/>
        <v>Residential</v>
      </c>
      <c r="D145" s="30" t="str">
        <f>D$144</f>
        <v>flat rate</v>
      </c>
      <c r="E145" s="30" t="s">
        <v>19</v>
      </c>
      <c r="F145" s="258" cm="1">
        <f t="array" ref="F145">IFERROR(_xlfn.XLOOKUP(1,($B145=DistributionZone)*('Network cost'!$C145=CustomerType)*('Network cost'!$E145=tariffType)*('Network cost'!F$5=Description)*($D145=tariffL2),valuesFY),0)</f>
        <v>4600</v>
      </c>
      <c r="G145" s="30" t="s">
        <v>57</v>
      </c>
      <c r="H145" s="482" cm="1">
        <f t="array" ref="H145">IFERROR(_xlfn.XLOOKUP(1,($B145=DistributionZone)*('Network cost'!$C145=CustomerType)*('Network cost'!$E145=tariffType)*('Network cost'!H$5=Desc_FixedOrVar)*('Network cost'!$G145=Description),valuesPY),0)</f>
        <v>440.68497988884502</v>
      </c>
      <c r="I145" s="482" cm="1">
        <f t="array" ref="I145">IFERROR(_xlfn.XLOOKUP(1,($B145=DistributionZone)*('Network cost'!$C145=CustomerType)*('Network cost'!$E145=tariffType)*('Network cost'!I$5=Desc_FixedOrVar)*('Network cost'!$G145=Description),valuesPY),0)</f>
        <v>137.527253661571</v>
      </c>
      <c r="J145" s="482">
        <f>H145+I145*F145/1000</f>
        <v>1073.3103467320716</v>
      </c>
      <c r="K145" s="484">
        <f>IFERROR(J145/J147,"")</f>
        <v>0.94528380261304423</v>
      </c>
      <c r="L145" s="484"/>
      <c r="M145" s="484">
        <f>IF(OR(J145=0,J145="",Q145=""),"",Q145/J145-1)</f>
        <v>6.4563688028424826E-2</v>
      </c>
      <c r="N145" s="563"/>
      <c r="O145" s="482" cm="1">
        <f t="array" ref="O145">IFERROR(_xlfn.XLOOKUP(1,($B145=DistributionZone)*('Network cost'!$C145=CustomerType)*('Network cost'!$E145=tariffType)*('Network cost'!O$5=Desc_FixedOrVar)*('Network cost'!$G145=Description),valuesFY),0)</f>
        <v>473.35563654766003</v>
      </c>
      <c r="P145" s="482" cm="1">
        <f t="array" ref="P145">IFERROR(_xlfn.XLOOKUP(1,($B145=DistributionZone)*('Network cost'!$C145=CustomerType)*('Network cost'!$E145=tariffType)*('Network cost'!P$5=Desc_FixedOrVar)*('Network cost'!$G145=Description),valuesFY),0)</f>
        <v>145.48947490619599</v>
      </c>
      <c r="Q145" s="482">
        <f>O145+P145*$F145/1000</f>
        <v>1142.6072211161616</v>
      </c>
      <c r="R145" s="484">
        <f>IFERROR(Q145/Q147,"")</f>
        <v>0.94747816850764699</v>
      </c>
      <c r="S145" s="484"/>
      <c r="T145" s="484"/>
      <c r="U145" s="484"/>
      <c r="V145" s="484"/>
      <c r="W145" s="484"/>
      <c r="X145" s="484"/>
      <c r="Y145" s="484"/>
      <c r="Z145" s="484"/>
      <c r="AA145" s="484"/>
      <c r="AB145" s="484"/>
      <c r="AC145" s="484"/>
      <c r="AD145" s="484"/>
      <c r="AE145" s="484"/>
      <c r="AF145" s="484"/>
      <c r="AG145" s="484"/>
      <c r="AH145" s="484"/>
      <c r="AI145" s="484"/>
      <c r="AJ145" s="484"/>
      <c r="AK145" s="484"/>
      <c r="AL145" s="484"/>
      <c r="AM145" s="484"/>
      <c r="AN145" s="484"/>
      <c r="AO145" s="484"/>
      <c r="AP145" s="484"/>
      <c r="AQ145" s="484"/>
    </row>
    <row r="146" spans="2:43" x14ac:dyDescent="0.35">
      <c r="B146" s="30" t="str">
        <f t="shared" si="36"/>
        <v>Essential</v>
      </c>
      <c r="C146" s="30" t="str">
        <f t="shared" si="36"/>
        <v>Residential</v>
      </c>
      <c r="D146" s="30" t="str">
        <f t="shared" si="36"/>
        <v>flat rate</v>
      </c>
      <c r="E146" s="30" t="s">
        <v>19</v>
      </c>
      <c r="F146" s="258" cm="1">
        <f t="array" ref="F146">IFERROR(_xlfn.XLOOKUP(1,($B146=DistributionZone)*('Network cost'!$C146=CustomerType)*('Network cost'!$E146=tariffType)*('Network cost'!F$5=Description)*($D146=tariffL2),valuesFY),0)</f>
        <v>4600</v>
      </c>
      <c r="G146" s="30" t="s">
        <v>61</v>
      </c>
      <c r="H146" s="482" cm="1">
        <f t="array" ref="H146">IFERROR(_xlfn.XLOOKUP(1,($B146=DistributionZone)*('Network cost'!$C146=CustomerType)*('Network cost'!$E146=tariffType)*('Network cost'!H$5=Desc_FixedOrVar)*('Network cost'!$G146=Description),valuesPY),0)</f>
        <v>62.126803217101561</v>
      </c>
      <c r="I146" s="482" cm="1">
        <f t="array" ref="I146">IFERROR(_xlfn.XLOOKUP(1,($B146=DistributionZone)*('Network cost'!$C146=CustomerType)*('Network cost'!$E146=tariffType)*('Network cost'!I$5=Desc_FixedOrVar)*('Network cost'!$G146=Description),valuesPY),0)</f>
        <v>0</v>
      </c>
      <c r="J146" s="482">
        <f>H146+I146*F146/1000</f>
        <v>62.126803217101561</v>
      </c>
      <c r="K146" s="484">
        <f>IFERROR(J146/J147,"")</f>
        <v>5.4716197386955864E-2</v>
      </c>
      <c r="L146" s="484"/>
      <c r="M146" s="484">
        <f>IF(OR(J146=0,J146="",Q146=""),"",Q146/J146-1)</f>
        <v>1.9503232927262637E-2</v>
      </c>
      <c r="N146" s="563"/>
      <c r="O146" s="482" cm="1">
        <f t="array" ref="O146">IFERROR(_xlfn.XLOOKUP(1,($B146=DistributionZone)*('Network cost'!$C146=CustomerType)*('Network cost'!$E146=tariffType)*('Network cost'!O$5=Desc_FixedOrVar)*('Network cost'!$G146=Description),valuesFY),0)</f>
        <v>63.338476731270902</v>
      </c>
      <c r="P146" s="482" cm="1">
        <f t="array" ref="P146">IFERROR(_xlfn.XLOOKUP(1,($B146=DistributionZone)*('Network cost'!$C146=CustomerType)*('Network cost'!$E146=tariffType)*('Network cost'!P$5=Desc_FixedOrVar)*('Network cost'!$G146=Description),valuesFY),0)</f>
        <v>0</v>
      </c>
      <c r="Q146" s="482">
        <f>O146+P146*$F$146/1000</f>
        <v>63.338476731270902</v>
      </c>
      <c r="R146" s="484">
        <f>IFERROR(Q146/Q147,"")</f>
        <v>5.2521831492353004E-2</v>
      </c>
      <c r="S146" s="484"/>
      <c r="T146" s="484"/>
      <c r="U146" s="484"/>
      <c r="V146" s="484"/>
      <c r="W146" s="484"/>
      <c r="X146" s="484"/>
      <c r="Y146" s="484"/>
      <c r="Z146" s="484"/>
      <c r="AA146" s="484"/>
      <c r="AB146" s="484"/>
      <c r="AC146" s="484"/>
      <c r="AD146" s="484"/>
      <c r="AE146" s="484"/>
      <c r="AF146" s="484"/>
      <c r="AG146" s="484"/>
      <c r="AH146" s="484"/>
      <c r="AI146" s="484"/>
      <c r="AJ146" s="484"/>
      <c r="AK146" s="484"/>
      <c r="AL146" s="484"/>
      <c r="AM146" s="484"/>
      <c r="AN146" s="484"/>
      <c r="AO146" s="484"/>
      <c r="AP146" s="484"/>
      <c r="AQ146" s="484"/>
    </row>
    <row r="147" spans="2:43" x14ac:dyDescent="0.35">
      <c r="B147" s="30" t="str">
        <f t="shared" si="36"/>
        <v>Essential</v>
      </c>
      <c r="C147" s="30" t="str">
        <f t="shared" si="36"/>
        <v>Residential</v>
      </c>
      <c r="D147" s="30" t="str">
        <f t="shared" si="36"/>
        <v>flat rate</v>
      </c>
      <c r="E147" s="30" t="s">
        <v>19</v>
      </c>
      <c r="F147" s="258" cm="1">
        <f t="array" ref="F147">IFERROR(_xlfn.XLOOKUP(1,($B147=DistributionZone)*('Network cost'!$C147=CustomerType)*('Network cost'!$E147=tariffType)*('Network cost'!F$5=Description)*($D147=tariffL2),valuesFY),0)</f>
        <v>4600</v>
      </c>
      <c r="G147" s="64" t="s">
        <v>55</v>
      </c>
      <c r="H147" s="487">
        <f>+H146+H145</f>
        <v>502.81178310594657</v>
      </c>
      <c r="I147" s="487">
        <f>+I145</f>
        <v>137.527253661571</v>
      </c>
      <c r="J147" s="487">
        <f>H147+I147*F147/1000</f>
        <v>1135.4371499491731</v>
      </c>
      <c r="K147" s="564"/>
      <c r="L147" s="565"/>
      <c r="M147" s="564">
        <f>IF(OR(J147=0,J147="",Q147=""),"",Q147/J147-1)</f>
        <v>6.2098151272763635E-2</v>
      </c>
      <c r="N147" s="566"/>
      <c r="O147" s="487">
        <f>+O146+O145</f>
        <v>536.6941132789309</v>
      </c>
      <c r="P147" s="487">
        <f>+P145</f>
        <v>145.48947490619599</v>
      </c>
      <c r="Q147" s="487">
        <f>O147+P147*$F$147/1000</f>
        <v>1205.9456978474325</v>
      </c>
      <c r="R147" s="484"/>
      <c r="S147" s="484"/>
      <c r="T147" s="484"/>
      <c r="U147" s="484"/>
      <c r="V147" s="484"/>
      <c r="W147" s="484"/>
      <c r="X147" s="484"/>
      <c r="Y147" s="484"/>
      <c r="Z147" s="484"/>
      <c r="AA147" s="484"/>
      <c r="AB147" s="484"/>
      <c r="AC147" s="484"/>
      <c r="AD147" s="484"/>
      <c r="AE147" s="484"/>
      <c r="AF147" s="484"/>
      <c r="AG147" s="484"/>
      <c r="AH147" s="484"/>
      <c r="AI147" s="484"/>
      <c r="AJ147" s="484"/>
      <c r="AK147" s="484"/>
      <c r="AL147" s="484"/>
      <c r="AM147" s="484"/>
      <c r="AN147" s="484"/>
      <c r="AO147" s="484"/>
      <c r="AP147" s="484"/>
      <c r="AQ147" s="484"/>
    </row>
    <row r="148" spans="2:43" x14ac:dyDescent="0.35">
      <c r="B148" s="30" t="str">
        <f t="shared" si="36"/>
        <v>Essential</v>
      </c>
      <c r="C148" s="30" t="str">
        <f t="shared" si="36"/>
        <v>Residential</v>
      </c>
      <c r="D148" s="30" t="str">
        <f t="shared" si="36"/>
        <v>flat rate</v>
      </c>
      <c r="F148" s="258"/>
      <c r="G148" s="30" t="s">
        <v>38</v>
      </c>
      <c r="H148" s="482"/>
      <c r="I148" s="482"/>
      <c r="J148" s="482">
        <f>J147*GST</f>
        <v>113.54371499491731</v>
      </c>
      <c r="K148" s="484"/>
      <c r="L148" s="567"/>
      <c r="M148" s="484">
        <f>IF(OR(J148=0,Q148=""),"",Q148/J148-1)</f>
        <v>6.2098151272763635E-2</v>
      </c>
      <c r="N148" s="568"/>
      <c r="O148" s="482"/>
      <c r="P148" s="482"/>
      <c r="Q148" s="482">
        <f>Q147*GST</f>
        <v>120.59456978474326</v>
      </c>
      <c r="R148" s="484"/>
      <c r="S148" s="484"/>
      <c r="T148" s="484"/>
      <c r="U148" s="484"/>
      <c r="V148" s="484"/>
      <c r="W148" s="484"/>
      <c r="X148" s="484"/>
      <c r="Y148" s="484"/>
      <c r="Z148" s="484"/>
      <c r="AA148" s="484"/>
      <c r="AB148" s="484"/>
      <c r="AC148" s="484"/>
      <c r="AD148" s="484"/>
      <c r="AE148" s="484"/>
      <c r="AF148" s="484"/>
      <c r="AG148" s="484"/>
      <c r="AH148" s="484"/>
      <c r="AI148" s="484"/>
      <c r="AJ148" s="484"/>
      <c r="AK148" s="484"/>
      <c r="AL148" s="484"/>
      <c r="AM148" s="484"/>
      <c r="AN148" s="484"/>
      <c r="AO148" s="484"/>
      <c r="AP148" s="484"/>
      <c r="AQ148" s="484"/>
    </row>
    <row r="149" spans="2:43" x14ac:dyDescent="0.35">
      <c r="B149" s="30" t="str">
        <f t="shared" si="36"/>
        <v>Essential</v>
      </c>
      <c r="C149" s="30" t="str">
        <f t="shared" si="36"/>
        <v>Residential</v>
      </c>
      <c r="D149" s="30" t="str">
        <f t="shared" si="36"/>
        <v>flat rate</v>
      </c>
      <c r="E149" s="30" t="s">
        <v>19</v>
      </c>
      <c r="F149" s="258"/>
      <c r="G149" s="64" t="s">
        <v>79</v>
      </c>
      <c r="H149" s="487"/>
      <c r="I149" s="487"/>
      <c r="J149" s="486">
        <f>SUM(J147:J148)</f>
        <v>1248.9808649440904</v>
      </c>
      <c r="K149" s="593"/>
      <c r="L149" s="594"/>
      <c r="M149" s="593">
        <f>IF(OR(J149=0,Q149=""),"",Q149/J149-1)</f>
        <v>6.2098151272763635E-2</v>
      </c>
      <c r="N149" s="595"/>
      <c r="O149" s="486"/>
      <c r="P149" s="486"/>
      <c r="Q149" s="486">
        <f>SUM(Q147:Q148)</f>
        <v>1326.5402676321758</v>
      </c>
      <c r="R149" s="564"/>
      <c r="S149" s="596"/>
      <c r="T149" s="484"/>
      <c r="U149" s="564"/>
      <c r="V149" s="564"/>
      <c r="W149" s="564"/>
      <c r="X149" s="564"/>
      <c r="Y149" s="564"/>
      <c r="Z149" s="564"/>
      <c r="AA149" s="564"/>
      <c r="AB149" s="564"/>
      <c r="AC149" s="564"/>
      <c r="AD149" s="564"/>
      <c r="AE149" s="564"/>
      <c r="AF149" s="564"/>
      <c r="AG149" s="564"/>
      <c r="AH149" s="564"/>
      <c r="AI149" s="564"/>
      <c r="AJ149" s="564"/>
      <c r="AK149" s="564"/>
      <c r="AL149" s="564"/>
      <c r="AM149" s="564"/>
      <c r="AN149" s="564"/>
      <c r="AO149" s="564"/>
      <c r="AP149" s="564"/>
      <c r="AQ149" s="564"/>
    </row>
    <row r="150" spans="2:43" s="597" customFormat="1" x14ac:dyDescent="0.35">
      <c r="F150" s="598"/>
      <c r="H150" s="599"/>
      <c r="I150" s="599"/>
      <c r="J150" s="599"/>
      <c r="K150" s="600"/>
      <c r="L150" s="601"/>
      <c r="M150" s="600"/>
      <c r="N150" s="602"/>
      <c r="O150" s="599"/>
      <c r="P150" s="599"/>
      <c r="Q150" s="599"/>
      <c r="R150" s="600"/>
      <c r="S150" s="600"/>
      <c r="T150" s="484"/>
      <c r="U150" s="600"/>
      <c r="V150" s="600"/>
      <c r="W150" s="600"/>
      <c r="X150" s="600"/>
      <c r="Y150" s="600"/>
      <c r="Z150" s="600"/>
      <c r="AA150" s="600"/>
      <c r="AB150" s="600"/>
      <c r="AC150" s="600"/>
      <c r="AD150" s="600"/>
      <c r="AE150" s="600"/>
      <c r="AF150" s="600"/>
      <c r="AG150" s="600"/>
      <c r="AH150" s="600"/>
      <c r="AI150" s="600"/>
      <c r="AJ150" s="600"/>
      <c r="AK150" s="600"/>
      <c r="AL150" s="600"/>
      <c r="AM150" s="600"/>
      <c r="AN150" s="600"/>
      <c r="AO150" s="600"/>
      <c r="AP150" s="600"/>
      <c r="AQ150" s="600"/>
    </row>
    <row r="151" spans="2:43" s="570" customFormat="1" x14ac:dyDescent="0.35">
      <c r="B151" s="571" t="s">
        <v>3</v>
      </c>
      <c r="C151" s="571" t="s">
        <v>6</v>
      </c>
      <c r="D151" s="571" t="s">
        <v>272</v>
      </c>
      <c r="F151" s="485"/>
      <c r="H151" s="574"/>
      <c r="I151" s="574"/>
      <c r="J151" s="574"/>
      <c r="K151" s="575"/>
      <c r="L151" s="575"/>
      <c r="M151" s="575"/>
      <c r="N151" s="576"/>
      <c r="O151" s="574"/>
      <c r="P151" s="574"/>
      <c r="Q151" s="574"/>
      <c r="R151" s="575"/>
      <c r="S151" s="575"/>
      <c r="T151" s="484"/>
      <c r="U151" s="575"/>
      <c r="V151" s="575"/>
      <c r="W151" s="575"/>
      <c r="X151" s="575"/>
      <c r="Y151" s="575"/>
      <c r="Z151" s="575"/>
      <c r="AA151" s="575"/>
      <c r="AB151" s="575"/>
      <c r="AC151" s="575"/>
      <c r="AD151" s="575"/>
      <c r="AE151" s="575"/>
      <c r="AF151" s="575"/>
      <c r="AG151" s="575"/>
      <c r="AH151" s="575"/>
      <c r="AI151" s="575"/>
      <c r="AJ151" s="575"/>
      <c r="AK151" s="575"/>
      <c r="AL151" s="575"/>
      <c r="AM151" s="575"/>
      <c r="AN151" s="575"/>
      <c r="AO151" s="575"/>
      <c r="AP151" s="575"/>
      <c r="AQ151" s="575"/>
    </row>
    <row r="152" spans="2:43" s="570" customFormat="1" x14ac:dyDescent="0.35">
      <c r="B152" s="570" t="str">
        <f t="shared" ref="B152:C157" si="37">B$144</f>
        <v>Essential</v>
      </c>
      <c r="C152" s="570" t="str">
        <f t="shared" si="37"/>
        <v>Residential</v>
      </c>
      <c r="D152" s="570" t="str">
        <f>D$151</f>
        <v>time of use</v>
      </c>
      <c r="E152" s="570" t="s">
        <v>279</v>
      </c>
      <c r="F152" s="485" cm="1">
        <f t="array" ref="F152">_xlfn.XLOOKUP(1,($B152=DistributionZone)*('Network cost'!$C152=CustomerType)*('Network cost'!$D152=tariffL2)*($F$5=Description),valuesPY)*_xlfn.XLOOKUP(1,($B152=DistributionZone)*($C152=CustomerType)*('Network cost'!$D152=tariffL2)*($E152=tariffType)*("Usage proportion"=Description),valuesFY)</f>
        <v>2233.2737593131787</v>
      </c>
      <c r="G152" s="570" t="s">
        <v>57</v>
      </c>
      <c r="H152" s="574" cm="1">
        <f t="array" ref="H152">IFERROR(_xlfn.XLOOKUP(1,($B152=DistributionZone)*('Network cost'!$C152=CustomerType)*('Network cost'!$E152=tariffType)*('Network cost'!H$5=Desc_FixedOrVar)*('Network cost'!$G152=Description),valuesPY),0)*_xlfn.XLOOKUP(1,($B152=DistributionZone)*('Network cost'!$D152=tariffL2)*($E152=tariffType)*("Usage proportion"=Description),valuesPY)</f>
        <v>0</v>
      </c>
      <c r="I152" s="574" cm="1">
        <f t="array" ref="I152">IFERROR(_xlfn.XLOOKUP(1,($B152=DistributionZone)*('Network cost'!$C152=CustomerType)*('Network cost'!$E152=tariffType)*('Network cost'!I$5=Desc_FixedOrVar)*('Network cost'!$G152=Description),valuesPY),0)</f>
        <v>0</v>
      </c>
      <c r="J152" s="574">
        <f>H152+I152*F152/1000</f>
        <v>0</v>
      </c>
      <c r="K152" s="575" t="str">
        <f>IFERROR(J152/J155,"")</f>
        <v/>
      </c>
      <c r="L152" s="575"/>
      <c r="M152" s="575" t="str">
        <f>IF(OR(J152=0,J152="",Q152=""),"",Q152/J152-1)</f>
        <v/>
      </c>
      <c r="N152" s="576"/>
      <c r="O152" s="574" cm="1">
        <f t="array" ref="O152">IFERROR(_xlfn.XLOOKUP(1,($B152=DistributionZone)*('Network cost'!$C152=CustomerType)*('Network cost'!$E152=tariffType)*('Network cost'!O$5=Desc_FixedOrVar)*('Network cost'!$G152=Description),valuesFY),0)*_xlfn.XLOOKUP(1,($B152=DistributionZone)*('Network cost'!$D152=tariffL2)*($E152=tariffType)*("Usage proportion"=Description),valuesFY)</f>
        <v>229.8114612880164</v>
      </c>
      <c r="P152" s="574" cm="1">
        <f t="array" ref="P152">IFERROR(_xlfn.XLOOKUP(1,($B152=DistributionZone)*('Network cost'!$C152=CustomerType)*('Network cost'!$E152=tariffType)*('Network cost'!P$5=Desc_FixedOrVar)*('Network cost'!$G152=Description),valuesFY),0)</f>
        <v>63.275168405296796</v>
      </c>
      <c r="Q152" s="574">
        <f>O152+P152*$F152/1000</f>
        <v>371.12223450368805</v>
      </c>
      <c r="R152" s="575">
        <f>IFERROR(Q152/Q155,"")</f>
        <v>0.33646954267434925</v>
      </c>
      <c r="S152" s="575"/>
      <c r="T152" s="483"/>
      <c r="U152" s="603"/>
      <c r="V152" s="603"/>
      <c r="W152" s="575"/>
      <c r="X152" s="575"/>
      <c r="Y152" s="575"/>
      <c r="Z152" s="575"/>
      <c r="AA152" s="575"/>
      <c r="AB152" s="575"/>
      <c r="AC152" s="575"/>
      <c r="AD152" s="575"/>
      <c r="AE152" s="575"/>
      <c r="AF152" s="575"/>
      <c r="AG152" s="575"/>
      <c r="AH152" s="575"/>
      <c r="AI152" s="575"/>
      <c r="AJ152" s="575"/>
      <c r="AK152" s="575"/>
      <c r="AL152" s="575"/>
      <c r="AM152" s="575"/>
      <c r="AN152" s="575"/>
      <c r="AO152" s="575"/>
      <c r="AP152" s="575"/>
      <c r="AQ152" s="575"/>
    </row>
    <row r="153" spans="2:43" s="570" customFormat="1" x14ac:dyDescent="0.35">
      <c r="B153" s="570" t="str">
        <f t="shared" si="37"/>
        <v>Essential</v>
      </c>
      <c r="C153" s="570" t="str">
        <f t="shared" si="37"/>
        <v>Residential</v>
      </c>
      <c r="D153" s="570" t="str">
        <f t="shared" ref="D153:D157" si="38">D$151</f>
        <v>time of use</v>
      </c>
      <c r="E153" s="570" t="s">
        <v>278</v>
      </c>
      <c r="F153" s="485" cm="1">
        <f t="array" ref="F153">_xlfn.XLOOKUP(1,($B153=DistributionZone)*('Network cost'!$C153=CustomerType)*('Network cost'!$D153=tariffL2)*($F$5=Description),valuesPY)*_xlfn.XLOOKUP(1,($B153=DistributionZone)*($C153=CustomerType)*('Network cost'!$D153=tariffL2)*($E153=tariffType)*("Usage proportion"=Description),valuesFY)</f>
        <v>2366.7262406868213</v>
      </c>
      <c r="G153" s="570" t="s">
        <v>57</v>
      </c>
      <c r="H153" s="574" cm="1">
        <f t="array" ref="H153">IFERROR(_xlfn.XLOOKUP(1,($B153=DistributionZone)*('Network cost'!$C153=CustomerType)*('Network cost'!$E153=tariffType)*('Network cost'!H$5=Desc_FixedOrVar)*('Network cost'!$G153=Description),valuesPY),0)*_xlfn.XLOOKUP(1,($B153=DistributionZone)*('Network cost'!$D153=tariffL2)*($E153=tariffType)*("Usage proportion"=Description),valuesPY)</f>
        <v>0</v>
      </c>
      <c r="I153" s="574" cm="1">
        <f t="array" ref="I153">IFERROR(_xlfn.XLOOKUP(1,($B153=DistributionZone)*('Network cost'!$C153=CustomerType)*('Network cost'!$E153=tariffType)*('Network cost'!I$5=Desc_FixedOrVar)*('Network cost'!$G153=Description),valuesPY),0)</f>
        <v>0</v>
      </c>
      <c r="J153" s="574">
        <f>H153+I153*F153/1000</f>
        <v>0</v>
      </c>
      <c r="K153" s="575" t="str">
        <f>IFERROR(J153/J155,"")</f>
        <v/>
      </c>
      <c r="L153" s="575"/>
      <c r="M153" s="575" t="str">
        <f>IF(OR(J153=0,J153="",Q153=""),"",Q153/J153-1)</f>
        <v/>
      </c>
      <c r="N153" s="576"/>
      <c r="O153" s="574" cm="1">
        <f t="array" ref="O153">IFERROR(_xlfn.XLOOKUP(1,($B153=DistributionZone)*('Network cost'!$C153=CustomerType)*('Network cost'!$E153=tariffType)*('Network cost'!O$5=Desc_FixedOrVar)*('Network cost'!$G153=Description),valuesFY),0)*_xlfn.XLOOKUP(1,($B153=DistributionZone)*('Network cost'!$D153=tariffL2)*($E153=tariffType)*("Usage proportion"=Description),valuesFY)</f>
        <v>243.54417525964362</v>
      </c>
      <c r="P153" s="574" cm="1">
        <f t="array" ref="P153">IFERROR(_xlfn.XLOOKUP(1,($B153=DistributionZone)*('Network cost'!$C153=CustomerType)*('Network cost'!$E153=tariffType)*('Network cost'!P$5=Desc_FixedOrVar)*('Network cost'!$G153=Description),valuesFY),0)</f>
        <v>179.56626991931699</v>
      </c>
      <c r="Q153" s="574">
        <f>O153+P153*$F153/1000</f>
        <v>668.52837821994376</v>
      </c>
      <c r="R153" s="575">
        <f>IFERROR(Q153/Q155,"")</f>
        <v>0.6061060663350083</v>
      </c>
      <c r="S153" s="575"/>
      <c r="T153" s="483"/>
      <c r="U153" s="575"/>
      <c r="V153" s="575"/>
      <c r="W153" s="575"/>
      <c r="X153" s="575"/>
      <c r="Y153" s="575"/>
      <c r="Z153" s="575"/>
      <c r="AA153" s="575"/>
      <c r="AB153" s="575"/>
      <c r="AC153" s="575"/>
      <c r="AD153" s="575"/>
      <c r="AE153" s="575"/>
      <c r="AF153" s="575"/>
      <c r="AG153" s="575"/>
      <c r="AH153" s="575"/>
      <c r="AI153" s="575"/>
      <c r="AJ153" s="575"/>
      <c r="AK153" s="575"/>
      <c r="AL153" s="575"/>
      <c r="AM153" s="575"/>
      <c r="AN153" s="575"/>
      <c r="AO153" s="575"/>
      <c r="AP153" s="575"/>
      <c r="AQ153" s="575"/>
    </row>
    <row r="154" spans="2:43" s="570" customFormat="1" x14ac:dyDescent="0.35">
      <c r="B154" s="570" t="str">
        <f t="shared" si="37"/>
        <v>Essential</v>
      </c>
      <c r="C154" s="570" t="str">
        <f t="shared" si="37"/>
        <v>Residential</v>
      </c>
      <c r="D154" s="570" t="str">
        <f t="shared" si="38"/>
        <v>time of use</v>
      </c>
      <c r="E154" s="570" t="s">
        <v>272</v>
      </c>
      <c r="F154" s="485" cm="1">
        <f t="array" ref="F154">_xlfn.XLOOKUP(1,($B154=DistributionZone)*('Network cost'!$C154=CustomerType)*('Network cost'!$D154=tariffL2)*($F$5=Description),valuesFY)</f>
        <v>4600</v>
      </c>
      <c r="G154" s="570" t="s">
        <v>61</v>
      </c>
      <c r="H154" s="574" cm="1">
        <f t="array" ref="H154">IFERROR(_xlfn.XLOOKUP(1,($B154=DistributionZone)*('Network cost'!$C154=CustomerType)*('Network cost'!$E154=tariffType)*('Network cost'!H$5=Desc_FixedOrVar)*('Network cost'!$G154=Description),valuesPY),0)</f>
        <v>0</v>
      </c>
      <c r="I154" s="574" cm="1">
        <f t="array" ref="I154">IFERROR(_xlfn.XLOOKUP(1,($B154=DistributionZone)*('Network cost'!$C154=CustomerType)*('Network cost'!$E154=tariffType)*('Network cost'!I$5=Desc_FixedOrVar)*('Network cost'!$G154=Description),valuesPY),0)</f>
        <v>0</v>
      </c>
      <c r="J154" s="574">
        <f>H154+I154*F154/1000</f>
        <v>0</v>
      </c>
      <c r="K154" s="575" t="str">
        <f>IFERROR(J154/J155,"")</f>
        <v/>
      </c>
      <c r="L154" s="575"/>
      <c r="M154" s="575" t="str">
        <f>IF(OR(J154=0,J154="",Q154=""),"",Q154/J154-1)</f>
        <v/>
      </c>
      <c r="N154" s="576"/>
      <c r="O154" s="574" cm="1">
        <f t="array" ref="O154">IFERROR(_xlfn.XLOOKUP(1,($B154=DistributionZone)*('Network cost'!$C154=CustomerType)*('Network cost'!$E154=tariffType)*('Network cost'!O$5=Desc_FixedOrVar)*('Network cost'!$G154=Description),valuesFY),0)</f>
        <v>63.338476731270902</v>
      </c>
      <c r="P154" s="574" cm="1">
        <f t="array" ref="P154">IFERROR(_xlfn.XLOOKUP(1,($B154=DistributionZone)*('Network cost'!$C154=CustomerType)*('Network cost'!$E154=tariffType)*('Network cost'!P$5=Desc_FixedOrVar)*('Network cost'!$G154=Description),valuesFY),0)</f>
        <v>0</v>
      </c>
      <c r="Q154" s="574">
        <f>O154+P154*$F$146/1000</f>
        <v>63.338476731270902</v>
      </c>
      <c r="R154" s="575">
        <f>IFERROR(Q154/Q155,"")</f>
        <v>5.7424390990642324E-2</v>
      </c>
      <c r="S154" s="575"/>
      <c r="T154" s="484"/>
      <c r="U154" s="575"/>
      <c r="V154" s="575"/>
      <c r="W154" s="575"/>
      <c r="X154" s="575"/>
      <c r="Y154" s="575"/>
      <c r="Z154" s="575"/>
      <c r="AA154" s="575"/>
      <c r="AB154" s="575"/>
      <c r="AC154" s="575"/>
      <c r="AD154" s="575"/>
      <c r="AE154" s="575"/>
      <c r="AF154" s="575"/>
      <c r="AG154" s="575"/>
      <c r="AH154" s="575"/>
      <c r="AI154" s="575"/>
      <c r="AJ154" s="575"/>
      <c r="AK154" s="575"/>
      <c r="AL154" s="575"/>
      <c r="AM154" s="575"/>
      <c r="AN154" s="575"/>
      <c r="AO154" s="575"/>
      <c r="AP154" s="575"/>
      <c r="AQ154" s="575"/>
    </row>
    <row r="155" spans="2:43" s="570" customFormat="1" x14ac:dyDescent="0.35">
      <c r="B155" s="570" t="str">
        <f t="shared" si="37"/>
        <v>Essential</v>
      </c>
      <c r="C155" s="570" t="str">
        <f t="shared" si="37"/>
        <v>Residential</v>
      </c>
      <c r="D155" s="570" t="str">
        <f t="shared" si="38"/>
        <v>time of use</v>
      </c>
      <c r="E155" s="570" t="s">
        <v>272</v>
      </c>
      <c r="F155" s="485" cm="1">
        <f t="array" ref="F155">_xlfn.XLOOKUP(1,($B155=DistributionZone)*('Network cost'!$C155=CustomerType)*('Network cost'!$D155=tariffL2)*($F$5=Description),valuesFY)</f>
        <v>4600</v>
      </c>
      <c r="G155" s="571" t="s">
        <v>55</v>
      </c>
      <c r="H155" s="577">
        <f>SUM(H152:H154)</f>
        <v>0</v>
      </c>
      <c r="I155" s="577">
        <f>SUM(I152:I154)</f>
        <v>0</v>
      </c>
      <c r="J155" s="577">
        <f>SUM(J152:J154)</f>
        <v>0</v>
      </c>
      <c r="K155" s="578"/>
      <c r="L155" s="579"/>
      <c r="M155" s="578" t="str">
        <f>IF(OR(J155=0,J155="",Q155=""),"",Q155/J155-1)</f>
        <v/>
      </c>
      <c r="N155" s="580"/>
      <c r="O155" s="577">
        <f>SUM(O152:O154)</f>
        <v>536.6941132789309</v>
      </c>
      <c r="P155" s="577">
        <f>SUM(P152:P154)</f>
        <v>242.84143832461379</v>
      </c>
      <c r="Q155" s="577">
        <f>SUM(Q152:Q154)</f>
        <v>1102.9890894549028</v>
      </c>
      <c r="R155" s="575"/>
      <c r="S155" s="575"/>
      <c r="T155" s="484"/>
      <c r="U155" s="575"/>
      <c r="V155" s="575"/>
      <c r="W155" s="575"/>
      <c r="X155" s="575"/>
      <c r="Y155" s="575"/>
      <c r="Z155" s="575"/>
      <c r="AA155" s="575"/>
      <c r="AB155" s="575"/>
      <c r="AC155" s="575"/>
      <c r="AD155" s="575"/>
      <c r="AE155" s="575"/>
      <c r="AF155" s="575"/>
      <c r="AG155" s="575"/>
      <c r="AH155" s="575"/>
      <c r="AI155" s="575"/>
      <c r="AJ155" s="575"/>
      <c r="AK155" s="575"/>
      <c r="AL155" s="575"/>
      <c r="AM155" s="575"/>
      <c r="AN155" s="575"/>
      <c r="AO155" s="575"/>
      <c r="AP155" s="575"/>
      <c r="AQ155" s="575"/>
    </row>
    <row r="156" spans="2:43" s="570" customFormat="1" x14ac:dyDescent="0.35">
      <c r="B156" s="570" t="str">
        <f t="shared" si="37"/>
        <v>Essential</v>
      </c>
      <c r="C156" s="570" t="str">
        <f t="shared" si="37"/>
        <v>Residential</v>
      </c>
      <c r="D156" s="570" t="str">
        <f t="shared" si="38"/>
        <v>time of use</v>
      </c>
      <c r="F156" s="485"/>
      <c r="G156" s="570" t="s">
        <v>38</v>
      </c>
      <c r="H156" s="574"/>
      <c r="I156" s="574"/>
      <c r="J156" s="574">
        <f>J155*GST</f>
        <v>0</v>
      </c>
      <c r="K156" s="575"/>
      <c r="L156" s="581"/>
      <c r="M156" s="575" t="str">
        <f>IF(OR(J156=0,Q156=""),"",Q156/J156-1)</f>
        <v/>
      </c>
      <c r="N156" s="582"/>
      <c r="O156" s="574"/>
      <c r="P156" s="574"/>
      <c r="Q156" s="574">
        <f>Q155*GST</f>
        <v>110.29890894549028</v>
      </c>
      <c r="R156" s="575"/>
      <c r="S156" s="575"/>
      <c r="T156" s="484"/>
      <c r="U156" s="575"/>
      <c r="V156" s="575"/>
      <c r="W156" s="575"/>
      <c r="X156" s="575"/>
      <c r="Y156" s="575"/>
      <c r="Z156" s="575"/>
      <c r="AA156" s="575"/>
      <c r="AB156" s="575"/>
      <c r="AC156" s="575"/>
      <c r="AD156" s="575"/>
      <c r="AE156" s="575"/>
      <c r="AF156" s="575"/>
      <c r="AG156" s="575"/>
      <c r="AH156" s="575"/>
      <c r="AI156" s="575"/>
      <c r="AJ156" s="575"/>
      <c r="AK156" s="575"/>
      <c r="AL156" s="575"/>
      <c r="AM156" s="575"/>
      <c r="AN156" s="575"/>
      <c r="AO156" s="575"/>
      <c r="AP156" s="575"/>
      <c r="AQ156" s="575"/>
    </row>
    <row r="157" spans="2:43" s="570" customFormat="1" x14ac:dyDescent="0.35">
      <c r="B157" s="570" t="str">
        <f t="shared" si="37"/>
        <v>Essential</v>
      </c>
      <c r="C157" s="570" t="str">
        <f t="shared" si="37"/>
        <v>Residential</v>
      </c>
      <c r="D157" s="570" t="str">
        <f t="shared" si="38"/>
        <v>time of use</v>
      </c>
      <c r="E157" s="570" t="s">
        <v>272</v>
      </c>
      <c r="F157" s="485"/>
      <c r="G157" s="571" t="s">
        <v>79</v>
      </c>
      <c r="H157" s="577"/>
      <c r="I157" s="577"/>
      <c r="J157" s="577">
        <f>SUM(J155:J156)</f>
        <v>0</v>
      </c>
      <c r="K157" s="578"/>
      <c r="L157" s="579"/>
      <c r="M157" s="578" t="str">
        <f>IF(OR(J157=0,Q157=""),"",Q157/J157-1)</f>
        <v/>
      </c>
      <c r="N157" s="580"/>
      <c r="O157" s="577"/>
      <c r="P157" s="577"/>
      <c r="Q157" s="577">
        <f>SUM(Q155:Q156)</f>
        <v>1213.287998400393</v>
      </c>
      <c r="R157" s="578"/>
      <c r="S157" s="578"/>
      <c r="T157" s="484"/>
      <c r="U157" s="578"/>
      <c r="V157" s="578"/>
      <c r="W157" s="578"/>
      <c r="X157" s="578"/>
      <c r="Y157" s="578"/>
      <c r="Z157" s="578"/>
      <c r="AA157" s="578"/>
      <c r="AB157" s="578"/>
      <c r="AC157" s="578"/>
      <c r="AD157" s="578"/>
      <c r="AE157" s="578"/>
      <c r="AF157" s="578"/>
      <c r="AG157" s="578"/>
      <c r="AH157" s="578"/>
      <c r="AI157" s="578"/>
      <c r="AJ157" s="578"/>
      <c r="AK157" s="578"/>
      <c r="AL157" s="578"/>
      <c r="AM157" s="578"/>
      <c r="AN157" s="578"/>
      <c r="AO157" s="578"/>
      <c r="AP157" s="578"/>
      <c r="AQ157" s="578"/>
    </row>
    <row r="158" spans="2:43" hidden="1" x14ac:dyDescent="0.35">
      <c r="F158" s="258"/>
      <c r="H158" s="482"/>
      <c r="I158" s="482"/>
      <c r="J158" s="482"/>
      <c r="K158" s="484"/>
      <c r="L158" s="567"/>
      <c r="M158" s="484"/>
      <c r="N158" s="568"/>
      <c r="O158" s="482"/>
      <c r="P158" s="482"/>
      <c r="Q158" s="482"/>
      <c r="R158" s="484"/>
      <c r="S158" s="484"/>
      <c r="T158" s="484"/>
      <c r="U158" s="484"/>
      <c r="V158" s="484"/>
      <c r="W158" s="484"/>
      <c r="X158" s="484"/>
      <c r="Y158" s="484"/>
      <c r="Z158" s="484"/>
      <c r="AA158" s="484"/>
      <c r="AB158" s="484"/>
      <c r="AC158" s="484"/>
      <c r="AD158" s="484"/>
      <c r="AE158" s="484"/>
      <c r="AF158" s="484"/>
      <c r="AG158" s="484"/>
      <c r="AH158" s="484"/>
      <c r="AI158" s="484"/>
      <c r="AJ158" s="484"/>
      <c r="AK158" s="484"/>
      <c r="AL158" s="484"/>
      <c r="AM158" s="484"/>
      <c r="AN158" s="484"/>
      <c r="AO158" s="484"/>
      <c r="AP158" s="484"/>
      <c r="AQ158" s="484"/>
    </row>
    <row r="159" spans="2:43" hidden="1" x14ac:dyDescent="0.35">
      <c r="B159" s="64"/>
      <c r="C159" s="64"/>
      <c r="D159" s="64"/>
      <c r="F159" s="258"/>
      <c r="H159" s="482"/>
      <c r="I159" s="482"/>
      <c r="J159" s="482"/>
      <c r="K159" s="484"/>
      <c r="L159" s="567"/>
      <c r="M159" s="484"/>
      <c r="N159" s="568"/>
      <c r="O159" s="482"/>
      <c r="P159" s="482"/>
      <c r="Q159" s="482"/>
      <c r="R159" s="484"/>
      <c r="S159" s="484"/>
      <c r="T159" s="484"/>
      <c r="U159" s="484"/>
      <c r="V159" s="484"/>
      <c r="W159" s="484"/>
      <c r="X159" s="484"/>
      <c r="Y159" s="484"/>
      <c r="Z159" s="484"/>
      <c r="AA159" s="484"/>
      <c r="AB159" s="484"/>
      <c r="AC159" s="484"/>
      <c r="AD159" s="484"/>
      <c r="AE159" s="484"/>
      <c r="AF159" s="484"/>
      <c r="AG159" s="484"/>
      <c r="AH159" s="484"/>
      <c r="AI159" s="484"/>
      <c r="AJ159" s="484"/>
      <c r="AK159" s="484"/>
      <c r="AL159" s="484"/>
      <c r="AM159" s="484"/>
      <c r="AN159" s="484"/>
      <c r="AO159" s="484"/>
      <c r="AP159" s="484"/>
      <c r="AQ159" s="484"/>
    </row>
    <row r="160" spans="2:43" hidden="1" x14ac:dyDescent="0.35">
      <c r="F160" s="258"/>
      <c r="G160" s="511"/>
      <c r="H160" s="482"/>
      <c r="I160" s="482"/>
      <c r="J160" s="482"/>
      <c r="K160" s="484"/>
      <c r="L160" s="484"/>
      <c r="M160" s="484"/>
      <c r="N160" s="563"/>
      <c r="O160" s="482"/>
      <c r="P160" s="482"/>
      <c r="Q160" s="482"/>
      <c r="R160" s="484"/>
      <c r="S160" s="484"/>
      <c r="T160" s="484"/>
      <c r="U160" s="484"/>
      <c r="V160" s="484"/>
      <c r="W160" s="484"/>
      <c r="X160" s="484"/>
      <c r="Y160" s="484"/>
      <c r="Z160" s="484"/>
      <c r="AA160" s="484"/>
      <c r="AB160" s="484"/>
      <c r="AC160" s="484"/>
      <c r="AD160" s="484"/>
      <c r="AE160" s="484"/>
      <c r="AF160" s="484"/>
      <c r="AG160" s="484"/>
      <c r="AH160" s="484"/>
      <c r="AI160" s="484"/>
      <c r="AJ160" s="484"/>
      <c r="AK160" s="484"/>
      <c r="AL160" s="484"/>
      <c r="AM160" s="484"/>
      <c r="AN160" s="484"/>
      <c r="AO160" s="484"/>
      <c r="AP160" s="484"/>
      <c r="AQ160" s="484"/>
    </row>
    <row r="161" spans="2:43" hidden="1" x14ac:dyDescent="0.35">
      <c r="F161" s="258"/>
      <c r="G161" s="511"/>
      <c r="H161" s="482"/>
      <c r="I161" s="482"/>
      <c r="J161" s="482"/>
      <c r="K161" s="484"/>
      <c r="L161" s="484"/>
      <c r="M161" s="484"/>
      <c r="N161" s="563"/>
      <c r="O161" s="482"/>
      <c r="P161" s="482"/>
      <c r="Q161" s="482"/>
      <c r="R161" s="484"/>
      <c r="S161" s="484"/>
      <c r="T161" s="484"/>
      <c r="U161" s="484"/>
      <c r="V161" s="484"/>
      <c r="W161" s="484"/>
      <c r="X161" s="484"/>
      <c r="Y161" s="484"/>
      <c r="Z161" s="484"/>
      <c r="AA161" s="484"/>
      <c r="AB161" s="484"/>
      <c r="AC161" s="484"/>
      <c r="AD161" s="484"/>
      <c r="AE161" s="484"/>
      <c r="AF161" s="484"/>
      <c r="AG161" s="484"/>
      <c r="AH161" s="484"/>
      <c r="AI161" s="484"/>
      <c r="AJ161" s="484"/>
      <c r="AK161" s="484"/>
      <c r="AL161" s="484"/>
      <c r="AM161" s="484"/>
      <c r="AN161" s="484"/>
      <c r="AO161" s="484"/>
      <c r="AP161" s="484"/>
      <c r="AQ161" s="484"/>
    </row>
    <row r="162" spans="2:43" x14ac:dyDescent="0.35">
      <c r="F162" s="258"/>
      <c r="G162" s="64"/>
      <c r="H162" s="487"/>
      <c r="I162" s="487"/>
      <c r="J162" s="487"/>
      <c r="K162" s="564"/>
      <c r="L162" s="565"/>
      <c r="M162" s="564"/>
      <c r="N162" s="566"/>
      <c r="O162" s="487"/>
      <c r="P162" s="487"/>
      <c r="Q162" s="487"/>
      <c r="R162" s="484"/>
      <c r="S162" s="484"/>
      <c r="T162" s="484"/>
      <c r="U162" s="484"/>
      <c r="V162" s="484"/>
      <c r="W162" s="484"/>
      <c r="X162" s="484"/>
      <c r="Y162" s="484"/>
      <c r="Z162" s="484"/>
      <c r="AA162" s="484"/>
      <c r="AB162" s="484"/>
      <c r="AC162" s="484"/>
      <c r="AD162" s="484"/>
      <c r="AE162" s="484"/>
      <c r="AF162" s="484"/>
      <c r="AG162" s="484"/>
      <c r="AH162" s="484"/>
      <c r="AI162" s="484"/>
      <c r="AJ162" s="484"/>
      <c r="AK162" s="484"/>
      <c r="AL162" s="484"/>
      <c r="AM162" s="484"/>
      <c r="AN162" s="484"/>
      <c r="AO162" s="484"/>
      <c r="AP162" s="484"/>
      <c r="AQ162" s="484"/>
    </row>
    <row r="163" spans="2:43" s="749" customFormat="1" x14ac:dyDescent="0.35">
      <c r="B163" s="748" t="s">
        <v>3</v>
      </c>
      <c r="C163" s="748" t="s">
        <v>6</v>
      </c>
      <c r="D163" s="748" t="s">
        <v>276</v>
      </c>
      <c r="F163" s="750"/>
      <c r="H163" s="751"/>
      <c r="I163" s="751"/>
      <c r="J163" s="751"/>
      <c r="K163" s="752"/>
      <c r="L163" s="752"/>
      <c r="M163" s="752"/>
      <c r="N163" s="753"/>
      <c r="O163" s="751"/>
      <c r="P163" s="751"/>
      <c r="Q163" s="751"/>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row>
    <row r="164" spans="2:43" s="749" customFormat="1" x14ac:dyDescent="0.35">
      <c r="B164" s="749" t="str">
        <f t="shared" ref="B164:D168" si="39">B$144</f>
        <v>Essential</v>
      </c>
      <c r="C164" s="749" t="str">
        <f t="shared" si="39"/>
        <v>Residential</v>
      </c>
      <c r="D164" s="749" t="str">
        <f>D$144</f>
        <v>flat rate</v>
      </c>
      <c r="E164" s="749" t="s">
        <v>19</v>
      </c>
      <c r="F164" s="750" cm="1">
        <f t="array" ref="F164">IFERROR(_xlfn.XLOOKUP(1,($B164=DistributionZone)*('Network cost'!$C164=CustomerType)*('Network cost'!$E164=tariffType)*('Network cost'!F$5=Description)*($D164=tariffL2),valuesFY),0)</f>
        <v>4600</v>
      </c>
      <c r="G164" s="749" t="s">
        <v>57</v>
      </c>
      <c r="H164" s="751" cm="1">
        <f t="array" ref="H164">IFERROR(_xlfn.XLOOKUP(1,($B164=DistributionZone)*('Network cost'!$C164=CustomerType)*('Network cost'!$E164=tariffType)*('Network cost'!H$5=Desc_FixedOrVar)*('Network cost'!$G164=Description),valuesPY),0)</f>
        <v>440.68497988884502</v>
      </c>
      <c r="I164" s="751" cm="1">
        <f t="array" ref="I164">IFERROR(_xlfn.XLOOKUP(1,($B164=DistributionZone)*('Network cost'!$C164=CustomerType)*('Network cost'!$E164=tariffType)*('Network cost'!I$5=Desc_FixedOrVar)*('Network cost'!$G164=Description),valuesPY),0)</f>
        <v>137.527253661571</v>
      </c>
      <c r="J164" s="751">
        <f>H164+I164*F164/1000</f>
        <v>1073.3103467320716</v>
      </c>
      <c r="K164" s="752">
        <f>IFERROR(J164/J166,"")</f>
        <v>0.94528380261304423</v>
      </c>
      <c r="L164" s="752"/>
      <c r="M164" s="752">
        <f>IF(OR(J164=0,J164="",Q164=""),"",Q164/J164-1)</f>
        <v>2.7708879191304714E-2</v>
      </c>
      <c r="N164" s="753"/>
      <c r="O164" s="751">
        <f>SUM((O145*Ess_RESI_flat_proportion),(O152*Ess_RESI_tou_proportion),(O153*Ess_RESI_tou_proportion))</f>
        <v>473.35563654766003</v>
      </c>
      <c r="P164" s="751">
        <f>SUM((P145*Ess_RESI_flat_proportion),(P152*Ess_RESI_tou_proportion*F152/F155),(P153*Ess_RESI_tou_proportion*F153/F155))</f>
        <v>136.8902036775626</v>
      </c>
      <c r="Q164" s="751">
        <f>O164+P164*$F164/1000</f>
        <v>1103.050573464448</v>
      </c>
      <c r="R164" s="752">
        <f>IFERROR(Q164/Q166,"")</f>
        <v>0.94569695529922648</v>
      </c>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row>
    <row r="165" spans="2:43" s="749" customFormat="1" x14ac:dyDescent="0.35">
      <c r="B165" s="749" t="str">
        <f t="shared" si="39"/>
        <v>Essential</v>
      </c>
      <c r="C165" s="749" t="str">
        <f t="shared" si="39"/>
        <v>Residential</v>
      </c>
      <c r="D165" s="749" t="str">
        <f t="shared" si="39"/>
        <v>flat rate</v>
      </c>
      <c r="E165" s="749" t="s">
        <v>19</v>
      </c>
      <c r="F165" s="750" cm="1">
        <f t="array" ref="F165">IFERROR(_xlfn.XLOOKUP(1,($B165=DistributionZone)*('Network cost'!$C165=CustomerType)*('Network cost'!$E165=tariffType)*('Network cost'!F$5=Description)*($D165=tariffL2),valuesFY),0)</f>
        <v>4600</v>
      </c>
      <c r="G165" s="749" t="s">
        <v>61</v>
      </c>
      <c r="H165" s="751" cm="1">
        <f t="array" ref="H165">IFERROR(_xlfn.XLOOKUP(1,($B165=DistributionZone)*('Network cost'!$C165=CustomerType)*('Network cost'!$E165=tariffType)*('Network cost'!H$5=Desc_FixedOrVar)*('Network cost'!$G165=Description),valuesPY),0)</f>
        <v>62.126803217101561</v>
      </c>
      <c r="I165" s="751" cm="1">
        <f t="array" ref="I165">IFERROR(_xlfn.XLOOKUP(1,($B165=DistributionZone)*('Network cost'!$C165=CustomerType)*('Network cost'!$E165=tariffType)*('Network cost'!I$5=Desc_FixedOrVar)*('Network cost'!$G165=Description),valuesPY),0)</f>
        <v>0</v>
      </c>
      <c r="J165" s="751">
        <f>H165+I165*F165/1000</f>
        <v>62.126803217101561</v>
      </c>
      <c r="K165" s="752">
        <f>IFERROR(J165/J166,"")</f>
        <v>5.4716197386955864E-2</v>
      </c>
      <c r="L165" s="752"/>
      <c r="M165" s="752">
        <f>IF(OR(J165=0,J165="",Q165=""),"",Q165/J165-1)</f>
        <v>1.9503232927262637E-2</v>
      </c>
      <c r="N165" s="753"/>
      <c r="O165" s="751">
        <f>SUM((O146*Ess_RESI_flat_proportion),(O154*Ess_RESI_tou_proportion))</f>
        <v>63.338476731270902</v>
      </c>
      <c r="P165" s="751">
        <f>SUM((P146*Ess_RESI_flat_proportion),(P154*Ess_RESI_tou_proportion))</f>
        <v>0</v>
      </c>
      <c r="Q165" s="751">
        <f>O165+P165*$F$69/1000</f>
        <v>63.338476731270902</v>
      </c>
      <c r="R165" s="752">
        <f>IFERROR(Q165/Q166,"")</f>
        <v>5.4303044700773524E-2</v>
      </c>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row>
    <row r="166" spans="2:43" s="749" customFormat="1" x14ac:dyDescent="0.35">
      <c r="B166" s="749" t="str">
        <f t="shared" si="39"/>
        <v>Essential</v>
      </c>
      <c r="C166" s="749" t="str">
        <f t="shared" si="39"/>
        <v>Residential</v>
      </c>
      <c r="D166" s="749" t="str">
        <f t="shared" si="39"/>
        <v>flat rate</v>
      </c>
      <c r="E166" s="749" t="s">
        <v>396</v>
      </c>
      <c r="F166" s="750">
        <f>F165</f>
        <v>4600</v>
      </c>
      <c r="G166" s="748" t="s">
        <v>55</v>
      </c>
      <c r="H166" s="754">
        <f>SUM(H164:H165)</f>
        <v>502.81178310594657</v>
      </c>
      <c r="I166" s="754">
        <f t="shared" ref="I166:J166" si="40">SUM(I164:I165)</f>
        <v>137.527253661571</v>
      </c>
      <c r="J166" s="754">
        <f t="shared" si="40"/>
        <v>1135.4371499491731</v>
      </c>
      <c r="K166" s="747"/>
      <c r="L166" s="755"/>
      <c r="M166" s="747">
        <f>IF(OR(J166=0,J166="",Q166=""),"",Q166/J166-1)</f>
        <v>2.725989743063395E-2</v>
      </c>
      <c r="N166" s="756"/>
      <c r="O166" s="754">
        <f>SUM(O164:O165)</f>
        <v>536.6941132789309</v>
      </c>
      <c r="P166" s="754">
        <f>SUM(P164:P165)</f>
        <v>136.8902036775626</v>
      </c>
      <c r="Q166" s="754">
        <f>SUM(Q164:Q165)</f>
        <v>1166.3890501957189</v>
      </c>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row>
    <row r="167" spans="2:43" s="749" customFormat="1" x14ac:dyDescent="0.35">
      <c r="B167" s="749" t="str">
        <f t="shared" si="39"/>
        <v>Essential</v>
      </c>
      <c r="C167" s="749" t="str">
        <f t="shared" si="39"/>
        <v>Residential</v>
      </c>
      <c r="D167" s="749" t="str">
        <f t="shared" si="39"/>
        <v>flat rate</v>
      </c>
      <c r="F167" s="750"/>
      <c r="G167" s="749" t="s">
        <v>38</v>
      </c>
      <c r="H167" s="751"/>
      <c r="I167" s="751"/>
      <c r="J167" s="751">
        <f>J166*GST</f>
        <v>113.54371499491731</v>
      </c>
      <c r="K167" s="752"/>
      <c r="L167" s="757"/>
      <c r="M167" s="752">
        <f>IF(OR(J167=0,Q167=""),"",Q167/J167-1)</f>
        <v>2.725989743063395E-2</v>
      </c>
      <c r="N167" s="758"/>
      <c r="O167" s="751"/>
      <c r="P167" s="751"/>
      <c r="Q167" s="751">
        <f>Q166*GST</f>
        <v>116.63890501957189</v>
      </c>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row>
    <row r="168" spans="2:43" s="749" customFormat="1" x14ac:dyDescent="0.35">
      <c r="B168" s="749" t="str">
        <f t="shared" si="39"/>
        <v>Essential</v>
      </c>
      <c r="C168" s="749" t="str">
        <f t="shared" si="39"/>
        <v>Residential</v>
      </c>
      <c r="D168" s="749" t="str">
        <f t="shared" si="39"/>
        <v>flat rate</v>
      </c>
      <c r="E168" s="749" t="s">
        <v>396</v>
      </c>
      <c r="F168" s="750"/>
      <c r="G168" s="748" t="s">
        <v>79</v>
      </c>
      <c r="H168" s="754"/>
      <c r="I168" s="754"/>
      <c r="J168" s="754">
        <f>SUM(J166:J167)</f>
        <v>1248.9808649440904</v>
      </c>
      <c r="K168" s="747"/>
      <c r="L168" s="755"/>
      <c r="M168" s="747">
        <f>IF(OR(J168=0,Q168=""),"",Q168/J168-1)</f>
        <v>2.725989743063395E-2</v>
      </c>
      <c r="N168" s="756"/>
      <c r="O168" s="754"/>
      <c r="P168" s="754"/>
      <c r="Q168" s="754">
        <f>SUM(Q166:Q167)</f>
        <v>1283.0279552152908</v>
      </c>
      <c r="R168" s="747"/>
      <c r="S168" s="762"/>
      <c r="T168" s="752"/>
      <c r="U168" s="747"/>
      <c r="V168" s="747"/>
      <c r="W168" s="747"/>
      <c r="X168" s="747"/>
      <c r="Y168" s="747"/>
      <c r="Z168" s="747"/>
      <c r="AA168" s="747"/>
      <c r="AB168" s="747"/>
      <c r="AC168" s="747"/>
      <c r="AD168" s="747"/>
      <c r="AE168" s="747"/>
      <c r="AF168" s="747"/>
      <c r="AG168" s="747"/>
      <c r="AH168" s="747"/>
      <c r="AI168" s="747"/>
      <c r="AJ168" s="747"/>
      <c r="AK168" s="747"/>
      <c r="AL168" s="747"/>
      <c r="AM168" s="747"/>
      <c r="AN168" s="747"/>
      <c r="AO168" s="747"/>
      <c r="AP168" s="747"/>
      <c r="AQ168" s="747"/>
    </row>
    <row r="169" spans="2:43" s="749" customFormat="1" x14ac:dyDescent="0.35">
      <c r="F169" s="750"/>
      <c r="H169" s="751"/>
      <c r="I169" s="751"/>
      <c r="J169" s="751"/>
      <c r="K169" s="752"/>
      <c r="L169" s="757"/>
      <c r="M169" s="752"/>
      <c r="N169" s="758"/>
      <c r="O169" s="751"/>
      <c r="P169" s="751"/>
      <c r="Q169" s="751"/>
      <c r="R169" s="752"/>
      <c r="S169" s="752"/>
      <c r="T169" s="752"/>
      <c r="U169" s="752"/>
      <c r="V169" s="752"/>
      <c r="W169" s="752"/>
      <c r="X169" s="752"/>
      <c r="Y169" s="752"/>
      <c r="Z169" s="752"/>
      <c r="AA169" s="752"/>
      <c r="AB169" s="752"/>
      <c r="AC169" s="752"/>
      <c r="AD169" s="752"/>
      <c r="AE169" s="752"/>
      <c r="AF169" s="752"/>
      <c r="AG169" s="752"/>
      <c r="AH169" s="752"/>
      <c r="AI169" s="752"/>
      <c r="AJ169" s="752"/>
      <c r="AK169" s="752"/>
      <c r="AL169" s="752"/>
      <c r="AM169" s="752"/>
      <c r="AN169" s="752"/>
      <c r="AO169" s="752"/>
      <c r="AP169" s="752"/>
      <c r="AQ169" s="752"/>
    </row>
    <row r="170" spans="2:43" x14ac:dyDescent="0.35">
      <c r="B170" s="64" t="s">
        <v>3</v>
      </c>
      <c r="C170" s="64"/>
      <c r="D170" s="64" t="s">
        <v>285</v>
      </c>
      <c r="E170" s="30" t="s">
        <v>14</v>
      </c>
      <c r="F170" s="258" cm="1">
        <f t="array" ref="F170">_xlfn.XLOOKUP(1,($B170=DistributionZone)*('Network cost'!$D170=tariffL2)*($F$5=Description)*(E170=tariffType),valuesFY)</f>
        <v>1540</v>
      </c>
      <c r="G170" s="511" t="s">
        <v>57</v>
      </c>
      <c r="H170" s="482" cm="1">
        <f t="array" ref="H170">IFERROR(_xlfn.XLOOKUP(1,($B170=DistributionZone)*('Network cost'!$C170=CustomerType)*('Network cost'!$E170=tariffType)*('Network cost'!H$5=Desc_FixedOrVar)*('Network cost'!$G170=Description),valuesPY),0)*_xlfn.XLOOKUP(1,($B170=DistributionZone)*('Network cost'!$C170=CustomerType)*("CL1 Proportion"=Description),valuesPY)</f>
        <v>35.015941997521153</v>
      </c>
      <c r="I170" s="482" cm="1">
        <f t="array" ref="I170">IFERROR(_xlfn.XLOOKUP(1,($B170=DistributionZone)*('Network cost'!$C170=CustomerType)*('Network cost'!$E170=tariffType)*('Network cost'!I$5=Desc_FixedOrVar)*('Network cost'!$G170=Description),valuesPY),0)</f>
        <v>30.6707343973988</v>
      </c>
      <c r="J170" s="482">
        <f t="shared" ref="J170:J175" si="41">H170+I170*F170/1000</f>
        <v>82.248872969515304</v>
      </c>
      <c r="K170" s="484">
        <f>IFERROR(J170/J172,"")</f>
        <v>1</v>
      </c>
      <c r="L170" s="484"/>
      <c r="M170" s="484">
        <f>IF(OR(J170=0,J170="",Q170=""),"",Q170/J170-1)</f>
        <v>0.25007467554685792</v>
      </c>
      <c r="N170" s="563"/>
      <c r="O170" s="482" cm="1">
        <f t="array" ref="O170">IFERROR(_xlfn.XLOOKUP(1,($B170=DistributionZone)*('Network cost'!$C170=CustomerType)*('Network cost'!$E170=tariffType)*('Network cost'!O$5=Desc_FixedOrVar)*('Network cost'!$G170=Description),valuesFY),0)</f>
        <v>48.8466060437229</v>
      </c>
      <c r="P170" s="482" cm="1">
        <f t="array" ref="P170">IFERROR(_xlfn.XLOOKUP(1,($B170=DistributionZone)*('Network cost'!$C170=CustomerType)*('Network cost'!$E170=tariffType)*('Network cost'!P$5=Desc_FixedOrVar)*('Network cost'!$G170=Description),valuesFY),0)</f>
        <v>35.045861784245901</v>
      </c>
      <c r="Q170" s="482">
        <f>O170+P170*$F170/1000</f>
        <v>102.81723319146158</v>
      </c>
      <c r="R170" s="484">
        <f>IFERROR(Q170/Q172,"")</f>
        <v>1</v>
      </c>
      <c r="S170" s="484"/>
      <c r="T170" s="484"/>
      <c r="U170" s="484"/>
      <c r="V170" s="484"/>
      <c r="W170" s="484"/>
      <c r="X170" s="484"/>
      <c r="Y170" s="484"/>
      <c r="Z170" s="484"/>
      <c r="AA170" s="484"/>
      <c r="AB170" s="484"/>
      <c r="AC170" s="484"/>
      <c r="AD170" s="484"/>
      <c r="AE170" s="484"/>
      <c r="AF170" s="484"/>
      <c r="AG170" s="484"/>
      <c r="AH170" s="484"/>
      <c r="AI170" s="484"/>
      <c r="AJ170" s="484"/>
      <c r="AK170" s="484"/>
      <c r="AL170" s="484"/>
      <c r="AM170" s="484"/>
      <c r="AN170" s="484"/>
      <c r="AO170" s="484"/>
      <c r="AP170" s="484"/>
      <c r="AQ170" s="484"/>
    </row>
    <row r="171" spans="2:43" x14ac:dyDescent="0.35">
      <c r="B171" s="30" t="str">
        <f>B170</f>
        <v>Essential</v>
      </c>
      <c r="D171" s="30" t="str">
        <f>D170</f>
        <v>controlled load</v>
      </c>
      <c r="E171" s="30" t="s">
        <v>14</v>
      </c>
      <c r="F171" s="258" cm="1">
        <f t="array" ref="F171">_xlfn.XLOOKUP(1,($B171=DistributionZone)*('Network cost'!$D171=tariffL2)*($F$5=Description)*(E171=tariffType),valuesFY)</f>
        <v>1540</v>
      </c>
      <c r="G171" s="511" t="s">
        <v>61</v>
      </c>
      <c r="H171" s="482" cm="1">
        <f t="array" ref="H171">IFERROR(_xlfn.XLOOKUP(1,($B171=DistributionZone)*('Network cost'!$C171=CustomerType)*('Network cost'!$E171=tariffType)*('Network cost'!H$5=Desc_FixedOrVar)*('Network cost'!$G171=Description),valuesPY),0)*_xlfn.XLOOKUP(1,($B171=DistributionZone)*('Network cost'!$C171=CustomerType)*("CL1 Proportion"=Description),valuesPY)</f>
        <v>0</v>
      </c>
      <c r="I171" s="482" cm="1">
        <f t="array" ref="I171">IFERROR(_xlfn.XLOOKUP(1,($B171=DistributionZone)*('Network cost'!$C171=CustomerType)*('Network cost'!$E171=tariffType)*('Network cost'!I$5=Desc_FixedOrVar)*('Network cost'!$G171=Description),valuesPY),0)</f>
        <v>0</v>
      </c>
      <c r="J171" s="482">
        <f t="shared" si="41"/>
        <v>0</v>
      </c>
      <c r="K171" s="484">
        <f>IFERROR(J171/J172,"")</f>
        <v>0</v>
      </c>
      <c r="L171" s="484"/>
      <c r="M171" s="484" t="str">
        <f>IF(OR(J171=0,J171="",Q171=""),"",Q171/J171-1)</f>
        <v/>
      </c>
      <c r="N171" s="563"/>
      <c r="O171" s="482" cm="1">
        <f t="array" ref="O171">IFERROR(_xlfn.XLOOKUP(1,($B171=DistributionZone)*('Network cost'!$C171=CustomerType)*('Network cost'!$E171=tariffType)*('Network cost'!O$5=Desc_FixedOrVar)*('Network cost'!$G171=Description),valuesFY),0)</f>
        <v>0</v>
      </c>
      <c r="P171" s="482" cm="1">
        <f t="array" ref="P171">IFERROR(_xlfn.XLOOKUP(1,($B171=DistributionZone)*('Network cost'!$C171=CustomerType)*('Network cost'!$E171=tariffType)*('Network cost'!P$5=Desc_FixedOrVar)*('Network cost'!$G171=Description),valuesFY),0)</f>
        <v>0</v>
      </c>
      <c r="Q171" s="482">
        <f>O171+P171*$F171/1000</f>
        <v>0</v>
      </c>
      <c r="R171" s="484">
        <f>IFERROR(Q171/Q172,"")</f>
        <v>0</v>
      </c>
      <c r="S171" s="484"/>
      <c r="T171" s="484"/>
      <c r="U171" s="484"/>
      <c r="V171" s="484"/>
      <c r="W171" s="484"/>
      <c r="X171" s="484"/>
      <c r="Y171" s="484"/>
      <c r="Z171" s="484"/>
      <c r="AA171" s="484"/>
      <c r="AB171" s="484"/>
      <c r="AC171" s="484"/>
      <c r="AD171" s="484"/>
      <c r="AE171" s="484"/>
      <c r="AF171" s="484"/>
      <c r="AG171" s="484"/>
      <c r="AH171" s="484"/>
      <c r="AI171" s="484"/>
      <c r="AJ171" s="484"/>
      <c r="AK171" s="484"/>
      <c r="AL171" s="484"/>
      <c r="AM171" s="484"/>
      <c r="AN171" s="484"/>
      <c r="AO171" s="484"/>
      <c r="AP171" s="484"/>
      <c r="AQ171" s="484"/>
    </row>
    <row r="172" spans="2:43" x14ac:dyDescent="0.35">
      <c r="B172" s="30" t="str">
        <f t="shared" ref="B172:B178" si="42">B171</f>
        <v>Essential</v>
      </c>
      <c r="D172" s="30" t="str">
        <f t="shared" ref="D172:D178" si="43">D171</f>
        <v>controlled load</v>
      </c>
      <c r="E172" s="30" t="s">
        <v>14</v>
      </c>
      <c r="F172" s="258" cm="1">
        <f t="array" ref="F172">_xlfn.XLOOKUP(1,($B172=DistributionZone)*('Network cost'!$D172=tariffL2)*($F$5=Description)*(E172=tariffType),valuesFY)</f>
        <v>1540</v>
      </c>
      <c r="G172" s="64" t="s">
        <v>55</v>
      </c>
      <c r="H172" s="487">
        <f>+H171+H170</f>
        <v>35.015941997521153</v>
      </c>
      <c r="I172" s="487">
        <f>+I171+I170</f>
        <v>30.6707343973988</v>
      </c>
      <c r="J172" s="487">
        <f t="shared" si="41"/>
        <v>82.248872969515304</v>
      </c>
      <c r="K172" s="564"/>
      <c r="L172" s="565"/>
      <c r="M172" s="564">
        <f>IF(OR(J172=0,Q172=""),"",Q172/J172-1)</f>
        <v>0.25007467554685792</v>
      </c>
      <c r="N172" s="566"/>
      <c r="O172" s="487">
        <f>SUM(O170:O171)</f>
        <v>48.8466060437229</v>
      </c>
      <c r="P172" s="487">
        <f>SUM(P170:P171)</f>
        <v>35.045861784245901</v>
      </c>
      <c r="Q172" s="487">
        <f>O172+P172*$F172/1000</f>
        <v>102.81723319146158</v>
      </c>
      <c r="R172" s="484"/>
      <c r="S172" s="484"/>
      <c r="T172" s="484"/>
      <c r="U172" s="484"/>
      <c r="V172" s="484"/>
      <c r="W172" s="484"/>
      <c r="X172" s="484"/>
      <c r="Y172" s="484"/>
      <c r="Z172" s="484"/>
      <c r="AA172" s="484"/>
      <c r="AB172" s="484"/>
      <c r="AC172" s="484"/>
      <c r="AD172" s="484"/>
      <c r="AE172" s="484"/>
      <c r="AF172" s="484"/>
      <c r="AG172" s="484"/>
      <c r="AH172" s="484"/>
      <c r="AI172" s="484"/>
      <c r="AJ172" s="484"/>
      <c r="AK172" s="484"/>
      <c r="AL172" s="484"/>
      <c r="AM172" s="484"/>
      <c r="AN172" s="484"/>
      <c r="AO172" s="484"/>
      <c r="AP172" s="484"/>
      <c r="AQ172" s="484"/>
    </row>
    <row r="173" spans="2:43" x14ac:dyDescent="0.35">
      <c r="B173" s="30" t="str">
        <f t="shared" si="42"/>
        <v>Essential</v>
      </c>
      <c r="D173" s="30" t="str">
        <f t="shared" si="43"/>
        <v>controlled load</v>
      </c>
      <c r="E173" s="30" t="s">
        <v>15</v>
      </c>
      <c r="F173" s="258" cm="1">
        <f t="array" ref="F173">_xlfn.XLOOKUP(1,($B173=DistributionZone)*('Network cost'!$D173=tariffL2)*($F$5=Description)*(E173=tariffType),valuesFY)</f>
        <v>460</v>
      </c>
      <c r="G173" s="511" t="s">
        <v>57</v>
      </c>
      <c r="H173" s="482" cm="1">
        <f t="array" ref="H173">IFERROR(_xlfn.XLOOKUP(1,($B173=DistributionZone)*('Network cost'!$C173=CustomerType)*('Network cost'!$E173=tariffType)*('Network cost'!H$5=Desc_FixedOrVar)*('Network cost'!$G173=Description),valuesPY),0)*(_xlfn.XLOOKUP(1,($B173=DistributionZone)*('Network cost'!$C173=CustomerType)*("CL2 Proportion"=Description),valuesPY))</f>
        <v>10.459307349908915</v>
      </c>
      <c r="I173" s="482" cm="1">
        <f t="array" ref="I173">IFERROR(_xlfn.XLOOKUP(1,($B173=DistributionZone)*('Network cost'!$C173=CustomerType)*('Network cost'!$E173=tariffType)*('Network cost'!I$5=Desc_FixedOrVar)*('Network cost'!$G173=Description),valuesPY),0)</f>
        <v>63.826537234862798</v>
      </c>
      <c r="J173" s="482">
        <f t="shared" si="41"/>
        <v>39.819514477945802</v>
      </c>
      <c r="K173" s="484">
        <f>IFERROR(J173/J175,"")</f>
        <v>1</v>
      </c>
      <c r="L173" s="484"/>
      <c r="M173" s="484">
        <f>IF(OR(J173=0,J173="",Q173=""),"",Q173/J173-1)</f>
        <v>1.0354352291709086</v>
      </c>
      <c r="N173" s="563"/>
      <c r="O173" s="482" cm="1">
        <f t="array" ref="O173">IFERROR(_xlfn.XLOOKUP(1,($B173=DistributionZone)*('Network cost'!$C173=CustomerType)*('Network cost'!$E173=tariffType)*('Network cost'!O$5=Desc_FixedOrVar)*('Network cost'!$G173=Description),valuesFY),0)</f>
        <v>48.8466060437229</v>
      </c>
      <c r="P173" s="482" cm="1">
        <f t="array" ref="P173">IFERROR(_xlfn.XLOOKUP(1,($B173=DistributionZone)*('Network cost'!$C173=CustomerType)*('Network cost'!$E173=tariffType)*('Network cost'!P$5=Desc_FixedOrVar)*('Network cost'!$G173=Description),valuesFY),0)</f>
        <v>70.007470724280495</v>
      </c>
      <c r="Q173" s="482">
        <f>O173+P173*$F173/1000</f>
        <v>81.050042576891926</v>
      </c>
      <c r="R173" s="484">
        <f>IFERROR(Q173/Q175,"")</f>
        <v>1</v>
      </c>
      <c r="S173" s="484"/>
      <c r="T173" s="484"/>
      <c r="U173" s="484"/>
      <c r="V173" s="484"/>
      <c r="W173" s="484"/>
      <c r="X173" s="484"/>
      <c r="Y173" s="484"/>
      <c r="Z173" s="484"/>
      <c r="AA173" s="484"/>
      <c r="AB173" s="484"/>
      <c r="AC173" s="484"/>
      <c r="AD173" s="484"/>
      <c r="AE173" s="484"/>
      <c r="AF173" s="484"/>
      <c r="AG173" s="484"/>
      <c r="AH173" s="484"/>
      <c r="AI173" s="484"/>
      <c r="AJ173" s="484"/>
      <c r="AK173" s="484"/>
      <c r="AL173" s="484"/>
      <c r="AM173" s="484"/>
      <c r="AN173" s="484"/>
      <c r="AO173" s="484"/>
      <c r="AP173" s="484"/>
      <c r="AQ173" s="484"/>
    </row>
    <row r="174" spans="2:43" x14ac:dyDescent="0.35">
      <c r="B174" s="30" t="str">
        <f t="shared" si="42"/>
        <v>Essential</v>
      </c>
      <c r="D174" s="30" t="str">
        <f t="shared" si="43"/>
        <v>controlled load</v>
      </c>
      <c r="E174" s="30" t="s">
        <v>15</v>
      </c>
      <c r="F174" s="258" cm="1">
        <f t="array" ref="F174">_xlfn.XLOOKUP(1,($B174=DistributionZone)*('Network cost'!$D174=tariffL2)*($F$5=Description)*(E174=tariffType),valuesFY)</f>
        <v>460</v>
      </c>
      <c r="G174" s="511" t="s">
        <v>61</v>
      </c>
      <c r="H174" s="482" cm="1">
        <f t="array" ref="H174">IFERROR(_xlfn.XLOOKUP(1,($B174=DistributionZone)*('Network cost'!$C174=CustomerType)*('Network cost'!$E174=tariffType)*('Network cost'!H$5=Desc_FixedOrVar)*('Network cost'!$G174=Description),valuesPY),0)*(1-_xlfn.XLOOKUP(1,($B174=DistributionZone)*('Network cost'!$C174=CustomerType)*("CL1 Proportion"=Description),valuesPY))</f>
        <v>0</v>
      </c>
      <c r="I174" s="482" cm="1">
        <f t="array" ref="I174">IFERROR(_xlfn.XLOOKUP(1,($B174=DistributionZone)*('Network cost'!$C174=CustomerType)*('Network cost'!$E174=tariffType)*('Network cost'!I$5=Desc_FixedOrVar)*('Network cost'!$G174=Description),valuesPY),0)</f>
        <v>0</v>
      </c>
      <c r="J174" s="482">
        <f t="shared" si="41"/>
        <v>0</v>
      </c>
      <c r="K174" s="484">
        <f>IFERROR(J174/J175,"")</f>
        <v>0</v>
      </c>
      <c r="L174" s="484"/>
      <c r="M174" s="484" t="str">
        <f>IF(OR(J174=0,J174="",Q174=""),"",Q174/J174-1)</f>
        <v/>
      </c>
      <c r="N174" s="563"/>
      <c r="O174" s="482" cm="1">
        <f t="array" ref="O174">IFERROR(_xlfn.XLOOKUP(1,($B174=DistributionZone)*('Network cost'!$C174=CustomerType)*('Network cost'!$E174=tariffType)*('Network cost'!O$5=Desc_FixedOrVar)*('Network cost'!$G174=Description)*($D174=tariffL2),valuesFY),0)</f>
        <v>0</v>
      </c>
      <c r="P174" s="482" cm="1">
        <f t="array" ref="P174">IFERROR(_xlfn.XLOOKUP(1,($B174=DistributionZone)*('Network cost'!$C174=CustomerType)*('Network cost'!$E174=tariffType)*('Network cost'!P$5=Desc_FixedOrVar)*('Network cost'!$G174=Description),valuesFY),0)</f>
        <v>0</v>
      </c>
      <c r="Q174" s="482">
        <f>O174+P174*$F174/1000</f>
        <v>0</v>
      </c>
      <c r="R174" s="484">
        <f>IFERROR(Q174/Q175,"")</f>
        <v>0</v>
      </c>
      <c r="S174" s="484"/>
      <c r="T174" s="484"/>
      <c r="U174" s="484"/>
      <c r="V174" s="484"/>
      <c r="W174" s="484"/>
      <c r="X174" s="484"/>
      <c r="Y174" s="484"/>
      <c r="Z174" s="484"/>
      <c r="AA174" s="484"/>
      <c r="AB174" s="484"/>
      <c r="AC174" s="484"/>
      <c r="AD174" s="484"/>
      <c r="AE174" s="484"/>
      <c r="AF174" s="484"/>
      <c r="AG174" s="484"/>
      <c r="AH174" s="484"/>
      <c r="AI174" s="484"/>
      <c r="AJ174" s="484"/>
      <c r="AK174" s="484"/>
      <c r="AL174" s="484"/>
      <c r="AM174" s="484"/>
      <c r="AN174" s="484"/>
      <c r="AO174" s="484"/>
      <c r="AP174" s="484"/>
      <c r="AQ174" s="484"/>
    </row>
    <row r="175" spans="2:43" x14ac:dyDescent="0.35">
      <c r="B175" s="30" t="str">
        <f t="shared" si="42"/>
        <v>Essential</v>
      </c>
      <c r="D175" s="30" t="str">
        <f t="shared" si="43"/>
        <v>controlled load</v>
      </c>
      <c r="E175" s="30" t="s">
        <v>15</v>
      </c>
      <c r="F175" s="258" cm="1">
        <f t="array" ref="F175">_xlfn.XLOOKUP(1,($B175=DistributionZone)*('Network cost'!$D175=tariffL2)*($F$5=Description)*(E175=tariffType),valuesFY)</f>
        <v>460</v>
      </c>
      <c r="G175" s="64" t="s">
        <v>55</v>
      </c>
      <c r="H175" s="487">
        <f>+H174+H173</f>
        <v>10.459307349908915</v>
      </c>
      <c r="I175" s="487">
        <f>+I174+I173</f>
        <v>63.826537234862798</v>
      </c>
      <c r="J175" s="487">
        <f t="shared" si="41"/>
        <v>39.819514477945802</v>
      </c>
      <c r="K175" s="564"/>
      <c r="L175" s="565"/>
      <c r="M175" s="564">
        <f>IF(OR(J175=0,Q175=""),"",Q175/J175-1)</f>
        <v>1.0354352291709086</v>
      </c>
      <c r="N175" s="566"/>
      <c r="O175" s="487">
        <f>SUM(O173:O174)</f>
        <v>48.8466060437229</v>
      </c>
      <c r="P175" s="487">
        <f>SUM(P173:P174)</f>
        <v>70.007470724280495</v>
      </c>
      <c r="Q175" s="487">
        <f>SUM(Q173:Q174)</f>
        <v>81.050042576891926</v>
      </c>
      <c r="R175" s="484"/>
      <c r="S175" s="484"/>
      <c r="T175" s="484"/>
      <c r="U175" s="484"/>
      <c r="V175" s="484"/>
      <c r="W175" s="484"/>
      <c r="X175" s="484"/>
      <c r="Y175" s="484"/>
      <c r="Z175" s="484"/>
      <c r="AA175" s="484"/>
      <c r="AB175" s="484"/>
      <c r="AC175" s="484"/>
      <c r="AD175" s="484"/>
      <c r="AE175" s="484"/>
      <c r="AF175" s="484"/>
      <c r="AG175" s="484"/>
      <c r="AH175" s="484"/>
      <c r="AI175" s="484"/>
      <c r="AJ175" s="484"/>
      <c r="AK175" s="484"/>
      <c r="AL175" s="484"/>
      <c r="AM175" s="484"/>
      <c r="AN175" s="484"/>
      <c r="AO175" s="484"/>
      <c r="AP175" s="484"/>
      <c r="AQ175" s="484"/>
    </row>
    <row r="176" spans="2:43" x14ac:dyDescent="0.35">
      <c r="B176" s="30" t="str">
        <f t="shared" si="42"/>
        <v>Essential</v>
      </c>
      <c r="D176" s="30" t="str">
        <f t="shared" si="43"/>
        <v>controlled load</v>
      </c>
      <c r="E176" s="30" t="s">
        <v>55</v>
      </c>
      <c r="F176" s="258">
        <f>SUM(F170,F173)</f>
        <v>2000</v>
      </c>
      <c r="G176" s="64" t="s">
        <v>55</v>
      </c>
      <c r="H176" s="487"/>
      <c r="I176" s="487"/>
      <c r="J176" s="487">
        <f>SUM(J162,J172,J175)</f>
        <v>122.06838744746111</v>
      </c>
      <c r="K176" s="564"/>
      <c r="L176" s="565"/>
      <c r="M176" s="564">
        <f>IF(OR(J176=0,J176="",Q176=""),"",Q176/J176-1)</f>
        <v>0.50626447693094168</v>
      </c>
      <c r="N176" s="566"/>
      <c r="O176" s="487"/>
      <c r="P176" s="487"/>
      <c r="Q176" s="487">
        <f>SUM(Q162,Q172,Q175)</f>
        <v>183.86727576835352</v>
      </c>
      <c r="R176" s="484"/>
      <c r="S176" s="484"/>
      <c r="T176" s="484"/>
      <c r="U176" s="484"/>
      <c r="V176" s="484"/>
      <c r="W176" s="484"/>
      <c r="X176" s="484"/>
      <c r="Y176" s="484"/>
      <c r="Z176" s="484"/>
      <c r="AA176" s="484"/>
      <c r="AB176" s="484"/>
      <c r="AC176" s="484"/>
      <c r="AD176" s="484"/>
      <c r="AE176" s="484"/>
      <c r="AF176" s="484"/>
      <c r="AG176" s="484"/>
      <c r="AH176" s="484"/>
      <c r="AI176" s="484"/>
      <c r="AJ176" s="484"/>
      <c r="AK176" s="484"/>
      <c r="AL176" s="484"/>
      <c r="AM176" s="484"/>
      <c r="AN176" s="484"/>
      <c r="AO176" s="484"/>
      <c r="AP176" s="484"/>
      <c r="AQ176" s="484"/>
    </row>
    <row r="177" spans="2:43" x14ac:dyDescent="0.35">
      <c r="B177" s="30" t="str">
        <f t="shared" si="42"/>
        <v>Essential</v>
      </c>
      <c r="D177" s="30" t="str">
        <f t="shared" si="43"/>
        <v>controlled load</v>
      </c>
      <c r="F177" s="258"/>
      <c r="G177" s="30" t="s">
        <v>38</v>
      </c>
      <c r="H177" s="482"/>
      <c r="I177" s="482"/>
      <c r="J177" s="482">
        <f>J176*GST</f>
        <v>12.206838744746111</v>
      </c>
      <c r="K177" s="484"/>
      <c r="L177" s="567"/>
      <c r="M177" s="484">
        <f>IF(OR(J177=0,Q177=""),"",Q177/J177-1)</f>
        <v>0.50626447693094145</v>
      </c>
      <c r="N177" s="568"/>
      <c r="O177" s="482"/>
      <c r="P177" s="482"/>
      <c r="Q177" s="482">
        <f>Q176*GST</f>
        <v>18.386727576835352</v>
      </c>
      <c r="R177" s="484"/>
      <c r="S177" s="484"/>
      <c r="T177" s="484"/>
      <c r="U177" s="484"/>
      <c r="V177" s="484"/>
      <c r="W177" s="484"/>
      <c r="X177" s="484"/>
      <c r="Y177" s="484"/>
      <c r="Z177" s="484"/>
      <c r="AA177" s="484"/>
      <c r="AB177" s="484"/>
      <c r="AC177" s="484"/>
      <c r="AD177" s="484"/>
      <c r="AE177" s="484"/>
      <c r="AF177" s="484"/>
      <c r="AG177" s="484"/>
      <c r="AH177" s="484"/>
      <c r="AI177" s="484"/>
      <c r="AJ177" s="484"/>
      <c r="AK177" s="484"/>
      <c r="AL177" s="484"/>
      <c r="AM177" s="484"/>
      <c r="AN177" s="484"/>
      <c r="AO177" s="484"/>
      <c r="AP177" s="484"/>
      <c r="AQ177" s="484"/>
    </row>
    <row r="178" spans="2:43" x14ac:dyDescent="0.35">
      <c r="B178" s="30" t="str">
        <f t="shared" si="42"/>
        <v>Essential</v>
      </c>
      <c r="D178" s="30" t="str">
        <f t="shared" si="43"/>
        <v>controlled load</v>
      </c>
      <c r="F178" s="258"/>
      <c r="G178" s="64" t="s">
        <v>79</v>
      </c>
      <c r="H178" s="487"/>
      <c r="I178" s="487"/>
      <c r="J178" s="487">
        <f>SUM(J176:J177)</f>
        <v>134.27522619220721</v>
      </c>
      <c r="K178" s="564"/>
      <c r="L178" s="565"/>
      <c r="M178" s="564">
        <f>IF(OR(J178=0,Q178=""),"",Q178/J178-1)</f>
        <v>0.50626447693094168</v>
      </c>
      <c r="N178" s="566"/>
      <c r="O178" s="487"/>
      <c r="P178" s="487"/>
      <c r="Q178" s="487">
        <f>SUM(Q176:Q177)</f>
        <v>202.25400334518886</v>
      </c>
      <c r="R178" s="564"/>
      <c r="S178" s="564"/>
      <c r="T178" s="484"/>
      <c r="U178" s="564"/>
      <c r="V178" s="564"/>
      <c r="W178" s="564"/>
      <c r="X178" s="564"/>
      <c r="Y178" s="564"/>
      <c r="Z178" s="564"/>
      <c r="AA178" s="564"/>
      <c r="AB178" s="564"/>
      <c r="AC178" s="564"/>
      <c r="AD178" s="564"/>
      <c r="AE178" s="564"/>
      <c r="AF178" s="564"/>
      <c r="AG178" s="564"/>
      <c r="AH178" s="564"/>
      <c r="AI178" s="564"/>
      <c r="AJ178" s="564"/>
      <c r="AK178" s="564"/>
      <c r="AL178" s="564"/>
      <c r="AM178" s="564"/>
      <c r="AN178" s="564"/>
      <c r="AO178" s="564"/>
      <c r="AP178" s="564"/>
      <c r="AQ178" s="564"/>
    </row>
    <row r="179" spans="2:43" x14ac:dyDescent="0.35">
      <c r="F179" s="258"/>
      <c r="H179" s="482"/>
      <c r="I179" s="482"/>
      <c r="J179" s="482"/>
      <c r="K179" s="484"/>
      <c r="L179" s="567"/>
      <c r="M179" s="484"/>
      <c r="N179" s="568"/>
      <c r="O179" s="482"/>
      <c r="P179" s="482"/>
      <c r="Q179" s="482"/>
      <c r="R179" s="484"/>
      <c r="S179" s="484"/>
      <c r="T179" s="484"/>
      <c r="U179" s="484"/>
      <c r="V179" s="484"/>
      <c r="W179" s="484"/>
      <c r="X179" s="484"/>
      <c r="Y179" s="484"/>
      <c r="Z179" s="484"/>
      <c r="AA179" s="484"/>
      <c r="AB179" s="484"/>
      <c r="AC179" s="484"/>
      <c r="AD179" s="484"/>
      <c r="AE179" s="484"/>
      <c r="AF179" s="484"/>
      <c r="AG179" s="484"/>
      <c r="AH179" s="484"/>
      <c r="AI179" s="484"/>
      <c r="AJ179" s="484"/>
      <c r="AK179" s="484"/>
      <c r="AL179" s="484"/>
      <c r="AM179" s="484"/>
      <c r="AN179" s="484"/>
      <c r="AO179" s="484"/>
      <c r="AP179" s="484"/>
      <c r="AQ179" s="484"/>
    </row>
    <row r="180" spans="2:43" x14ac:dyDescent="0.35">
      <c r="B180" s="64" t="s">
        <v>3</v>
      </c>
      <c r="C180" s="64" t="s">
        <v>13</v>
      </c>
      <c r="D180" s="64" t="s">
        <v>276</v>
      </c>
      <c r="E180" s="64"/>
      <c r="F180" s="490"/>
      <c r="H180" s="482"/>
      <c r="I180" s="482"/>
      <c r="J180" s="482"/>
      <c r="K180" s="484"/>
      <c r="L180" s="567"/>
      <c r="M180" s="484"/>
      <c r="N180" s="568"/>
      <c r="O180" s="482"/>
      <c r="P180" s="482"/>
      <c r="Q180" s="482"/>
      <c r="R180" s="484"/>
      <c r="S180" s="484"/>
      <c r="T180" s="484"/>
      <c r="U180" s="484"/>
      <c r="V180" s="484"/>
      <c r="W180" s="484"/>
      <c r="X180" s="484"/>
      <c r="Y180" s="484"/>
      <c r="Z180" s="484"/>
      <c r="AA180" s="484"/>
      <c r="AB180" s="484"/>
      <c r="AC180" s="484"/>
      <c r="AD180" s="484"/>
      <c r="AE180" s="484"/>
      <c r="AF180" s="484"/>
      <c r="AG180" s="484"/>
      <c r="AH180" s="484"/>
      <c r="AI180" s="484"/>
      <c r="AJ180" s="484"/>
      <c r="AK180" s="484"/>
      <c r="AL180" s="484"/>
      <c r="AM180" s="484"/>
      <c r="AN180" s="484"/>
      <c r="AO180" s="484"/>
      <c r="AP180" s="484"/>
      <c r="AQ180" s="484"/>
    </row>
    <row r="181" spans="2:43" x14ac:dyDescent="0.35">
      <c r="B181" s="30" t="str">
        <f t="shared" ref="B181:D185" si="44">B$180</f>
        <v>Essential</v>
      </c>
      <c r="C181" s="30" t="str">
        <f t="shared" si="44"/>
        <v>Small business</v>
      </c>
      <c r="D181" s="30" t="str">
        <f>D$180</f>
        <v>flat rate</v>
      </c>
      <c r="E181" s="30" t="s">
        <v>19</v>
      </c>
      <c r="F181" s="258" cm="1">
        <f t="array" ref="F181">_xlfn.XLOOKUP(1,($B181=DistributionZone)*('Network cost'!$C181=CustomerType)*('Network cost'!$D181=tariffL2)*($F$5=Description)*(E181=tariffType),valuesFY)</f>
        <v>10000</v>
      </c>
      <c r="G181" s="30" t="s">
        <v>57</v>
      </c>
      <c r="H181" s="482" cm="1">
        <f t="array" ref="H181">IFERROR(_xlfn.XLOOKUP(1,($B181=DistributionZone)*('Network cost'!$C181=CustomerType)*('Network cost'!$E181=tariffType)*('Network cost'!H$5=Desc_FixedOrVar)*('Network cost'!$G181=Description),valuesPY),0)</f>
        <v>749.22590509637962</v>
      </c>
      <c r="I181" s="482" cm="1">
        <f t="array" ref="I181">IFERROR(_xlfn.XLOOKUP(1,($B181=DistributionZone)*('Network cost'!$C181=CustomerType)*('Network cost'!$E181=tariffType)*('Network cost'!I$5=Desc_FixedOrVar)*('Network cost'!$G181=Description),valuesPY),0)</f>
        <v>187.87786146018402</v>
      </c>
      <c r="J181" s="482">
        <f>H181+I181*F181/1000</f>
        <v>2628.0045196982201</v>
      </c>
      <c r="K181" s="484">
        <f>IFERROR(J181/J183,"")</f>
        <v>0.97690566156087355</v>
      </c>
      <c r="L181" s="484"/>
      <c r="M181" s="484">
        <f>IF(OR(J181=0,J181="",Q181=""),"",Q181/J181-1)</f>
        <v>5.4952755941757525E-2</v>
      </c>
      <c r="N181" s="563"/>
      <c r="O181" s="482" cm="1">
        <f t="array" ref="O181">IFERROR(_xlfn.XLOOKUP(1,($B181=DistributionZone)*('Network cost'!$C181=CustomerType)*('Network cost'!$E181=tariffType)*('Network cost'!O$5=Desc_FixedOrVar)*('Network cost'!$G181=Description),valuesFY),0)</f>
        <v>804.77057628410205</v>
      </c>
      <c r="P181" s="482" cm="1">
        <f t="array" ref="P181">IFERROR(_xlfn.XLOOKUP(1,($B181=DistributionZone)*('Network cost'!$C181=CustomerType)*('Network cost'!$E181=tariffType)*('Network cost'!P$5=Desc_FixedOrVar)*('Network cost'!$G181=Description),valuesFY),0)</f>
        <v>196.76500343989301</v>
      </c>
      <c r="Q181" s="482">
        <f>O181+P181*$F181/1000</f>
        <v>2772.420610683032</v>
      </c>
      <c r="R181" s="484">
        <f>IFERROR(Q181/Q183,"")</f>
        <v>0.97766436612602936</v>
      </c>
      <c r="S181" s="484"/>
      <c r="T181" s="484"/>
      <c r="U181" s="484"/>
      <c r="V181" s="484"/>
      <c r="W181" s="484"/>
      <c r="X181" s="484"/>
      <c r="Y181" s="484"/>
      <c r="Z181" s="484"/>
      <c r="AA181" s="484"/>
      <c r="AB181" s="484"/>
      <c r="AC181" s="484"/>
      <c r="AD181" s="484"/>
      <c r="AE181" s="484"/>
      <c r="AF181" s="484"/>
      <c r="AG181" s="484"/>
      <c r="AH181" s="484"/>
      <c r="AI181" s="484"/>
      <c r="AJ181" s="484"/>
      <c r="AK181" s="484"/>
      <c r="AL181" s="484"/>
      <c r="AM181" s="484"/>
      <c r="AN181" s="484"/>
      <c r="AO181" s="484"/>
      <c r="AP181" s="484"/>
      <c r="AQ181" s="484"/>
    </row>
    <row r="182" spans="2:43" x14ac:dyDescent="0.35">
      <c r="B182" s="30" t="str">
        <f t="shared" si="44"/>
        <v>Essential</v>
      </c>
      <c r="C182" s="30" t="str">
        <f t="shared" si="44"/>
        <v>Small business</v>
      </c>
      <c r="D182" s="30" t="str">
        <f t="shared" si="44"/>
        <v>flat rate</v>
      </c>
      <c r="E182" s="30" t="s">
        <v>19</v>
      </c>
      <c r="F182" s="258" cm="1">
        <f t="array" ref="F182">_xlfn.XLOOKUP(1,($B182=DistributionZone)*('Network cost'!$C182=CustomerType)*('Network cost'!$D182=tariffL2)*($F$5=Description)*(E182=tariffType),valuesFY)</f>
        <v>10000</v>
      </c>
      <c r="G182" s="30" t="s">
        <v>61</v>
      </c>
      <c r="H182" s="482" cm="1">
        <f t="array" ref="H182">IFERROR(_xlfn.XLOOKUP(1,($B182=DistributionZone)*('Network cost'!$C182=CustomerType)*('Network cost'!$E182=tariffType)*('Network cost'!H$5=Desc_FixedOrVar)*('Network cost'!$G182=Description),valuesPY),0)</f>
        <v>62.126803217101561</v>
      </c>
      <c r="I182" s="482" cm="1">
        <f t="array" ref="I182">IFERROR(_xlfn.XLOOKUP(1,($B182=DistributionZone)*('Network cost'!$C182=CustomerType)*('Network cost'!$E182=tariffType)*('Network cost'!I$5=Desc_FixedOrVar)*('Network cost'!$G182=Description),valuesPY),0)</f>
        <v>0</v>
      </c>
      <c r="J182" s="482">
        <f>H182+I182*F182/1000</f>
        <v>62.126803217101561</v>
      </c>
      <c r="K182" s="484">
        <f>IFERROR(J182/J183,"")</f>
        <v>2.3094338439126508E-2</v>
      </c>
      <c r="L182" s="484"/>
      <c r="M182" s="484">
        <f>IF(OR(J182=0,J182="",Q182=""),"",Q182/J182-1)</f>
        <v>1.9503232927262637E-2</v>
      </c>
      <c r="N182" s="563"/>
      <c r="O182" s="482" cm="1">
        <f t="array" ref="O182">IFERROR(_xlfn.XLOOKUP(1,($B182=DistributionZone)*('Network cost'!$C182=CustomerType)*('Network cost'!$E182=tariffType)*('Network cost'!O$5=Desc_FixedOrVar)*('Network cost'!$G182=Description),valuesFY),0)</f>
        <v>63.338476731270902</v>
      </c>
      <c r="P182" s="482" cm="1">
        <f t="array" ref="P182">IFERROR(_xlfn.XLOOKUP(1,($B182=DistributionZone)*('Network cost'!$C182=CustomerType)*('Network cost'!$E182=tariffType)*('Network cost'!P$5=Desc_FixedOrVar)*('Network cost'!$G182=Description),valuesFY),0)</f>
        <v>0</v>
      </c>
      <c r="Q182" s="482">
        <f>O182+P182*$F182/1000</f>
        <v>63.338476731270902</v>
      </c>
      <c r="R182" s="484">
        <f>IFERROR(Q182/Q183,"")</f>
        <v>2.2335633873970615E-2</v>
      </c>
      <c r="S182" s="484"/>
      <c r="T182" s="484"/>
      <c r="U182" s="484"/>
      <c r="V182" s="484"/>
      <c r="W182" s="484"/>
      <c r="X182" s="484"/>
      <c r="Y182" s="484"/>
      <c r="Z182" s="484"/>
      <c r="AA182" s="484"/>
      <c r="AB182" s="484"/>
      <c r="AC182" s="484"/>
      <c r="AD182" s="484"/>
      <c r="AE182" s="484"/>
      <c r="AF182" s="484"/>
      <c r="AG182" s="484"/>
      <c r="AH182" s="484"/>
      <c r="AI182" s="484"/>
      <c r="AJ182" s="484"/>
      <c r="AK182" s="484"/>
      <c r="AL182" s="484"/>
      <c r="AM182" s="484"/>
      <c r="AN182" s="484"/>
      <c r="AO182" s="484"/>
      <c r="AP182" s="484"/>
      <c r="AQ182" s="484"/>
    </row>
    <row r="183" spans="2:43" x14ac:dyDescent="0.35">
      <c r="B183" s="30" t="str">
        <f t="shared" si="44"/>
        <v>Essential</v>
      </c>
      <c r="C183" s="30" t="str">
        <f t="shared" si="44"/>
        <v>Small business</v>
      </c>
      <c r="D183" s="30" t="str">
        <f t="shared" si="44"/>
        <v>flat rate</v>
      </c>
      <c r="E183" s="30" t="s">
        <v>19</v>
      </c>
      <c r="F183" s="258" cm="1">
        <f t="array" ref="F183">_xlfn.XLOOKUP(1,($B183=DistributionZone)*('Network cost'!$C183=CustomerType)*('Network cost'!$D183=tariffL2)*($F$5=Description)*(E183=tariffType),valuesFY)</f>
        <v>10000</v>
      </c>
      <c r="G183" s="64" t="s">
        <v>55</v>
      </c>
      <c r="H183" s="487">
        <f>+H182+H181</f>
        <v>811.35270831348123</v>
      </c>
      <c r="I183" s="487">
        <f>+I181</f>
        <v>187.87786146018402</v>
      </c>
      <c r="J183" s="487">
        <f>H183+I183*F183/1000</f>
        <v>2690.1313229153216</v>
      </c>
      <c r="K183" s="564"/>
      <c r="L183" s="565"/>
      <c r="M183" s="564">
        <f>IF(OR(J183=0,J183="",Q183=""),"",Q183/J183-1)</f>
        <v>5.4134072659755228E-2</v>
      </c>
      <c r="N183" s="566"/>
      <c r="O183" s="487">
        <f>SUM(O181:O182)</f>
        <v>868.10905301537298</v>
      </c>
      <c r="P183" s="487">
        <f>SUM(P181:P182)</f>
        <v>196.76500343989301</v>
      </c>
      <c r="Q183" s="487">
        <f>O183+P183*$F183/1000</f>
        <v>2835.7590874143029</v>
      </c>
      <c r="R183" s="484"/>
      <c r="S183" s="484"/>
      <c r="T183" s="484"/>
      <c r="U183" s="484"/>
      <c r="V183" s="484"/>
      <c r="W183" s="484"/>
      <c r="X183" s="484"/>
      <c r="Y183" s="484"/>
      <c r="Z183" s="484"/>
      <c r="AA183" s="484"/>
      <c r="AB183" s="484"/>
      <c r="AC183" s="484"/>
      <c r="AD183" s="484"/>
      <c r="AE183" s="484"/>
      <c r="AF183" s="484"/>
      <c r="AG183" s="484"/>
      <c r="AH183" s="484"/>
      <c r="AI183" s="484"/>
      <c r="AJ183" s="484"/>
      <c r="AK183" s="484"/>
      <c r="AL183" s="484"/>
      <c r="AM183" s="484"/>
      <c r="AN183" s="484"/>
      <c r="AO183" s="484"/>
      <c r="AP183" s="484"/>
      <c r="AQ183" s="484"/>
    </row>
    <row r="184" spans="2:43" x14ac:dyDescent="0.35">
      <c r="B184" s="30" t="str">
        <f t="shared" si="44"/>
        <v>Essential</v>
      </c>
      <c r="C184" s="30" t="str">
        <f t="shared" si="44"/>
        <v>Small business</v>
      </c>
      <c r="D184" s="30" t="str">
        <f t="shared" si="44"/>
        <v>flat rate</v>
      </c>
      <c r="F184" s="258"/>
      <c r="G184" s="30" t="s">
        <v>38</v>
      </c>
      <c r="H184" s="482"/>
      <c r="I184" s="482"/>
      <c r="J184" s="482">
        <f>J183*GST</f>
        <v>269.01313229153214</v>
      </c>
      <c r="K184" s="484"/>
      <c r="L184" s="567"/>
      <c r="M184" s="484">
        <f>IF(OR(J184=0,Q184=""),"",Q184/J184-1)</f>
        <v>5.4134072659755228E-2</v>
      </c>
      <c r="N184" s="568"/>
      <c r="O184" s="482"/>
      <c r="P184" s="482"/>
      <c r="Q184" s="482">
        <f>Q183*GST</f>
        <v>283.57590874143028</v>
      </c>
      <c r="R184" s="484"/>
      <c r="S184" s="484"/>
      <c r="T184" s="484"/>
      <c r="U184" s="484"/>
      <c r="V184" s="484"/>
      <c r="W184" s="484"/>
      <c r="X184" s="484"/>
      <c r="Y184" s="484"/>
      <c r="Z184" s="484"/>
      <c r="AA184" s="484"/>
      <c r="AB184" s="484"/>
      <c r="AC184" s="484"/>
      <c r="AD184" s="484"/>
      <c r="AE184" s="484"/>
      <c r="AF184" s="484"/>
      <c r="AG184" s="484"/>
      <c r="AH184" s="484"/>
      <c r="AI184" s="484"/>
      <c r="AJ184" s="484"/>
      <c r="AK184" s="484"/>
      <c r="AL184" s="484"/>
      <c r="AM184" s="484"/>
      <c r="AN184" s="484"/>
      <c r="AO184" s="484"/>
      <c r="AP184" s="484"/>
      <c r="AQ184" s="484"/>
    </row>
    <row r="185" spans="2:43" x14ac:dyDescent="0.35">
      <c r="B185" s="30" t="str">
        <f t="shared" si="44"/>
        <v>Essential</v>
      </c>
      <c r="C185" s="30" t="str">
        <f t="shared" si="44"/>
        <v>Small business</v>
      </c>
      <c r="D185" s="30" t="str">
        <f t="shared" si="44"/>
        <v>flat rate</v>
      </c>
      <c r="E185" s="30" t="s">
        <v>19</v>
      </c>
      <c r="F185" s="258"/>
      <c r="G185" s="64" t="s">
        <v>79</v>
      </c>
      <c r="H185" s="487"/>
      <c r="I185" s="487"/>
      <c r="J185" s="487">
        <f>SUM(J183:J184)</f>
        <v>2959.1444552068538</v>
      </c>
      <c r="K185" s="564"/>
      <c r="L185" s="565"/>
      <c r="M185" s="564">
        <f>IF(OR(J185=0,Q185=""),"",Q185/J185-1)</f>
        <v>5.4134072659755228E-2</v>
      </c>
      <c r="N185" s="566"/>
      <c r="O185" s="487"/>
      <c r="P185" s="487"/>
      <c r="Q185" s="487">
        <f>SUM(Q183:Q184)</f>
        <v>3119.3349961557333</v>
      </c>
      <c r="R185" s="564"/>
      <c r="S185" s="564"/>
      <c r="T185" s="484"/>
      <c r="U185" s="564"/>
      <c r="V185" s="564"/>
      <c r="W185" s="564"/>
      <c r="X185" s="564"/>
      <c r="Y185" s="564"/>
      <c r="Z185" s="564"/>
      <c r="AA185" s="564"/>
      <c r="AB185" s="564"/>
      <c r="AC185" s="564"/>
      <c r="AD185" s="564"/>
      <c r="AE185" s="564"/>
      <c r="AF185" s="564"/>
      <c r="AG185" s="564"/>
      <c r="AH185" s="564"/>
      <c r="AI185" s="564"/>
      <c r="AJ185" s="564"/>
      <c r="AK185" s="564"/>
      <c r="AL185" s="564"/>
      <c r="AM185" s="564"/>
      <c r="AN185" s="564"/>
      <c r="AO185" s="564"/>
      <c r="AP185" s="564"/>
      <c r="AQ185" s="564"/>
    </row>
    <row r="186" spans="2:43" s="31" customFormat="1" x14ac:dyDescent="0.35">
      <c r="F186" s="588"/>
      <c r="H186" s="589"/>
      <c r="I186" s="589"/>
      <c r="J186" s="589"/>
      <c r="K186" s="590"/>
      <c r="L186" s="591"/>
      <c r="M186" s="590"/>
      <c r="N186" s="592"/>
      <c r="O186" s="589"/>
      <c r="P186" s="589"/>
      <c r="Q186" s="589"/>
      <c r="R186" s="590"/>
      <c r="S186" s="590"/>
      <c r="T186" s="484"/>
      <c r="U186" s="590"/>
      <c r="V186" s="590"/>
      <c r="W186" s="590"/>
      <c r="X186" s="590"/>
      <c r="Y186" s="590"/>
      <c r="Z186" s="590"/>
      <c r="AA186" s="590"/>
      <c r="AB186" s="590"/>
      <c r="AC186" s="590"/>
      <c r="AD186" s="590"/>
      <c r="AE186" s="590"/>
      <c r="AF186" s="590"/>
      <c r="AG186" s="590"/>
      <c r="AH186" s="590"/>
      <c r="AI186" s="590"/>
      <c r="AJ186" s="590"/>
      <c r="AK186" s="590"/>
      <c r="AL186" s="590"/>
      <c r="AM186" s="590"/>
      <c r="AN186" s="590"/>
      <c r="AO186" s="590"/>
      <c r="AP186" s="590"/>
      <c r="AQ186" s="590"/>
    </row>
    <row r="187" spans="2:43" s="570" customFormat="1" x14ac:dyDescent="0.35">
      <c r="B187" s="571" t="s">
        <v>3</v>
      </c>
      <c r="C187" s="571" t="s">
        <v>13</v>
      </c>
      <c r="D187" s="571" t="s">
        <v>272</v>
      </c>
      <c r="E187" s="571"/>
      <c r="F187" s="584"/>
      <c r="H187" s="574"/>
      <c r="I187" s="574"/>
      <c r="J187" s="574"/>
      <c r="K187" s="575"/>
      <c r="L187" s="581"/>
      <c r="M187" s="575"/>
      <c r="N187" s="582"/>
      <c r="O187" s="574"/>
      <c r="P187" s="574"/>
      <c r="Q187" s="574"/>
      <c r="R187" s="575"/>
      <c r="S187" s="575"/>
      <c r="T187" s="484"/>
      <c r="U187" s="575"/>
      <c r="V187" s="575"/>
      <c r="W187" s="575"/>
      <c r="X187" s="575"/>
      <c r="Y187" s="575"/>
      <c r="Z187" s="575"/>
      <c r="AA187" s="575"/>
      <c r="AB187" s="575"/>
      <c r="AC187" s="575"/>
      <c r="AD187" s="575"/>
      <c r="AE187" s="575"/>
      <c r="AF187" s="575"/>
      <c r="AG187" s="575"/>
      <c r="AH187" s="575"/>
      <c r="AI187" s="575"/>
      <c r="AJ187" s="575"/>
      <c r="AK187" s="575"/>
      <c r="AL187" s="575"/>
      <c r="AM187" s="575"/>
      <c r="AN187" s="575"/>
      <c r="AO187" s="575"/>
      <c r="AP187" s="575"/>
      <c r="AQ187" s="575"/>
    </row>
    <row r="188" spans="2:43" s="570" customFormat="1" x14ac:dyDescent="0.35">
      <c r="B188" s="570" t="s">
        <v>3</v>
      </c>
      <c r="C188" s="570" t="s">
        <v>13</v>
      </c>
      <c r="D188" s="570" t="s">
        <v>272</v>
      </c>
      <c r="E188" s="570" t="s">
        <v>279</v>
      </c>
      <c r="F188" s="485" cm="1">
        <f t="array" ref="F188">_xlfn.XLOOKUP(1,($B188=DistributionZone)*('Network cost'!$C188=CustomerType)*('Network cost'!$D188=tariffL2)*($F$5=Description),valuesPY)*_xlfn.XLOOKUP(1,($B188=DistributionZone)*($C188=CustomerType)*('Network cost'!$D188=tariffL2)*($E188=tariffType)*("Usage proportion"=Description),valuesFY)</f>
        <v>5608.19842747042</v>
      </c>
      <c r="G188" s="570" t="s">
        <v>57</v>
      </c>
      <c r="H188" s="574" cm="1">
        <f t="array" ref="H188">IFERROR(_xlfn.XLOOKUP(1,($B188=DistributionZone)*('Network cost'!$C188=CustomerType)*('Network cost'!$E188=tariffType)*('Network cost'!H$5=Desc_FixedOrVar)*('Network cost'!$G188=Description),valuesPY),0)*_xlfn.XLOOKUP(1,($B188=DistributionZone)*('Network cost'!$D188=tariffL2)*($E188=tariffType)*("Usage proportion"=Description),valuesPY)</f>
        <v>0</v>
      </c>
      <c r="I188" s="574" cm="1">
        <f t="array" ref="I188">IFERROR(_xlfn.XLOOKUP(1,($B188=DistributionZone)*('Network cost'!$C188=CustomerType)*('Network cost'!$E188=tariffType)*('Network cost'!I$5=Desc_FixedOrVar)*('Network cost'!$G188=Description),valuesPY),0)</f>
        <v>0</v>
      </c>
      <c r="J188" s="574">
        <f>H188+I188*F188/1000</f>
        <v>0</v>
      </c>
      <c r="K188" s="575" t="str">
        <f>IFERROR(J188/J191,"")</f>
        <v/>
      </c>
      <c r="L188" s="575"/>
      <c r="M188" s="575" t="str">
        <f>IF(OR(J188=0,J188="",Q188=""),"",Q188/J188-1)</f>
        <v/>
      </c>
      <c r="N188" s="576"/>
      <c r="O188" s="574" cm="1">
        <f t="array" ref="O188">IFERROR(_xlfn.XLOOKUP(1,($B188=DistributionZone)*('Network cost'!$C188=CustomerType)*('Network cost'!$E188=tariffType)*('Network cost'!O$5=Desc_FixedOrVar)*('Network cost'!$G188=Description),valuesFY),0)*_xlfn.XLOOKUP(1,($B188=DistributionZone)*('Network cost'!$D188=tariffL2)*($E188=tariffType)*("Usage proportion"=Description),valuesFY)</f>
        <v>390.71152397448481</v>
      </c>
      <c r="P188" s="574" cm="1">
        <f t="array" ref="P188">IFERROR(_xlfn.XLOOKUP(1,($B188=DistributionZone)*('Network cost'!$C188=CustomerType)*('Network cost'!$E188=tariffType)*('Network cost'!P$5=Desc_FixedOrVar)*('Network cost'!$G188=Description),valuesFY),0)</f>
        <v>85.988100611331006</v>
      </c>
      <c r="Q188" s="574">
        <f>O188+P188*$F188/1000</f>
        <v>872.94985460411954</v>
      </c>
      <c r="R188" s="575">
        <f>IFERROR(Q188/Q191,"")</f>
        <v>0.39976572942798433</v>
      </c>
      <c r="S188" s="575"/>
      <c r="T188" s="484"/>
      <c r="U188" s="575"/>
      <c r="V188" s="575"/>
      <c r="W188" s="575"/>
      <c r="X188" s="575"/>
      <c r="Y188" s="575"/>
      <c r="Z188" s="575"/>
      <c r="AA188" s="575"/>
      <c r="AB188" s="575"/>
      <c r="AC188" s="575"/>
      <c r="AD188" s="575"/>
      <c r="AE188" s="575"/>
      <c r="AF188" s="575"/>
      <c r="AG188" s="575"/>
      <c r="AH188" s="575"/>
      <c r="AI188" s="575"/>
      <c r="AJ188" s="575"/>
      <c r="AK188" s="575"/>
      <c r="AL188" s="575"/>
      <c r="AM188" s="575"/>
      <c r="AN188" s="575"/>
      <c r="AO188" s="575"/>
      <c r="AP188" s="575"/>
      <c r="AQ188" s="575"/>
    </row>
    <row r="189" spans="2:43" s="570" customFormat="1" x14ac:dyDescent="0.35">
      <c r="B189" s="570" t="s">
        <v>3</v>
      </c>
      <c r="C189" s="570" t="s">
        <v>13</v>
      </c>
      <c r="D189" s="570" t="s">
        <v>272</v>
      </c>
      <c r="E189" s="570" t="s">
        <v>278</v>
      </c>
      <c r="F189" s="485" cm="1">
        <f t="array" ref="F189">_xlfn.XLOOKUP(1,($B189=DistributionZone)*('Network cost'!$C189=CustomerType)*('Network cost'!$D189=tariffL2)*($F$5=Description),valuesPY)*_xlfn.XLOOKUP(1,($B189=DistributionZone)*($C189=CustomerType)*('Network cost'!$D189=tariffL2)*($E189=tariffType)*("Usage proportion"=Description),valuesFY)</f>
        <v>4391.8015725295809</v>
      </c>
      <c r="G189" s="570" t="s">
        <v>57</v>
      </c>
      <c r="H189" s="574" cm="1">
        <f t="array" ref="H189">IFERROR(_xlfn.XLOOKUP(1,($B189=DistributionZone)*('Network cost'!$C189=CustomerType)*('Network cost'!$E189=tariffType)*('Network cost'!H$5=Desc_FixedOrVar)*('Network cost'!$G189=Description),valuesPY),0)*_xlfn.XLOOKUP(1,($B189=DistributionZone)*('Network cost'!$D189=tariffL2)*($E189=tariffType)*("Usage proportion"=Description),valuesPY)</f>
        <v>0</v>
      </c>
      <c r="I189" s="574" cm="1">
        <f t="array" ref="I189">IFERROR(_xlfn.XLOOKUP(1,($B189=DistributionZone)*('Network cost'!$C189=CustomerType)*('Network cost'!$E189=tariffType)*('Network cost'!I$5=Desc_FixedOrVar)*('Network cost'!$G189=Description),valuesPY),0)</f>
        <v>0</v>
      </c>
      <c r="J189" s="574">
        <f>H189+I189*F189/1000</f>
        <v>0</v>
      </c>
      <c r="K189" s="575" t="str">
        <f>IFERROR(J189/J191,"")</f>
        <v/>
      </c>
      <c r="L189" s="575"/>
      <c r="M189" s="575" t="str">
        <f>IF(OR(J189=0,J189="",Q189=""),"",Q189/J189-1)</f>
        <v/>
      </c>
      <c r="N189" s="576"/>
      <c r="O189" s="574" cm="1">
        <f t="array" ref="O189">IFERROR(_xlfn.XLOOKUP(1,($B189=DistributionZone)*('Network cost'!$C189=CustomerType)*('Network cost'!$E189=tariffType)*('Network cost'!O$5=Desc_FixedOrVar)*('Network cost'!$G189=Description),valuesFY),0)*_xlfn.XLOOKUP(1,($B189=DistributionZone)*('Network cost'!$D189=tariffL2)*($E189=tariffType)*("Usage proportion"=Description),valuesFY)</f>
        <v>414.0590523096173</v>
      </c>
      <c r="P189" s="574" cm="1">
        <f t="array" ref="P189">IFERROR(_xlfn.XLOOKUP(1,($B189=DistributionZone)*('Network cost'!$C189=CustomerType)*('Network cost'!$E189=tariffType)*('Network cost'!P$5=Desc_FixedOrVar)*('Network cost'!$G189=Description),valuesFY),0)</f>
        <v>189.741306277067</v>
      </c>
      <c r="Q189" s="574">
        <f>O189+P189*$F189/1000</f>
        <v>1247.365219591057</v>
      </c>
      <c r="R189" s="575">
        <f>IFERROR(Q189/Q191,"")</f>
        <v>0.57122853534245099</v>
      </c>
      <c r="S189" s="575"/>
      <c r="T189" s="484"/>
      <c r="U189" s="575"/>
      <c r="V189" s="575"/>
      <c r="W189" s="575"/>
      <c r="X189" s="575"/>
      <c r="Y189" s="575"/>
      <c r="Z189" s="575"/>
      <c r="AA189" s="575"/>
      <c r="AB189" s="575"/>
      <c r="AC189" s="575"/>
      <c r="AD189" s="575"/>
      <c r="AE189" s="575"/>
      <c r="AF189" s="575"/>
      <c r="AG189" s="575"/>
      <c r="AH189" s="575"/>
      <c r="AI189" s="575"/>
      <c r="AJ189" s="575"/>
      <c r="AK189" s="575"/>
      <c r="AL189" s="575"/>
      <c r="AM189" s="575"/>
      <c r="AN189" s="575"/>
      <c r="AO189" s="575"/>
      <c r="AP189" s="575"/>
      <c r="AQ189" s="575"/>
    </row>
    <row r="190" spans="2:43" s="570" customFormat="1" x14ac:dyDescent="0.35">
      <c r="B190" s="570" t="s">
        <v>3</v>
      </c>
      <c r="C190" s="570" t="s">
        <v>13</v>
      </c>
      <c r="D190" s="570" t="s">
        <v>272</v>
      </c>
      <c r="E190" s="570" t="s">
        <v>272</v>
      </c>
      <c r="F190" s="485" cm="1">
        <f t="array" ref="F190">_xlfn.XLOOKUP(1,($B190=DistributionZone)*('Network cost'!$C190=CustomerType)*('Network cost'!$D190=tariffL2)*($F$5=Description)*(E190=tariffType),valuesFY)</f>
        <v>10000</v>
      </c>
      <c r="G190" s="570" t="s">
        <v>61</v>
      </c>
      <c r="H190" s="574" cm="1">
        <f t="array" ref="H190">IFERROR(_xlfn.XLOOKUP(1,($B190=DistributionZone)*('Network cost'!$C190=CustomerType)*('Network cost'!$E190=tariffType)*('Network cost'!H$5=Desc_FixedOrVar)*('Network cost'!$G190=Description),valuesPY),0)</f>
        <v>0</v>
      </c>
      <c r="I190" s="574" cm="1">
        <f t="array" ref="I190">IFERROR(_xlfn.XLOOKUP(1,($B190=DistributionZone)*('Network cost'!$C190=CustomerType)*('Network cost'!$E190=tariffType)*('Network cost'!I$5=Desc_FixedOrVar)*('Network cost'!$G190=Description),valuesPY),0)</f>
        <v>0</v>
      </c>
      <c r="J190" s="574">
        <f>H190+I190*F190/1000</f>
        <v>0</v>
      </c>
      <c r="K190" s="575" t="str">
        <f>IFERROR(J190/J191,"")</f>
        <v/>
      </c>
      <c r="L190" s="575"/>
      <c r="M190" s="575" t="str">
        <f>IF(OR(J190=0,J190="",Q190=""),"",Q190/J190-1)</f>
        <v/>
      </c>
      <c r="N190" s="576"/>
      <c r="O190" s="574" cm="1">
        <f t="array" ref="O190">IFERROR(_xlfn.XLOOKUP(1,($B190=DistributionZone)*('Network cost'!$C190=CustomerType)*('Network cost'!$E190=tariffType)*('Network cost'!O$5=Desc_FixedOrVar)*('Network cost'!$G190=Description),valuesFY),0)</f>
        <v>63.338476731270902</v>
      </c>
      <c r="P190" s="574" cm="1">
        <f t="array" ref="P190">IFERROR(_xlfn.XLOOKUP(1,($B190=DistributionZone)*('Network cost'!$C190=CustomerType)*('Network cost'!$E190=tariffType)*('Network cost'!P$5=Desc_FixedOrVar)*('Network cost'!$G190=Description),valuesFY),0)</f>
        <v>0</v>
      </c>
      <c r="Q190" s="574">
        <f>O190+P190*$F190/1000</f>
        <v>63.338476731270902</v>
      </c>
      <c r="R190" s="575">
        <f>IFERROR(Q190/Q191,"")</f>
        <v>2.9005735229564508E-2</v>
      </c>
      <c r="S190" s="575"/>
      <c r="T190" s="484"/>
      <c r="U190" s="575"/>
      <c r="V190" s="575"/>
      <c r="W190" s="575"/>
      <c r="X190" s="575"/>
      <c r="Y190" s="575"/>
      <c r="Z190" s="575"/>
      <c r="AA190" s="575"/>
      <c r="AB190" s="575"/>
      <c r="AC190" s="575"/>
      <c r="AD190" s="575"/>
      <c r="AE190" s="575"/>
      <c r="AF190" s="575"/>
      <c r="AG190" s="575"/>
      <c r="AH190" s="575"/>
      <c r="AI190" s="575"/>
      <c r="AJ190" s="575"/>
      <c r="AK190" s="575"/>
      <c r="AL190" s="575"/>
      <c r="AM190" s="575"/>
      <c r="AN190" s="575"/>
      <c r="AO190" s="575"/>
      <c r="AP190" s="575"/>
      <c r="AQ190" s="575"/>
    </row>
    <row r="191" spans="2:43" s="570" customFormat="1" x14ac:dyDescent="0.35">
      <c r="B191" s="570" t="s">
        <v>3</v>
      </c>
      <c r="C191" s="570" t="s">
        <v>13</v>
      </c>
      <c r="D191" s="570" t="s">
        <v>272</v>
      </c>
      <c r="E191" s="570" t="s">
        <v>272</v>
      </c>
      <c r="F191" s="485" cm="1">
        <f t="array" ref="F191">_xlfn.XLOOKUP(1,($B191=DistributionZone)*('Network cost'!$C191=CustomerType)*('Network cost'!$D191=tariffL2)*($F$5=Description)*(E191=tariffType),valuesFY)</f>
        <v>10000</v>
      </c>
      <c r="G191" s="571" t="s">
        <v>55</v>
      </c>
      <c r="H191" s="577">
        <f>SUM(H188:H190)</f>
        <v>0</v>
      </c>
      <c r="I191" s="577">
        <f>SUM(I188:I190)</f>
        <v>0</v>
      </c>
      <c r="J191" s="577">
        <f>SUM(J188:J190)</f>
        <v>0</v>
      </c>
      <c r="K191" s="578"/>
      <c r="L191" s="579"/>
      <c r="M191" s="578" t="str">
        <f>IF(OR(J191=0,J191="",Q191=""),"",Q191/J191-1)</f>
        <v/>
      </c>
      <c r="N191" s="580"/>
      <c r="O191" s="577">
        <f>SUM(O188:O190)</f>
        <v>868.10905301537309</v>
      </c>
      <c r="P191" s="577">
        <f>SUM(P188:P190)</f>
        <v>275.72940688839799</v>
      </c>
      <c r="Q191" s="577">
        <f>SUM(Q188:Q190)</f>
        <v>2183.6535509264477</v>
      </c>
      <c r="R191" s="575"/>
      <c r="S191" s="575"/>
      <c r="T191" s="484"/>
      <c r="U191" s="575"/>
      <c r="V191" s="575"/>
      <c r="W191" s="575"/>
      <c r="X191" s="575"/>
      <c r="Y191" s="575"/>
      <c r="Z191" s="575"/>
      <c r="AA191" s="575"/>
      <c r="AB191" s="575"/>
      <c r="AC191" s="575"/>
      <c r="AD191" s="575"/>
      <c r="AE191" s="575"/>
      <c r="AF191" s="575"/>
      <c r="AG191" s="575"/>
      <c r="AH191" s="575"/>
      <c r="AI191" s="575"/>
      <c r="AJ191" s="575"/>
      <c r="AK191" s="575"/>
      <c r="AL191" s="575"/>
      <c r="AM191" s="575"/>
      <c r="AN191" s="575"/>
      <c r="AO191" s="575"/>
      <c r="AP191" s="575"/>
      <c r="AQ191" s="575"/>
    </row>
    <row r="192" spans="2:43" s="570" customFormat="1" x14ac:dyDescent="0.35">
      <c r="B192" s="570" t="s">
        <v>3</v>
      </c>
      <c r="C192" s="570" t="s">
        <v>13</v>
      </c>
      <c r="D192" s="570" t="s">
        <v>272</v>
      </c>
      <c r="F192" s="485"/>
      <c r="G192" s="570" t="s">
        <v>38</v>
      </c>
      <c r="H192" s="574"/>
      <c r="I192" s="574"/>
      <c r="J192" s="574">
        <f>J191*GST</f>
        <v>0</v>
      </c>
      <c r="K192" s="575"/>
      <c r="L192" s="581"/>
      <c r="M192" s="575" t="str">
        <f>IF(OR(J192=0,Q192=""),"",Q192/J192-1)</f>
        <v/>
      </c>
      <c r="N192" s="582"/>
      <c r="O192" s="574"/>
      <c r="P192" s="574"/>
      <c r="Q192" s="574">
        <f>Q191*GST</f>
        <v>218.36535509264479</v>
      </c>
      <c r="R192" s="575"/>
      <c r="S192" s="575"/>
      <c r="T192" s="484"/>
      <c r="U192" s="575"/>
      <c r="V192" s="575"/>
      <c r="W192" s="575"/>
      <c r="X192" s="575"/>
      <c r="Y192" s="575"/>
      <c r="Z192" s="575"/>
      <c r="AA192" s="575"/>
      <c r="AB192" s="575"/>
      <c r="AC192" s="575"/>
      <c r="AD192" s="575"/>
      <c r="AE192" s="575"/>
      <c r="AF192" s="575"/>
      <c r="AG192" s="575"/>
      <c r="AH192" s="575"/>
      <c r="AI192" s="575"/>
      <c r="AJ192" s="575"/>
      <c r="AK192" s="575"/>
      <c r="AL192" s="575"/>
      <c r="AM192" s="575"/>
      <c r="AN192" s="575"/>
      <c r="AO192" s="575"/>
      <c r="AP192" s="575"/>
      <c r="AQ192" s="575"/>
    </row>
    <row r="193" spans="2:43" s="570" customFormat="1" x14ac:dyDescent="0.35">
      <c r="B193" s="570" t="s">
        <v>3</v>
      </c>
      <c r="C193" s="570" t="s">
        <v>13</v>
      </c>
      <c r="D193" s="570" t="s">
        <v>272</v>
      </c>
      <c r="E193" s="570" t="s">
        <v>272</v>
      </c>
      <c r="F193" s="485"/>
      <c r="G193" s="571" t="s">
        <v>79</v>
      </c>
      <c r="H193" s="577"/>
      <c r="I193" s="577"/>
      <c r="J193" s="577">
        <f>SUM(J191:J192)</f>
        <v>0</v>
      </c>
      <c r="K193" s="578"/>
      <c r="L193" s="579"/>
      <c r="M193" s="578" t="str">
        <f>IF(OR(J193=0,Q193=""),"",Q193/J193-1)</f>
        <v/>
      </c>
      <c r="N193" s="580"/>
      <c r="O193" s="577"/>
      <c r="P193" s="577"/>
      <c r="Q193" s="577">
        <f>SUM(Q191:Q192)</f>
        <v>2402.0189060190924</v>
      </c>
      <c r="R193" s="578"/>
      <c r="S193" s="578"/>
      <c r="T193" s="484"/>
      <c r="U193" s="578"/>
      <c r="V193" s="578"/>
      <c r="W193" s="578"/>
      <c r="X193" s="578"/>
      <c r="Y193" s="578"/>
      <c r="Z193" s="578"/>
      <c r="AA193" s="578"/>
      <c r="AB193" s="578"/>
      <c r="AC193" s="578"/>
      <c r="AD193" s="578"/>
      <c r="AE193" s="578"/>
      <c r="AF193" s="578"/>
      <c r="AG193" s="578"/>
      <c r="AH193" s="578"/>
      <c r="AI193" s="578"/>
      <c r="AJ193" s="578"/>
      <c r="AK193" s="578"/>
      <c r="AL193" s="578"/>
      <c r="AM193" s="578"/>
      <c r="AN193" s="578"/>
      <c r="AO193" s="578"/>
      <c r="AP193" s="578"/>
      <c r="AQ193" s="578"/>
    </row>
    <row r="194" spans="2:43" x14ac:dyDescent="0.35">
      <c r="F194" s="568"/>
      <c r="H194" s="482"/>
      <c r="I194" s="482"/>
      <c r="J194" s="482"/>
      <c r="K194" s="567"/>
      <c r="L194" s="567"/>
      <c r="M194" s="567"/>
      <c r="N194" s="568"/>
      <c r="O194" s="482"/>
      <c r="P194" s="482"/>
      <c r="Q194" s="482"/>
      <c r="R194" s="567"/>
      <c r="S194" s="567"/>
      <c r="T194" s="484"/>
      <c r="U194" s="567"/>
      <c r="V194" s="567"/>
      <c r="W194" s="567"/>
      <c r="X194" s="567"/>
      <c r="Y194" s="567"/>
      <c r="Z194" s="567"/>
      <c r="AA194" s="567"/>
      <c r="AB194" s="567"/>
      <c r="AC194" s="567"/>
      <c r="AD194" s="567"/>
      <c r="AE194" s="567"/>
      <c r="AF194" s="567"/>
      <c r="AG194" s="567"/>
      <c r="AH194" s="567"/>
      <c r="AI194" s="567"/>
      <c r="AJ194" s="567"/>
      <c r="AK194" s="567"/>
      <c r="AL194" s="567"/>
      <c r="AM194" s="567"/>
      <c r="AN194" s="567"/>
      <c r="AO194" s="567"/>
      <c r="AP194" s="567"/>
      <c r="AQ194" s="567"/>
    </row>
    <row r="195" spans="2:43" s="749" customFormat="1" x14ac:dyDescent="0.35">
      <c r="B195" s="748" t="s">
        <v>3</v>
      </c>
      <c r="C195" s="748" t="s">
        <v>13</v>
      </c>
      <c r="D195" s="748" t="s">
        <v>276</v>
      </c>
      <c r="E195" s="748"/>
      <c r="F195" s="760"/>
      <c r="H195" s="751"/>
      <c r="I195" s="751"/>
      <c r="J195" s="751"/>
      <c r="K195" s="752"/>
      <c r="L195" s="757"/>
      <c r="M195" s="752"/>
      <c r="N195" s="758"/>
      <c r="O195" s="751"/>
      <c r="P195" s="751"/>
      <c r="Q195" s="751"/>
      <c r="R195" s="752"/>
      <c r="S195" s="752"/>
      <c r="T195" s="752"/>
      <c r="U195" s="752"/>
      <c r="V195" s="752"/>
      <c r="W195" s="752"/>
      <c r="X195" s="752"/>
      <c r="Y195" s="752"/>
      <c r="Z195" s="752"/>
      <c r="AA195" s="752"/>
      <c r="AB195" s="752"/>
      <c r="AC195" s="752"/>
      <c r="AD195" s="752"/>
      <c r="AE195" s="752"/>
      <c r="AF195" s="752"/>
      <c r="AG195" s="752"/>
      <c r="AH195" s="752"/>
      <c r="AI195" s="752"/>
      <c r="AJ195" s="752"/>
      <c r="AK195" s="752"/>
      <c r="AL195" s="752"/>
      <c r="AM195" s="752"/>
      <c r="AN195" s="752"/>
      <c r="AO195" s="752"/>
      <c r="AP195" s="752"/>
      <c r="AQ195" s="752"/>
    </row>
    <row r="196" spans="2:43" s="749" customFormat="1" x14ac:dyDescent="0.35">
      <c r="B196" s="749" t="str">
        <f t="shared" ref="B196:D200" si="45">B$180</f>
        <v>Essential</v>
      </c>
      <c r="C196" s="749" t="str">
        <f t="shared" si="45"/>
        <v>Small business</v>
      </c>
      <c r="D196" s="749" t="str">
        <f>D$180</f>
        <v>flat rate</v>
      </c>
      <c r="E196" s="749" t="s">
        <v>19</v>
      </c>
      <c r="F196" s="750" cm="1">
        <f t="array" ref="F196">_xlfn.XLOOKUP(1,($B196=DistributionZone)*('Network cost'!$C196=CustomerType)*('Network cost'!$D196=tariffL2)*($F$5=Description)*(E196=tariffType),valuesFY)</f>
        <v>10000</v>
      </c>
      <c r="G196" s="749" t="s">
        <v>57</v>
      </c>
      <c r="H196" s="751" cm="1">
        <f t="array" ref="H196">IFERROR(_xlfn.XLOOKUP(1,($B196=DistributionZone)*('Network cost'!$C196=CustomerType)*('Network cost'!$E196=tariffType)*('Network cost'!H$5=Desc_FixedOrVar)*('Network cost'!$G196=Description),valuesPY),0)</f>
        <v>749.22590509637962</v>
      </c>
      <c r="I196" s="751" cm="1">
        <f t="array" ref="I196">IFERROR(_xlfn.XLOOKUP(1,($B196=DistributionZone)*('Network cost'!$C196=CustomerType)*('Network cost'!$E196=tariffType)*('Network cost'!I$5=Desc_FixedOrVar)*('Network cost'!$G196=Description),valuesPY),0)</f>
        <v>187.87786146018402</v>
      </c>
      <c r="J196" s="751">
        <f>H196+I196*F196/1000</f>
        <v>2628.0045196982201</v>
      </c>
      <c r="K196" s="752">
        <f>IFERROR(J196/J198,"")</f>
        <v>0.97690566156087355</v>
      </c>
      <c r="L196" s="752"/>
      <c r="M196" s="752">
        <f>IF(OR(J196=0,J196="",Q196=""),"",Q196/J196-1)</f>
        <v>1.4508639753763042E-3</v>
      </c>
      <c r="N196" s="753"/>
      <c r="O196" s="751">
        <f>SUM((O181*Ess_SB_flat_proportion),(O188*Ess_SB_tou_proportion),(O189*Ess_SB_tou_proportion))</f>
        <v>804.77057628410216</v>
      </c>
      <c r="P196" s="751">
        <f>SUM((P181*Ess_SB_flat_proportion),(P188*Ess_SB_tou_proportion*F188/F191),(P189*Ess_SB_tou_proportion*F189/F191))</f>
        <v>182.70468204988742</v>
      </c>
      <c r="Q196" s="751">
        <f>O196+P196*$F196/1000</f>
        <v>2631.8173967829762</v>
      </c>
      <c r="R196" s="752">
        <f>IFERROR(Q196/Q198,"")</f>
        <v>0.97649914153251438</v>
      </c>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row>
    <row r="197" spans="2:43" s="749" customFormat="1" x14ac:dyDescent="0.35">
      <c r="B197" s="749" t="str">
        <f t="shared" si="45"/>
        <v>Essential</v>
      </c>
      <c r="C197" s="749" t="str">
        <f t="shared" si="45"/>
        <v>Small business</v>
      </c>
      <c r="D197" s="749" t="str">
        <f t="shared" si="45"/>
        <v>flat rate</v>
      </c>
      <c r="E197" s="749" t="s">
        <v>19</v>
      </c>
      <c r="F197" s="750" cm="1">
        <f t="array" ref="F197">_xlfn.XLOOKUP(1,($B197=DistributionZone)*('Network cost'!$C197=CustomerType)*('Network cost'!$D197=tariffL2)*($F$5=Description)*(E197=tariffType),valuesFY)</f>
        <v>10000</v>
      </c>
      <c r="G197" s="749" t="s">
        <v>61</v>
      </c>
      <c r="H197" s="751" cm="1">
        <f t="array" ref="H197">IFERROR(_xlfn.XLOOKUP(1,($B197=DistributionZone)*('Network cost'!$C197=CustomerType)*('Network cost'!$E197=tariffType)*('Network cost'!H$5=Desc_FixedOrVar)*('Network cost'!$G197=Description),valuesPY),0)</f>
        <v>62.126803217101561</v>
      </c>
      <c r="I197" s="751" cm="1">
        <f t="array" ref="I197">IFERROR(_xlfn.XLOOKUP(1,($B197=DistributionZone)*('Network cost'!$C197=CustomerType)*('Network cost'!$E197=tariffType)*('Network cost'!I$5=Desc_FixedOrVar)*('Network cost'!$G197=Description),valuesPY),0)</f>
        <v>0</v>
      </c>
      <c r="J197" s="751">
        <f>H197+I197*F197/1000</f>
        <v>62.126803217101561</v>
      </c>
      <c r="K197" s="752">
        <f>IFERROR(J197/J198,"")</f>
        <v>2.3094338439126508E-2</v>
      </c>
      <c r="L197" s="752"/>
      <c r="M197" s="752">
        <f>IF(OR(J197=0,J197="",Q197=""),"",Q197/J197-1)</f>
        <v>1.9503232927262637E-2</v>
      </c>
      <c r="N197" s="753"/>
      <c r="O197" s="751">
        <f>SUM((O182*Ess_SB_flat_proportion),(O190*Ess_SB_tou_proportion))</f>
        <v>63.338476731270902</v>
      </c>
      <c r="P197" s="751">
        <f>SUM((P182*Ess_SB_flat_proportion),(P190*Ess_SB_tou_proportion))</f>
        <v>0</v>
      </c>
      <c r="Q197" s="751">
        <f>O197+P197*$F$69/1000</f>
        <v>63.338476731270902</v>
      </c>
      <c r="R197" s="752">
        <f>IFERROR(Q197/Q198,"")</f>
        <v>2.3500858467485623E-2</v>
      </c>
      <c r="S197" s="752"/>
      <c r="T197" s="752"/>
      <c r="U197" s="752"/>
      <c r="V197" s="752"/>
      <c r="W197" s="752"/>
      <c r="X197" s="752"/>
      <c r="Y197" s="752"/>
      <c r="Z197" s="752"/>
      <c r="AA197" s="752"/>
      <c r="AB197" s="752"/>
      <c r="AC197" s="752"/>
      <c r="AD197" s="752"/>
      <c r="AE197" s="752"/>
      <c r="AF197" s="752"/>
      <c r="AG197" s="752"/>
      <c r="AH197" s="752"/>
      <c r="AI197" s="752"/>
      <c r="AJ197" s="752"/>
      <c r="AK197" s="752"/>
      <c r="AL197" s="752"/>
      <c r="AM197" s="752"/>
      <c r="AN197" s="752"/>
      <c r="AO197" s="752"/>
      <c r="AP197" s="752"/>
      <c r="AQ197" s="752"/>
    </row>
    <row r="198" spans="2:43" s="749" customFormat="1" x14ac:dyDescent="0.35">
      <c r="B198" s="749" t="str">
        <f t="shared" si="45"/>
        <v>Essential</v>
      </c>
      <c r="C198" s="749" t="str">
        <f t="shared" si="45"/>
        <v>Small business</v>
      </c>
      <c r="D198" s="749" t="str">
        <f t="shared" si="45"/>
        <v>flat rate</v>
      </c>
      <c r="E198" s="749" t="s">
        <v>396</v>
      </c>
      <c r="F198" s="750">
        <f>F197</f>
        <v>10000</v>
      </c>
      <c r="G198" s="748" t="s">
        <v>55</v>
      </c>
      <c r="H198" s="754">
        <f>SUM(H196:H197)</f>
        <v>811.35270831348123</v>
      </c>
      <c r="I198" s="754">
        <f t="shared" ref="I198:J198" si="46">SUM(I196:I197)</f>
        <v>187.87786146018402</v>
      </c>
      <c r="J198" s="754">
        <f t="shared" si="46"/>
        <v>2690.1313229153216</v>
      </c>
      <c r="K198" s="747"/>
      <c r="L198" s="755"/>
      <c r="M198" s="747">
        <f>IF(OR(J198=0,J198="",Q198=""),"",Q198/J198-1)</f>
        <v>1.8677714935790846E-3</v>
      </c>
      <c r="N198" s="756"/>
      <c r="O198" s="754">
        <f>SUM(O196:O197)</f>
        <v>868.10905301537309</v>
      </c>
      <c r="P198" s="754">
        <f t="shared" ref="P198:Q198" si="47">SUM(P196:P197)</f>
        <v>182.70468204988742</v>
      </c>
      <c r="Q198" s="754">
        <f t="shared" si="47"/>
        <v>2695.1558735142471</v>
      </c>
      <c r="R198" s="752"/>
      <c r="S198" s="752"/>
      <c r="T198" s="752"/>
      <c r="U198" s="752"/>
      <c r="V198" s="752"/>
      <c r="W198" s="752"/>
      <c r="X198" s="752"/>
      <c r="Y198" s="752"/>
      <c r="Z198" s="752"/>
      <c r="AA198" s="752"/>
      <c r="AB198" s="752"/>
      <c r="AC198" s="752"/>
      <c r="AD198" s="752"/>
      <c r="AE198" s="752"/>
      <c r="AF198" s="752"/>
      <c r="AG198" s="752"/>
      <c r="AH198" s="752"/>
      <c r="AI198" s="752"/>
      <c r="AJ198" s="752"/>
      <c r="AK198" s="752"/>
      <c r="AL198" s="752"/>
      <c r="AM198" s="752"/>
      <c r="AN198" s="752"/>
      <c r="AO198" s="752"/>
      <c r="AP198" s="752"/>
      <c r="AQ198" s="752"/>
    </row>
    <row r="199" spans="2:43" s="749" customFormat="1" x14ac:dyDescent="0.35">
      <c r="B199" s="749" t="str">
        <f t="shared" si="45"/>
        <v>Essential</v>
      </c>
      <c r="C199" s="749" t="str">
        <f t="shared" si="45"/>
        <v>Small business</v>
      </c>
      <c r="D199" s="749" t="str">
        <f t="shared" si="45"/>
        <v>flat rate</v>
      </c>
      <c r="F199" s="750"/>
      <c r="G199" s="749" t="s">
        <v>38</v>
      </c>
      <c r="H199" s="751"/>
      <c r="I199" s="751"/>
      <c r="J199" s="751">
        <f>J198*GST</f>
        <v>269.01313229153214</v>
      </c>
      <c r="K199" s="752"/>
      <c r="L199" s="757"/>
      <c r="M199" s="752">
        <f>IF(OR(J199=0,Q199=""),"",Q199/J199-1)</f>
        <v>1.8677714935790846E-3</v>
      </c>
      <c r="N199" s="758"/>
      <c r="O199" s="751"/>
      <c r="P199" s="751"/>
      <c r="Q199" s="751">
        <f>Q198*GST</f>
        <v>269.5155873514247</v>
      </c>
      <c r="R199" s="752"/>
      <c r="S199" s="752"/>
      <c r="T199" s="752"/>
      <c r="U199" s="752"/>
      <c r="V199" s="752"/>
      <c r="W199" s="752"/>
      <c r="X199" s="752"/>
      <c r="Y199" s="752"/>
      <c r="Z199" s="752"/>
      <c r="AA199" s="752"/>
      <c r="AB199" s="752"/>
      <c r="AC199" s="752"/>
      <c r="AD199" s="752"/>
      <c r="AE199" s="752"/>
      <c r="AF199" s="752"/>
      <c r="AG199" s="752"/>
      <c r="AH199" s="752"/>
      <c r="AI199" s="752"/>
      <c r="AJ199" s="752"/>
      <c r="AK199" s="752"/>
      <c r="AL199" s="752"/>
      <c r="AM199" s="752"/>
      <c r="AN199" s="752"/>
      <c r="AO199" s="752"/>
      <c r="AP199" s="752"/>
      <c r="AQ199" s="752"/>
    </row>
    <row r="200" spans="2:43" s="749" customFormat="1" x14ac:dyDescent="0.35">
      <c r="B200" s="749" t="str">
        <f t="shared" si="45"/>
        <v>Essential</v>
      </c>
      <c r="C200" s="749" t="str">
        <f t="shared" si="45"/>
        <v>Small business</v>
      </c>
      <c r="D200" s="749" t="str">
        <f t="shared" si="45"/>
        <v>flat rate</v>
      </c>
      <c r="E200" s="749" t="s">
        <v>396</v>
      </c>
      <c r="F200" s="750"/>
      <c r="G200" s="748" t="s">
        <v>79</v>
      </c>
      <c r="H200" s="754"/>
      <c r="I200" s="754"/>
      <c r="J200" s="754">
        <f>SUM(J198:J199)</f>
        <v>2959.1444552068538</v>
      </c>
      <c r="K200" s="747"/>
      <c r="L200" s="755"/>
      <c r="M200" s="747">
        <f>IF(OR(J200=0,Q200=""),"",Q200/J200-1)</f>
        <v>1.8677714935790846E-3</v>
      </c>
      <c r="N200" s="756"/>
      <c r="O200" s="754"/>
      <c r="P200" s="754"/>
      <c r="Q200" s="754">
        <f>SUM(Q198:Q199)</f>
        <v>2964.6714608656716</v>
      </c>
      <c r="R200" s="747"/>
      <c r="S200" s="747"/>
      <c r="T200" s="752"/>
      <c r="U200" s="747"/>
      <c r="V200" s="747"/>
      <c r="W200" s="747"/>
      <c r="X200" s="747"/>
      <c r="Y200" s="747"/>
      <c r="Z200" s="747"/>
      <c r="AA200" s="747"/>
      <c r="AB200" s="747"/>
      <c r="AC200" s="747"/>
      <c r="AD200" s="747"/>
      <c r="AE200" s="747"/>
      <c r="AF200" s="747"/>
      <c r="AG200" s="747"/>
      <c r="AH200" s="747"/>
      <c r="AI200" s="747"/>
      <c r="AJ200" s="747"/>
      <c r="AK200" s="747"/>
      <c r="AL200" s="747"/>
      <c r="AM200" s="747"/>
      <c r="AN200" s="747"/>
      <c r="AO200" s="747"/>
      <c r="AP200" s="747"/>
      <c r="AQ200" s="747"/>
    </row>
    <row r="201" spans="2:43" s="749" customFormat="1" x14ac:dyDescent="0.35">
      <c r="F201" s="750"/>
      <c r="H201" s="751"/>
      <c r="I201" s="751"/>
      <c r="J201" s="751"/>
      <c r="K201" s="752"/>
      <c r="L201" s="757"/>
      <c r="M201" s="752"/>
      <c r="N201" s="758"/>
      <c r="O201" s="751"/>
      <c r="P201" s="751"/>
      <c r="Q201" s="751"/>
      <c r="R201" s="752"/>
      <c r="S201" s="752"/>
      <c r="T201" s="752"/>
      <c r="U201" s="752"/>
      <c r="V201" s="752"/>
      <c r="W201" s="752"/>
      <c r="X201" s="752"/>
      <c r="Y201" s="752"/>
      <c r="Z201" s="752"/>
      <c r="AA201" s="752"/>
      <c r="AB201" s="752"/>
      <c r="AC201" s="752"/>
      <c r="AD201" s="752"/>
      <c r="AE201" s="752"/>
      <c r="AF201" s="752"/>
      <c r="AG201" s="752"/>
      <c r="AH201" s="752"/>
      <c r="AI201" s="752"/>
      <c r="AJ201" s="752"/>
      <c r="AK201" s="752"/>
      <c r="AL201" s="752"/>
      <c r="AM201" s="752"/>
      <c r="AN201" s="752"/>
      <c r="AO201" s="752"/>
      <c r="AP201" s="752"/>
      <c r="AQ201" s="752"/>
    </row>
    <row r="202" spans="2:43" x14ac:dyDescent="0.35">
      <c r="B202" s="64" t="s">
        <v>0</v>
      </c>
      <c r="C202" s="64" t="s">
        <v>6</v>
      </c>
      <c r="D202" s="64" t="s">
        <v>276</v>
      </c>
      <c r="F202" s="258"/>
      <c r="H202" s="482"/>
      <c r="I202" s="482"/>
      <c r="J202" s="482"/>
      <c r="K202" s="484"/>
      <c r="L202" s="484"/>
      <c r="M202" s="484"/>
      <c r="N202" s="563"/>
      <c r="O202" s="482"/>
      <c r="P202" s="482"/>
      <c r="Q202" s="482"/>
      <c r="R202" s="484"/>
      <c r="S202" s="484"/>
      <c r="T202" s="484"/>
      <c r="U202" s="484"/>
      <c r="V202" s="484"/>
      <c r="W202" s="484"/>
      <c r="X202" s="484"/>
      <c r="Y202" s="484"/>
      <c r="Z202" s="484"/>
      <c r="AA202" s="484"/>
      <c r="AB202" s="484"/>
      <c r="AC202" s="484"/>
      <c r="AD202" s="484"/>
      <c r="AE202" s="484"/>
      <c r="AF202" s="484"/>
      <c r="AG202" s="484"/>
      <c r="AH202" s="484"/>
      <c r="AI202" s="484"/>
      <c r="AJ202" s="484"/>
      <c r="AK202" s="484"/>
      <c r="AL202" s="484"/>
      <c r="AM202" s="484"/>
      <c r="AN202" s="484"/>
      <c r="AO202" s="484"/>
      <c r="AP202" s="484"/>
      <c r="AQ202" s="484"/>
    </row>
    <row r="203" spans="2:43" x14ac:dyDescent="0.35">
      <c r="B203" s="30" t="str">
        <f t="shared" ref="B203:D207" si="48">B$202</f>
        <v>Energex</v>
      </c>
      <c r="C203" s="30" t="str">
        <f t="shared" si="48"/>
        <v>Residential</v>
      </c>
      <c r="D203" s="30" t="str">
        <f>D$202</f>
        <v>flat rate</v>
      </c>
      <c r="E203" s="30" t="s">
        <v>19</v>
      </c>
      <c r="F203" s="258" cm="1">
        <f t="array" ref="F203">_xlfn.XLOOKUP(1,($B203=DistributionZone)*('Network cost'!$C203=CustomerType)*('Network cost'!$D203=tariffL2)*($F$5=Description)*(E203=tariffType),valuesFY)</f>
        <v>4600</v>
      </c>
      <c r="G203" s="30" t="s">
        <v>57</v>
      </c>
      <c r="H203" s="482" cm="1">
        <f t="array" ref="H203">IFERROR(_xlfn.XLOOKUP(1,($B203=DistributionZone)*('Network cost'!$C203=CustomerType)*('Network cost'!$E203=tariffType)*('Network cost'!H$5=Desc_FixedOrVar)*('Network cost'!$G203=Description),valuesPY),0)</f>
        <v>253.30999999999997</v>
      </c>
      <c r="I203" s="482" cm="1">
        <f t="array" ref="I203">IFERROR(_xlfn.XLOOKUP(1,($B203=DistributionZone)*('Network cost'!$C203=CustomerType)*('Network cost'!$E203=tariffType)*('Network cost'!I$5=Desc_FixedOrVar)*('Network cost'!$G203=Description),valuesPY),0)</f>
        <v>89.179999999999993</v>
      </c>
      <c r="J203" s="482">
        <f>H203+I203*F203/1000</f>
        <v>663.5379999999999</v>
      </c>
      <c r="K203" s="484">
        <f>IFERROR(J203/J205,"")</f>
        <v>0.93762261914786715</v>
      </c>
      <c r="L203" s="484"/>
      <c r="M203" s="484">
        <f>IF(OR(J203=0,J203="",Q203=""),"",Q203/J203-1)</f>
        <v>0.13015531891165244</v>
      </c>
      <c r="N203" s="563"/>
      <c r="O203" s="482" cm="1">
        <f t="array" ref="O203">IFERROR(_xlfn.XLOOKUP(1,($B203=DistributionZone)*('Network cost'!$C203=CustomerType)*('Network cost'!$E203=tariffType)*('Network cost'!O$5=Desc_FixedOrVar)*('Network cost'!$G203=Description),valuesFY),0)</f>
        <v>317.91499999999996</v>
      </c>
      <c r="P203" s="482" cm="1">
        <f t="array" ref="P203">IFERROR(_xlfn.XLOOKUP(1,($B203=DistributionZone)*('Network cost'!$C203=CustomerType)*('Network cost'!$E203=tariffType)*('Network cost'!P$5=Desc_FixedOrVar)*('Network cost'!$G203=Description),valuesFY),0)</f>
        <v>93.91</v>
      </c>
      <c r="Q203" s="482">
        <f>O203+P203*$F203/1000</f>
        <v>749.90099999999995</v>
      </c>
      <c r="R203" s="484">
        <f>IFERROR(Q203/Q205,"")</f>
        <v>0.94351380731659451</v>
      </c>
      <c r="S203" s="484"/>
      <c r="T203" s="484"/>
      <c r="U203" s="484"/>
      <c r="V203" s="484"/>
      <c r="W203" s="484"/>
      <c r="X203" s="484"/>
      <c r="Y203" s="484"/>
      <c r="Z203" s="484"/>
      <c r="AA203" s="484"/>
      <c r="AB203" s="484"/>
      <c r="AC203" s="484"/>
      <c r="AD203" s="484"/>
      <c r="AE203" s="484"/>
      <c r="AF203" s="484"/>
      <c r="AG203" s="484"/>
      <c r="AH203" s="484"/>
      <c r="AI203" s="484"/>
      <c r="AJ203" s="484"/>
      <c r="AK203" s="484"/>
      <c r="AL203" s="484"/>
      <c r="AM203" s="484"/>
      <c r="AN203" s="484"/>
      <c r="AO203" s="484"/>
      <c r="AP203" s="484"/>
      <c r="AQ203" s="484"/>
    </row>
    <row r="204" spans="2:43" x14ac:dyDescent="0.35">
      <c r="B204" s="30" t="str">
        <f t="shared" si="48"/>
        <v>Energex</v>
      </c>
      <c r="C204" s="30" t="str">
        <f t="shared" si="48"/>
        <v>Residential</v>
      </c>
      <c r="D204" s="30" t="str">
        <f t="shared" si="48"/>
        <v>flat rate</v>
      </c>
      <c r="E204" s="30" t="s">
        <v>19</v>
      </c>
      <c r="F204" s="258" cm="1">
        <f t="array" ref="F204">_xlfn.XLOOKUP(1,($B204=DistributionZone)*('Network cost'!$C204=CustomerType)*('Network cost'!$D204=tariffL2)*($F$5=Description)*(E204=tariffType),valuesFY)</f>
        <v>4600</v>
      </c>
      <c r="G204" s="30" t="s">
        <v>61</v>
      </c>
      <c r="H204" s="482" cm="1">
        <f t="array" ref="H204">IFERROR(_xlfn.XLOOKUP(1,($B204=DistributionZone)*('Network cost'!$C204=CustomerType)*('Network cost'!$E204=tariffType)*('Network cost'!H$5=Desc_FixedOrVar)*('Network cost'!$G204=Description),valuesPY),0)</f>
        <v>44.143306369334965</v>
      </c>
      <c r="I204" s="482" cm="1">
        <f t="array" ref="I204">IFERROR(_xlfn.XLOOKUP(1,($B204=DistributionZone)*('Network cost'!$C204=CustomerType)*('Network cost'!$E204=tariffType)*('Network cost'!I$5=Desc_FixedOrVar)*('Network cost'!$G204=Description),valuesPY),0)</f>
        <v>0</v>
      </c>
      <c r="J204" s="482">
        <f>H204+I204*F204/1000</f>
        <v>44.143306369334965</v>
      </c>
      <c r="K204" s="484">
        <f>IFERROR(J204/J205,"")</f>
        <v>6.237738085213293E-2</v>
      </c>
      <c r="L204" s="484"/>
      <c r="M204" s="484">
        <f>IF(OR(J204=0,J204="",Q204=""),"",Q204/J204-1)</f>
        <v>1.7028485006895799E-2</v>
      </c>
      <c r="N204" s="563"/>
      <c r="O204" s="482" cm="1">
        <f t="array" ref="O204">IFERROR(_xlfn.XLOOKUP(1,($B204=DistributionZone)*('Network cost'!$C204=CustomerType)*('Network cost'!$E204=tariffType)*('Network cost'!O$5=Desc_FixedOrVar)*('Network cost'!$G204=Description),valuesFY),0)</f>
        <v>44.894999999999996</v>
      </c>
      <c r="P204" s="482" cm="1">
        <f t="array" ref="P204">IFERROR(_xlfn.XLOOKUP(1,($B204=DistributionZone)*('Network cost'!$C204=CustomerType)*('Network cost'!$E204=tariffType)*('Network cost'!P$5=Desc_FixedOrVar)*('Network cost'!$G204=Description),valuesFY),0)</f>
        <v>0</v>
      </c>
      <c r="Q204" s="482">
        <f>O204+P204*$F204/1000</f>
        <v>44.894999999999996</v>
      </c>
      <c r="R204" s="484">
        <f>IFERROR(Q204/Q205,"")</f>
        <v>5.6486192683405552E-2</v>
      </c>
      <c r="S204" s="484"/>
      <c r="T204" s="484"/>
      <c r="U204" s="484"/>
      <c r="V204" s="484"/>
      <c r="W204" s="484"/>
      <c r="X204" s="484"/>
      <c r="Y204" s="484"/>
      <c r="Z204" s="484"/>
      <c r="AA204" s="484"/>
      <c r="AB204" s="484"/>
      <c r="AC204" s="484"/>
      <c r="AD204" s="484"/>
      <c r="AE204" s="484"/>
      <c r="AF204" s="484"/>
      <c r="AG204" s="484"/>
      <c r="AH204" s="484"/>
      <c r="AI204" s="484"/>
      <c r="AJ204" s="484"/>
      <c r="AK204" s="484"/>
      <c r="AL204" s="484"/>
      <c r="AM204" s="484"/>
      <c r="AN204" s="484"/>
      <c r="AO204" s="484"/>
      <c r="AP204" s="484"/>
      <c r="AQ204" s="484"/>
    </row>
    <row r="205" spans="2:43" x14ac:dyDescent="0.35">
      <c r="B205" s="30" t="str">
        <f t="shared" si="48"/>
        <v>Energex</v>
      </c>
      <c r="C205" s="30" t="str">
        <f t="shared" si="48"/>
        <v>Residential</v>
      </c>
      <c r="D205" s="30" t="str">
        <f t="shared" si="48"/>
        <v>flat rate</v>
      </c>
      <c r="E205" s="30" t="s">
        <v>19</v>
      </c>
      <c r="F205" s="258" cm="1">
        <f t="array" ref="F205">_xlfn.XLOOKUP(1,($B205=DistributionZone)*('Network cost'!$C205=CustomerType)*('Network cost'!$D205=tariffL2)*($F$5=Description)*(E205=tariffType),valuesFY)</f>
        <v>4600</v>
      </c>
      <c r="G205" s="64" t="s">
        <v>55</v>
      </c>
      <c r="H205" s="487">
        <f>+H204+H203</f>
        <v>297.45330636933494</v>
      </c>
      <c r="I205" s="487">
        <f>+I204+I203</f>
        <v>89.179999999999993</v>
      </c>
      <c r="J205" s="487">
        <f>H205+I205*F205/1000</f>
        <v>707.68130636933483</v>
      </c>
      <c r="K205" s="564"/>
      <c r="L205" s="565"/>
      <c r="M205" s="564">
        <f>IF(OR(J205=0,J205="",Q205=""),"",Q205/J205-1)</f>
        <v>0.12309876330857961</v>
      </c>
      <c r="N205" s="566"/>
      <c r="O205" s="487">
        <f>SUM(O203:O204)</f>
        <v>362.80999999999995</v>
      </c>
      <c r="P205" s="487">
        <f>SUM(P203:P204)</f>
        <v>93.91</v>
      </c>
      <c r="Q205" s="487">
        <f>O205+P205*$F205/1000</f>
        <v>794.79599999999994</v>
      </c>
      <c r="R205" s="484"/>
      <c r="S205" s="484"/>
      <c r="T205" s="484"/>
      <c r="U205" s="484"/>
      <c r="V205" s="484"/>
      <c r="W205" s="484"/>
      <c r="X205" s="484"/>
      <c r="Y205" s="484"/>
      <c r="Z205" s="484"/>
      <c r="AA205" s="484"/>
      <c r="AB205" s="484"/>
      <c r="AC205" s="484"/>
      <c r="AD205" s="484"/>
      <c r="AE205" s="484"/>
      <c r="AF205" s="484"/>
      <c r="AG205" s="484"/>
      <c r="AH205" s="484"/>
      <c r="AI205" s="484"/>
      <c r="AJ205" s="484"/>
      <c r="AK205" s="484"/>
      <c r="AL205" s="484"/>
      <c r="AM205" s="484"/>
      <c r="AN205" s="484"/>
      <c r="AO205" s="484"/>
      <c r="AP205" s="484"/>
      <c r="AQ205" s="484"/>
    </row>
    <row r="206" spans="2:43" x14ac:dyDescent="0.35">
      <c r="B206" s="30" t="str">
        <f t="shared" si="48"/>
        <v>Energex</v>
      </c>
      <c r="C206" s="30" t="str">
        <f t="shared" si="48"/>
        <v>Residential</v>
      </c>
      <c r="D206" s="30" t="str">
        <f t="shared" si="48"/>
        <v>flat rate</v>
      </c>
      <c r="F206" s="258"/>
      <c r="G206" s="30" t="s">
        <v>38</v>
      </c>
      <c r="H206" s="482"/>
      <c r="I206" s="482"/>
      <c r="J206" s="482">
        <f>J205*GST</f>
        <v>70.768130636933492</v>
      </c>
      <c r="K206" s="484"/>
      <c r="L206" s="567"/>
      <c r="M206" s="484">
        <f>IF(OR(J206=0,J206="",Q206=""),"",Q206/J206-1)</f>
        <v>0.12309876330857961</v>
      </c>
      <c r="N206" s="568"/>
      <c r="O206" s="482"/>
      <c r="P206" s="482"/>
      <c r="Q206" s="482">
        <f>Q205*GST</f>
        <v>79.479600000000005</v>
      </c>
      <c r="R206" s="484"/>
      <c r="S206" s="484"/>
      <c r="T206" s="484"/>
      <c r="U206" s="484"/>
      <c r="V206" s="484"/>
      <c r="W206" s="484"/>
      <c r="X206" s="484"/>
      <c r="Y206" s="484"/>
      <c r="Z206" s="484"/>
      <c r="AA206" s="484"/>
      <c r="AB206" s="484"/>
      <c r="AC206" s="484"/>
      <c r="AD206" s="484"/>
      <c r="AE206" s="484"/>
      <c r="AF206" s="484"/>
      <c r="AG206" s="484"/>
      <c r="AH206" s="484"/>
      <c r="AI206" s="484"/>
      <c r="AJ206" s="484"/>
      <c r="AK206" s="484"/>
      <c r="AL206" s="484"/>
      <c r="AM206" s="484"/>
      <c r="AN206" s="484"/>
      <c r="AO206" s="484"/>
      <c r="AP206" s="484"/>
      <c r="AQ206" s="484"/>
    </row>
    <row r="207" spans="2:43" x14ac:dyDescent="0.35">
      <c r="B207" s="30" t="str">
        <f t="shared" si="48"/>
        <v>Energex</v>
      </c>
      <c r="C207" s="30" t="str">
        <f t="shared" si="48"/>
        <v>Residential</v>
      </c>
      <c r="D207" s="30" t="str">
        <f t="shared" si="48"/>
        <v>flat rate</v>
      </c>
      <c r="E207" s="30" t="s">
        <v>19</v>
      </c>
      <c r="F207" s="258"/>
      <c r="G207" s="64" t="s">
        <v>79</v>
      </c>
      <c r="H207" s="487"/>
      <c r="I207" s="487"/>
      <c r="J207" s="487">
        <f>SUM(J205:J206)</f>
        <v>778.44943700626834</v>
      </c>
      <c r="K207" s="564"/>
      <c r="L207" s="565"/>
      <c r="M207" s="564">
        <f>IF(OR(J207=0,J207="",Q207=""),"",Q207/J207-1)</f>
        <v>0.12309876330857961</v>
      </c>
      <c r="N207" s="566"/>
      <c r="O207" s="487"/>
      <c r="P207" s="487"/>
      <c r="Q207" s="487">
        <f>SUM(Q205:Q206)</f>
        <v>874.27559999999994</v>
      </c>
      <c r="R207" s="564"/>
      <c r="S207" s="564"/>
      <c r="T207" s="484"/>
      <c r="U207" s="564"/>
      <c r="V207" s="564"/>
      <c r="W207" s="564"/>
      <c r="X207" s="564"/>
      <c r="Y207" s="564"/>
      <c r="Z207" s="564"/>
      <c r="AA207" s="564"/>
      <c r="AB207" s="564"/>
      <c r="AC207" s="564"/>
      <c r="AD207" s="564"/>
      <c r="AE207" s="564"/>
      <c r="AF207" s="564"/>
      <c r="AG207" s="564"/>
      <c r="AH207" s="564"/>
      <c r="AI207" s="564"/>
      <c r="AJ207" s="564"/>
      <c r="AK207" s="564"/>
      <c r="AL207" s="564"/>
      <c r="AM207" s="564"/>
      <c r="AN207" s="564"/>
      <c r="AO207" s="564"/>
      <c r="AP207" s="564"/>
      <c r="AQ207" s="564"/>
    </row>
    <row r="208" spans="2:43" s="597" customFormat="1" x14ac:dyDescent="0.35">
      <c r="F208" s="602"/>
      <c r="H208" s="599"/>
      <c r="I208" s="599"/>
      <c r="J208" s="599"/>
      <c r="K208" s="601"/>
      <c r="L208" s="601"/>
      <c r="M208" s="601"/>
      <c r="N208" s="602"/>
      <c r="O208" s="599"/>
      <c r="P208" s="599"/>
      <c r="Q208" s="599"/>
      <c r="R208" s="601"/>
      <c r="S208" s="601"/>
      <c r="T208" s="484"/>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row>
    <row r="209" spans="2:43" s="570" customFormat="1" x14ac:dyDescent="0.35">
      <c r="B209" s="571" t="s">
        <v>0</v>
      </c>
      <c r="C209" s="571" t="s">
        <v>6</v>
      </c>
      <c r="D209" s="571" t="s">
        <v>272</v>
      </c>
      <c r="F209" s="485"/>
      <c r="H209" s="574"/>
      <c r="I209" s="574"/>
      <c r="J209" s="574"/>
      <c r="K209" s="575"/>
      <c r="L209" s="575"/>
      <c r="M209" s="575"/>
      <c r="N209" s="576"/>
      <c r="O209" s="574"/>
      <c r="P209" s="574"/>
      <c r="Q209" s="574"/>
      <c r="R209" s="575"/>
      <c r="S209" s="575"/>
      <c r="T209" s="484"/>
      <c r="U209" s="575"/>
      <c r="V209" s="575"/>
      <c r="W209" s="575"/>
      <c r="X209" s="575"/>
      <c r="Y209" s="575"/>
      <c r="Z209" s="575"/>
      <c r="AA209" s="575"/>
      <c r="AB209" s="575"/>
      <c r="AC209" s="575"/>
      <c r="AD209" s="575"/>
      <c r="AE209" s="575"/>
      <c r="AF209" s="575"/>
      <c r="AG209" s="575"/>
      <c r="AH209" s="575"/>
      <c r="AI209" s="575"/>
      <c r="AJ209" s="575"/>
      <c r="AK209" s="575"/>
      <c r="AL209" s="575"/>
      <c r="AM209" s="575"/>
      <c r="AN209" s="575"/>
      <c r="AO209" s="575"/>
      <c r="AP209" s="575"/>
      <c r="AQ209" s="575"/>
    </row>
    <row r="210" spans="2:43" s="570" customFormat="1" x14ac:dyDescent="0.35">
      <c r="B210" s="570" t="str">
        <f t="shared" ref="B210:C216" si="49">B$202</f>
        <v>Energex</v>
      </c>
      <c r="C210" s="570" t="str">
        <f t="shared" si="49"/>
        <v>Residential</v>
      </c>
      <c r="D210" s="570" t="str">
        <f>D$209</f>
        <v>time of use</v>
      </c>
      <c r="E210" s="570" t="s">
        <v>279</v>
      </c>
      <c r="F210" s="485" cm="1">
        <f t="array" ref="F210">_xlfn.XLOOKUP(1,($B210=DistributionZone)*('Network cost'!$C210=CustomerType)*('Network cost'!$D210=tariffL2)*($F$5=Description),valuesPY)*_xlfn.XLOOKUP(1,($B210=DistributionZone)*($C210=CustomerType)*('Network cost'!$D210=tariffL2)*($E210=tariffType)*("Usage proportion"=Description),valuesFY)</f>
        <v>1085.7113608025084</v>
      </c>
      <c r="G210" s="570" t="s">
        <v>57</v>
      </c>
      <c r="H210" s="574" cm="1">
        <f t="array" ref="H210">IFERROR(_xlfn.XLOOKUP(1,($B210=DistributionZone)*('Network cost'!$C210=CustomerType)*('Network cost'!$E210=tariffType)*('Network cost'!H$5=Desc_FixedOrVar)*('Network cost'!$G210=Description),valuesPY),0)*_xlfn.XLOOKUP(1,($B210=DistributionZone)*('Network cost'!$D210=tariffL2)*($E210=tariffType)*("Usage proportion"=Description),valuesPY)</f>
        <v>0</v>
      </c>
      <c r="I210" s="574" cm="1">
        <f t="array" ref="I210">IFERROR(_xlfn.XLOOKUP(1,($B210=DistributionZone)*('Network cost'!$C210=CustomerType)*('Network cost'!$E210=tariffType)*('Network cost'!I$5=Desc_FixedOrVar)*('Network cost'!$G210=Description),valuesPY),0)</f>
        <v>0</v>
      </c>
      <c r="J210" s="574">
        <f>H210+I210*F210/1000</f>
        <v>0</v>
      </c>
      <c r="K210" s="575" t="str">
        <f>IFERROR(J210/J214,"")</f>
        <v/>
      </c>
      <c r="L210" s="575"/>
      <c r="M210" s="575" t="str">
        <f t="shared" ref="M210:M216" si="50">IF(OR(J210=0,J210="",Q210=""),"",Q210/J210-1)</f>
        <v/>
      </c>
      <c r="N210" s="576"/>
      <c r="O210" s="574" cm="1">
        <f t="array" ref="O210">IFERROR(_xlfn.XLOOKUP(1,($B210=DistributionZone)*('Network cost'!$C210=CustomerType)*('Network cost'!$E210=tariffType)*('Network cost'!O$5=Desc_FixedOrVar)*('Network cost'!$G210=Description),valuesFY),0)*_xlfn.XLOOKUP(1,($B210=DistributionZone)*('Network cost'!$D210=tariffL2)*($E210=tariffType)*("Usage proportion"=Description),valuesFY)</f>
        <v>56.082892390671304</v>
      </c>
      <c r="P210" s="574" cm="1">
        <f t="array" ref="P210">IFERROR(_xlfn.XLOOKUP(1,($B210=DistributionZone)*('Network cost'!$C210=CustomerType)*('Network cost'!$E210=tariffType)*('Network cost'!P$5=Desc_FixedOrVar)*('Network cost'!$G210=Description),valuesFY),0)</f>
        <v>4.34</v>
      </c>
      <c r="Q210" s="574">
        <f>O210+P210*$F210/1000</f>
        <v>60.79487969655419</v>
      </c>
      <c r="R210" s="575">
        <f>IFERROR(Q210/Q214,"")</f>
        <v>8.940538815309404E-2</v>
      </c>
      <c r="S210" s="575"/>
      <c r="T210" s="484"/>
      <c r="U210" s="575"/>
      <c r="V210" s="575"/>
      <c r="W210" s="575"/>
      <c r="X210" s="575"/>
      <c r="Y210" s="575"/>
      <c r="Z210" s="575"/>
      <c r="AA210" s="575"/>
      <c r="AB210" s="575"/>
      <c r="AC210" s="575"/>
      <c r="AD210" s="575"/>
      <c r="AE210" s="575"/>
      <c r="AF210" s="575"/>
      <c r="AG210" s="575"/>
      <c r="AH210" s="575"/>
      <c r="AI210" s="575"/>
      <c r="AJ210" s="575"/>
      <c r="AK210" s="575"/>
      <c r="AL210" s="575"/>
      <c r="AM210" s="575"/>
      <c r="AN210" s="575"/>
      <c r="AO210" s="575"/>
      <c r="AP210" s="575"/>
      <c r="AQ210" s="575"/>
    </row>
    <row r="211" spans="2:43" s="570" customFormat="1" x14ac:dyDescent="0.35">
      <c r="B211" s="570" t="str">
        <f t="shared" si="49"/>
        <v>Energex</v>
      </c>
      <c r="C211" s="570" t="str">
        <f t="shared" si="49"/>
        <v>Residential</v>
      </c>
      <c r="D211" s="570" t="str">
        <f t="shared" ref="D211:D216" si="51">D$209</f>
        <v>time of use</v>
      </c>
      <c r="E211" s="570" t="s">
        <v>278</v>
      </c>
      <c r="F211" s="485" cm="1">
        <f t="array" ref="F211">_xlfn.XLOOKUP(1,($B211=DistributionZone)*('Network cost'!$C211=CustomerType)*('Network cost'!$D211=tariffL2)*($F$5=Description),valuesPY)*_xlfn.XLOOKUP(1,($B211=DistributionZone)*($C211=CustomerType)*('Network cost'!$D211=tariffL2)*($E211=tariffType)*("Usage proportion"=Description),valuesFY)</f>
        <v>1333.0887059264937</v>
      </c>
      <c r="G211" s="570" t="s">
        <v>57</v>
      </c>
      <c r="H211" s="574" cm="1">
        <f t="array" ref="H211">IFERROR(_xlfn.XLOOKUP(1,($B211=DistributionZone)*('Network cost'!$C211=CustomerType)*('Network cost'!$E211=tariffType)*('Network cost'!H$5=Desc_FixedOrVar)*('Network cost'!$G211=Description),valuesPY),0)*_xlfn.XLOOKUP(1,($B211=DistributionZone)*('Network cost'!$D211=tariffL2)*($E211=tariffType)*("Usage proportion"=Description),valuesPY)</f>
        <v>0</v>
      </c>
      <c r="I211" s="574" cm="1">
        <f t="array" ref="I211">IFERROR(_xlfn.XLOOKUP(1,($B211=DistributionZone)*('Network cost'!$C211=CustomerType)*('Network cost'!$E211=tariffType)*('Network cost'!I$5=Desc_FixedOrVar)*('Network cost'!$G211=Description),valuesPY),0)</f>
        <v>0</v>
      </c>
      <c r="J211" s="574">
        <f>H211+I211*F211/1000</f>
        <v>0</v>
      </c>
      <c r="K211" s="575" t="str">
        <f>IFERROR(J211/J214,"")</f>
        <v/>
      </c>
      <c r="L211" s="575"/>
      <c r="M211" s="575" t="str">
        <f t="shared" si="50"/>
        <v/>
      </c>
      <c r="N211" s="576"/>
      <c r="O211" s="574" cm="1">
        <f t="array" ref="O211">IFERROR(_xlfn.XLOOKUP(1,($B211=DistributionZone)*('Network cost'!$C211=CustomerType)*('Network cost'!$E211=tariffType)*('Network cost'!O$5=Desc_FixedOrVar)*('Network cost'!$G211=Description),valuesFY),0)*_xlfn.XLOOKUP(1,($B211=DistributionZone)*('Network cost'!$D211=tariffL2)*($E211=tariffType)*("Usage proportion"=Description),valuesFY)</f>
        <v>68.861276708418217</v>
      </c>
      <c r="P211" s="574" cm="1">
        <f t="array" ref="P211">IFERROR(_xlfn.XLOOKUP(1,($B211=DistributionZone)*('Network cost'!$C211=CustomerType)*('Network cost'!$E211=tariffType)*('Network cost'!P$5=Desc_FixedOrVar)*('Network cost'!$G211=Description),valuesFY),0)</f>
        <v>195.33</v>
      </c>
      <c r="Q211" s="574">
        <f>O211+P211*$F211/1000</f>
        <v>329.25349363704026</v>
      </c>
      <c r="R211" s="575">
        <f>IFERROR(Q211/Q214,"")</f>
        <v>0.48420256025361186</v>
      </c>
      <c r="S211" s="575"/>
      <c r="T211" s="484"/>
      <c r="U211" s="575"/>
      <c r="V211" s="575"/>
      <c r="W211" s="575"/>
      <c r="X211" s="575"/>
      <c r="Y211" s="575"/>
      <c r="Z211" s="575"/>
      <c r="AA211" s="575"/>
      <c r="AB211" s="575"/>
      <c r="AC211" s="575"/>
      <c r="AD211" s="575"/>
      <c r="AE211" s="575"/>
      <c r="AF211" s="575"/>
      <c r="AG211" s="575"/>
      <c r="AH211" s="575"/>
      <c r="AI211" s="575"/>
      <c r="AJ211" s="575"/>
      <c r="AK211" s="575"/>
      <c r="AL211" s="575"/>
      <c r="AM211" s="575"/>
      <c r="AN211" s="575"/>
      <c r="AO211" s="575"/>
      <c r="AP211" s="575"/>
      <c r="AQ211" s="575"/>
    </row>
    <row r="212" spans="2:43" s="570" customFormat="1" x14ac:dyDescent="0.35">
      <c r="B212" s="570" t="str">
        <f t="shared" si="49"/>
        <v>Energex</v>
      </c>
      <c r="C212" s="570" t="str">
        <f t="shared" si="49"/>
        <v>Residential</v>
      </c>
      <c r="D212" s="570" t="str">
        <f t="shared" si="51"/>
        <v>time of use</v>
      </c>
      <c r="E212" s="570" t="s">
        <v>283</v>
      </c>
      <c r="F212" s="485" cm="1">
        <f t="array" ref="F212">_xlfn.XLOOKUP(1,($B212=DistributionZone)*('Network cost'!$C212=CustomerType)*('Network cost'!$D212=tariffL2)*($F$5=Description),valuesPY)*_xlfn.XLOOKUP(1,($B212=DistributionZone)*($C212=CustomerType)*('Network cost'!$D212=tariffL2)*($E212=tariffType)*("Usage proportion"=Description),valuesFY)</f>
        <v>2181.1999332709984</v>
      </c>
      <c r="G212" s="570" t="s">
        <v>57</v>
      </c>
      <c r="H212" s="574" cm="1">
        <f t="array" ref="H212">IFERROR(_xlfn.XLOOKUP(1,($B212=DistributionZone)*('Network cost'!$C212=CustomerType)*('Network cost'!$E212=tariffType)*('Network cost'!H$5=Desc_FixedOrVar)*('Network cost'!$G212=Description),valuesPY),0)*_xlfn.XLOOKUP(1,($B212=DistributionZone)*('Network cost'!$D212=tariffL2)*($E212=tariffType)*("Usage proportion"=Description),valuesPY)</f>
        <v>0</v>
      </c>
      <c r="I212" s="574" cm="1">
        <f t="array" ref="I212">IFERROR(_xlfn.XLOOKUP(1,($B212=DistributionZone)*('Network cost'!$C212=CustomerType)*('Network cost'!$E212=tariffType)*('Network cost'!I$5=Desc_FixedOrVar)*('Network cost'!$G212=Description),valuesPY),0)</f>
        <v>0</v>
      </c>
      <c r="J212" s="574">
        <f>H212+I212*F212/1000</f>
        <v>0</v>
      </c>
      <c r="K212" s="575" t="str">
        <f>IFERROR(J212/J214,"")</f>
        <v/>
      </c>
      <c r="L212" s="575"/>
      <c r="M212" s="575" t="str">
        <f t="shared" si="50"/>
        <v/>
      </c>
      <c r="N212" s="576"/>
      <c r="O212" s="574" cm="1">
        <f t="array" ref="O212">IFERROR(_xlfn.XLOOKUP(1,($B212=DistributionZone)*('Network cost'!$C212=CustomerType)*('Network cost'!$E212=tariffType)*('Network cost'!O$5=Desc_FixedOrVar)*('Network cost'!$G212=Description),valuesFY),0)*_xlfn.XLOOKUP(1,($B212=DistributionZone)*('Network cost'!$D212=tariffL2)*($E212=tariffType)*("Usage proportion"=Description),valuesFY)</f>
        <v>112.67083090091047</v>
      </c>
      <c r="P212" s="574" cm="1">
        <f t="array" ref="P212">IFERROR(_xlfn.XLOOKUP(1,($B212=DistributionZone)*('Network cost'!$C212=CustomerType)*('Network cost'!$E212=tariffType)*('Network cost'!P$5=Desc_FixedOrVar)*('Network cost'!$G212=Description),valuesFY),0)</f>
        <v>60.69</v>
      </c>
      <c r="Q212" s="574">
        <f>O212+P212*$F212/1000</f>
        <v>245.04785485112734</v>
      </c>
      <c r="R212" s="575">
        <f>IFERROR(Q212/Q214,"")</f>
        <v>0.3603691410921544</v>
      </c>
      <c r="S212" s="575"/>
      <c r="T212" s="484"/>
      <c r="U212" s="575"/>
      <c r="V212" s="575"/>
      <c r="W212" s="575"/>
      <c r="X212" s="575"/>
      <c r="Y212" s="575"/>
      <c r="Z212" s="575"/>
      <c r="AA212" s="575"/>
      <c r="AB212" s="575"/>
      <c r="AC212" s="575"/>
      <c r="AD212" s="575"/>
      <c r="AE212" s="575"/>
      <c r="AF212" s="575"/>
      <c r="AG212" s="575"/>
      <c r="AH212" s="575"/>
      <c r="AI212" s="575"/>
      <c r="AJ212" s="575"/>
      <c r="AK212" s="575"/>
      <c r="AL212" s="575"/>
      <c r="AM212" s="575"/>
      <c r="AN212" s="575"/>
      <c r="AO212" s="575"/>
      <c r="AP212" s="575"/>
      <c r="AQ212" s="575"/>
    </row>
    <row r="213" spans="2:43" s="570" customFormat="1" x14ac:dyDescent="0.35">
      <c r="B213" s="570" t="str">
        <f t="shared" si="49"/>
        <v>Energex</v>
      </c>
      <c r="C213" s="570" t="str">
        <f t="shared" si="49"/>
        <v>Residential</v>
      </c>
      <c r="D213" s="570" t="str">
        <f t="shared" si="51"/>
        <v>time of use</v>
      </c>
      <c r="E213" s="570" t="s">
        <v>272</v>
      </c>
      <c r="F213" s="485" cm="1">
        <f t="array" ref="F213">_xlfn.XLOOKUP(1,($B213=DistributionZone)*('Network cost'!$C213=CustomerType)*('Network cost'!$D213=tariffL2)*($F$5=Description),valuesPY)</f>
        <v>4600</v>
      </c>
      <c r="G213" s="570" t="s">
        <v>61</v>
      </c>
      <c r="H213" s="574" cm="1">
        <f t="array" ref="H213">IFERROR(_xlfn.XLOOKUP(1,($B213=DistributionZone)*('Network cost'!$C213=CustomerType)*('Network cost'!$E213=tariffType)*('Network cost'!H$5=Desc_FixedOrVar)*('Network cost'!$G213=Description),valuesPY),0)</f>
        <v>0</v>
      </c>
      <c r="I213" s="574" cm="1">
        <f t="array" ref="I213">IFERROR(_xlfn.XLOOKUP(1,($B213=DistributionZone)*('Network cost'!$C213=CustomerType)*('Network cost'!$E213=tariffType)*('Network cost'!I$5=Desc_FixedOrVar)*('Network cost'!$G213=Description),valuesPY),0)</f>
        <v>0</v>
      </c>
      <c r="J213" s="574">
        <f>H213+I213*F213/1000</f>
        <v>0</v>
      </c>
      <c r="K213" s="575" t="str">
        <f>IFERROR(J213/J214,"")</f>
        <v/>
      </c>
      <c r="L213" s="575"/>
      <c r="M213" s="575" t="str">
        <f t="shared" si="50"/>
        <v/>
      </c>
      <c r="N213" s="576"/>
      <c r="O213" s="574" cm="1">
        <f t="array" ref="O213">IFERROR(_xlfn.XLOOKUP(1,($B213=DistributionZone)*('Network cost'!$C213=CustomerType)*('Network cost'!$E213=tariffType)*('Network cost'!O$5=Desc_FixedOrVar)*('Network cost'!$G213=Description),valuesFY),0)</f>
        <v>44.894999999999996</v>
      </c>
      <c r="P213" s="574" cm="1">
        <f t="array" ref="P213">IFERROR(_xlfn.XLOOKUP(1,($B213=DistributionZone)*('Network cost'!$C213=CustomerType)*('Network cost'!$E213=tariffType)*('Network cost'!P$5=Desc_FixedOrVar)*('Network cost'!$G213=Description),valuesFY),0)</f>
        <v>0</v>
      </c>
      <c r="Q213" s="574">
        <f>O213+P213*$F$146/1000</f>
        <v>44.894999999999996</v>
      </c>
      <c r="R213" s="575">
        <f>IFERROR(Q213/Q214,"")</f>
        <v>6.6022910501139773E-2</v>
      </c>
      <c r="S213" s="575"/>
      <c r="T213" s="484"/>
      <c r="U213" s="575"/>
      <c r="V213" s="575"/>
      <c r="W213" s="575"/>
      <c r="X213" s="575"/>
      <c r="Y213" s="575"/>
      <c r="Z213" s="575"/>
      <c r="AA213" s="575"/>
      <c r="AB213" s="575"/>
      <c r="AC213" s="575"/>
      <c r="AD213" s="575"/>
      <c r="AE213" s="575"/>
      <c r="AF213" s="575"/>
      <c r="AG213" s="575"/>
      <c r="AH213" s="575"/>
      <c r="AI213" s="575"/>
      <c r="AJ213" s="575"/>
      <c r="AK213" s="575"/>
      <c r="AL213" s="575"/>
      <c r="AM213" s="575"/>
      <c r="AN213" s="575"/>
      <c r="AO213" s="575"/>
      <c r="AP213" s="575"/>
      <c r="AQ213" s="575"/>
    </row>
    <row r="214" spans="2:43" s="570" customFormat="1" x14ac:dyDescent="0.35">
      <c r="B214" s="570" t="str">
        <f t="shared" si="49"/>
        <v>Energex</v>
      </c>
      <c r="C214" s="570" t="str">
        <f t="shared" si="49"/>
        <v>Residential</v>
      </c>
      <c r="D214" s="570" t="str">
        <f t="shared" si="51"/>
        <v>time of use</v>
      </c>
      <c r="E214" s="570" t="s">
        <v>272</v>
      </c>
      <c r="F214" s="485" cm="1">
        <f t="array" ref="F214">_xlfn.XLOOKUP(1,($B214=DistributionZone)*('Network cost'!$C214=CustomerType)*('Network cost'!$D214=tariffL2)*($F$5=Description),valuesPY)</f>
        <v>4600</v>
      </c>
      <c r="G214" s="571" t="s">
        <v>55</v>
      </c>
      <c r="H214" s="577">
        <f>SUM(H210:H213)</f>
        <v>0</v>
      </c>
      <c r="I214" s="577"/>
      <c r="J214" s="577">
        <f>SUM(J210:J213)</f>
        <v>0</v>
      </c>
      <c r="K214" s="578"/>
      <c r="L214" s="579"/>
      <c r="M214" s="578" t="str">
        <f t="shared" si="50"/>
        <v/>
      </c>
      <c r="N214" s="580"/>
      <c r="O214" s="577">
        <f>SUM(O210:O213)</f>
        <v>282.51</v>
      </c>
      <c r="P214" s="577">
        <f>SUM(P210:P213)</f>
        <v>260.36</v>
      </c>
      <c r="Q214" s="577">
        <f>SUM(Q210:Q213)</f>
        <v>679.99122818472176</v>
      </c>
      <c r="R214" s="575"/>
      <c r="S214" s="575"/>
      <c r="T214" s="484"/>
      <c r="U214" s="575"/>
      <c r="V214" s="575"/>
      <c r="W214" s="575"/>
      <c r="X214" s="575"/>
      <c r="Y214" s="575"/>
      <c r="Z214" s="575"/>
      <c r="AA214" s="575"/>
      <c r="AB214" s="575"/>
      <c r="AC214" s="575"/>
      <c r="AD214" s="575"/>
      <c r="AE214" s="575"/>
      <c r="AF214" s="575"/>
      <c r="AG214" s="575"/>
      <c r="AH214" s="575"/>
      <c r="AI214" s="575"/>
      <c r="AJ214" s="575"/>
      <c r="AK214" s="575"/>
      <c r="AL214" s="575"/>
      <c r="AM214" s="575"/>
      <c r="AN214" s="575"/>
      <c r="AO214" s="575"/>
      <c r="AP214" s="575"/>
      <c r="AQ214" s="575"/>
    </row>
    <row r="215" spans="2:43" s="570" customFormat="1" x14ac:dyDescent="0.35">
      <c r="B215" s="570" t="str">
        <f t="shared" si="49"/>
        <v>Energex</v>
      </c>
      <c r="C215" s="570" t="str">
        <f t="shared" si="49"/>
        <v>Residential</v>
      </c>
      <c r="D215" s="570" t="str">
        <f t="shared" si="51"/>
        <v>time of use</v>
      </c>
      <c r="F215" s="485"/>
      <c r="G215" s="570" t="s">
        <v>38</v>
      </c>
      <c r="H215" s="574"/>
      <c r="I215" s="574"/>
      <c r="J215" s="574">
        <f>J214*GST</f>
        <v>0</v>
      </c>
      <c r="K215" s="575"/>
      <c r="L215" s="581"/>
      <c r="M215" s="575" t="str">
        <f t="shared" si="50"/>
        <v/>
      </c>
      <c r="N215" s="582"/>
      <c r="O215" s="574"/>
      <c r="P215" s="574"/>
      <c r="Q215" s="574">
        <f>Q214*GST</f>
        <v>67.999122818472173</v>
      </c>
      <c r="R215" s="575"/>
      <c r="S215" s="575"/>
      <c r="T215" s="484"/>
      <c r="U215" s="575"/>
      <c r="V215" s="575"/>
      <c r="W215" s="575"/>
      <c r="X215" s="575"/>
      <c r="Y215" s="575"/>
      <c r="Z215" s="575"/>
      <c r="AA215" s="575"/>
      <c r="AB215" s="575"/>
      <c r="AC215" s="575"/>
      <c r="AD215" s="575"/>
      <c r="AE215" s="575"/>
      <c r="AF215" s="575"/>
      <c r="AG215" s="575"/>
      <c r="AH215" s="575"/>
      <c r="AI215" s="575"/>
      <c r="AJ215" s="575"/>
      <c r="AK215" s="575"/>
      <c r="AL215" s="575"/>
      <c r="AM215" s="575"/>
      <c r="AN215" s="575"/>
      <c r="AO215" s="575"/>
      <c r="AP215" s="575"/>
      <c r="AQ215" s="575"/>
    </row>
    <row r="216" spans="2:43" s="570" customFormat="1" x14ac:dyDescent="0.35">
      <c r="B216" s="570" t="str">
        <f t="shared" si="49"/>
        <v>Energex</v>
      </c>
      <c r="C216" s="570" t="str">
        <f t="shared" si="49"/>
        <v>Residential</v>
      </c>
      <c r="D216" s="570" t="str">
        <f t="shared" si="51"/>
        <v>time of use</v>
      </c>
      <c r="E216" s="570" t="s">
        <v>272</v>
      </c>
      <c r="F216" s="485"/>
      <c r="G216" s="571" t="s">
        <v>79</v>
      </c>
      <c r="H216" s="577"/>
      <c r="I216" s="577"/>
      <c r="J216" s="577">
        <f>SUM(J214:J215)</f>
        <v>0</v>
      </c>
      <c r="K216" s="578"/>
      <c r="L216" s="579"/>
      <c r="M216" s="578" t="str">
        <f t="shared" si="50"/>
        <v/>
      </c>
      <c r="N216" s="580"/>
      <c r="O216" s="577"/>
      <c r="P216" s="577"/>
      <c r="Q216" s="577">
        <f>SUM(Q214:Q215)</f>
        <v>747.99035100319395</v>
      </c>
      <c r="R216" s="578"/>
      <c r="S216" s="578"/>
      <c r="T216" s="484"/>
      <c r="U216" s="578"/>
      <c r="V216" s="578"/>
      <c r="W216" s="578"/>
      <c r="X216" s="578"/>
      <c r="Y216" s="578"/>
      <c r="Z216" s="578"/>
      <c r="AA216" s="578"/>
      <c r="AB216" s="578"/>
      <c r="AC216" s="578"/>
      <c r="AD216" s="578"/>
      <c r="AE216" s="578"/>
      <c r="AF216" s="578"/>
      <c r="AG216" s="578"/>
      <c r="AH216" s="578"/>
      <c r="AI216" s="578"/>
      <c r="AJ216" s="578"/>
      <c r="AK216" s="578"/>
      <c r="AL216" s="578"/>
      <c r="AM216" s="578"/>
      <c r="AN216" s="578"/>
      <c r="AO216" s="578"/>
      <c r="AP216" s="578"/>
      <c r="AQ216" s="578"/>
    </row>
    <row r="217" spans="2:43" s="570" customFormat="1" hidden="1" x14ac:dyDescent="0.35">
      <c r="F217" s="485"/>
      <c r="H217" s="574"/>
      <c r="I217" s="574"/>
      <c r="J217" s="574"/>
      <c r="K217" s="575"/>
      <c r="L217" s="581"/>
      <c r="M217" s="575"/>
      <c r="N217" s="582"/>
      <c r="O217" s="574"/>
      <c r="P217" s="574"/>
      <c r="Q217" s="574"/>
      <c r="R217" s="575"/>
      <c r="S217" s="575"/>
      <c r="T217" s="484"/>
      <c r="U217" s="575"/>
      <c r="V217" s="575"/>
      <c r="W217" s="575"/>
      <c r="X217" s="575"/>
      <c r="Y217" s="575"/>
      <c r="Z217" s="575"/>
      <c r="AA217" s="575"/>
      <c r="AB217" s="575"/>
      <c r="AC217" s="575"/>
      <c r="AD217" s="575"/>
      <c r="AE217" s="575"/>
      <c r="AF217" s="575"/>
      <c r="AG217" s="575"/>
      <c r="AH217" s="575"/>
      <c r="AI217" s="575"/>
      <c r="AJ217" s="575"/>
      <c r="AK217" s="575"/>
      <c r="AL217" s="575"/>
      <c r="AM217" s="575"/>
      <c r="AN217" s="575"/>
      <c r="AO217" s="575"/>
      <c r="AP217" s="575"/>
      <c r="AQ217" s="575"/>
    </row>
    <row r="218" spans="2:43" hidden="1" x14ac:dyDescent="0.35">
      <c r="B218" s="64"/>
      <c r="C218" s="64"/>
      <c r="D218" s="64"/>
      <c r="F218" s="258"/>
      <c r="H218" s="482"/>
      <c r="I218" s="482"/>
      <c r="J218" s="482"/>
      <c r="K218" s="484"/>
      <c r="L218" s="567"/>
      <c r="M218" s="484"/>
      <c r="N218" s="568"/>
      <c r="O218" s="482"/>
      <c r="P218" s="482"/>
      <c r="Q218" s="482"/>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row>
    <row r="219" spans="2:43" hidden="1" x14ac:dyDescent="0.35">
      <c r="F219" s="258"/>
      <c r="G219" s="511"/>
      <c r="H219" s="482"/>
      <c r="I219" s="482"/>
      <c r="J219" s="482"/>
      <c r="K219" s="484"/>
      <c r="L219" s="484"/>
      <c r="M219" s="484"/>
      <c r="N219" s="563"/>
      <c r="O219" s="482"/>
      <c r="P219" s="482"/>
      <c r="Q219" s="482"/>
      <c r="R219" s="484"/>
      <c r="S219" s="484"/>
      <c r="T219" s="484"/>
      <c r="U219" s="484"/>
      <c r="V219" s="484"/>
      <c r="W219" s="484"/>
      <c r="X219" s="484"/>
      <c r="Y219" s="484"/>
      <c r="Z219" s="484"/>
      <c r="AA219" s="484"/>
      <c r="AB219" s="484"/>
      <c r="AC219" s="484"/>
      <c r="AD219" s="484"/>
      <c r="AE219" s="484"/>
      <c r="AF219" s="484"/>
      <c r="AG219" s="484"/>
      <c r="AH219" s="484"/>
      <c r="AI219" s="484"/>
      <c r="AJ219" s="484"/>
      <c r="AK219" s="484"/>
      <c r="AL219" s="484"/>
      <c r="AM219" s="484"/>
      <c r="AN219" s="484"/>
      <c r="AO219" s="484"/>
      <c r="AP219" s="484"/>
      <c r="AQ219" s="484"/>
    </row>
    <row r="220" spans="2:43" hidden="1" x14ac:dyDescent="0.35">
      <c r="F220" s="258"/>
      <c r="G220" s="511"/>
      <c r="H220" s="482"/>
      <c r="I220" s="482"/>
      <c r="J220" s="482"/>
      <c r="K220" s="484"/>
      <c r="L220" s="484"/>
      <c r="M220" s="484"/>
      <c r="N220" s="563"/>
      <c r="O220" s="482"/>
      <c r="P220" s="482"/>
      <c r="Q220" s="482"/>
      <c r="R220" s="484"/>
      <c r="S220" s="484"/>
      <c r="T220" s="484"/>
      <c r="U220" s="484"/>
      <c r="V220" s="484"/>
      <c r="W220" s="484"/>
      <c r="X220" s="484"/>
      <c r="Y220" s="484"/>
      <c r="Z220" s="484"/>
      <c r="AA220" s="484"/>
      <c r="AB220" s="484"/>
      <c r="AC220" s="484"/>
      <c r="AD220" s="484"/>
      <c r="AE220" s="484"/>
      <c r="AF220" s="484"/>
      <c r="AG220" s="484"/>
      <c r="AH220" s="484"/>
      <c r="AI220" s="484"/>
      <c r="AJ220" s="484"/>
      <c r="AK220" s="484"/>
      <c r="AL220" s="484"/>
      <c r="AM220" s="484"/>
      <c r="AN220" s="484"/>
      <c r="AO220" s="484"/>
      <c r="AP220" s="484"/>
      <c r="AQ220" s="484"/>
    </row>
    <row r="221" spans="2:43" x14ac:dyDescent="0.35">
      <c r="F221" s="258"/>
      <c r="G221" s="64"/>
      <c r="H221" s="487"/>
      <c r="I221" s="487"/>
      <c r="J221" s="487"/>
      <c r="K221" s="564"/>
      <c r="L221" s="565"/>
      <c r="M221" s="564"/>
      <c r="N221" s="566"/>
      <c r="O221" s="487"/>
      <c r="P221" s="487"/>
      <c r="Q221" s="487"/>
      <c r="R221" s="484"/>
      <c r="S221" s="484"/>
      <c r="T221" s="484"/>
      <c r="U221" s="484"/>
      <c r="V221" s="484"/>
      <c r="W221" s="484"/>
      <c r="X221" s="484"/>
      <c r="Y221" s="484"/>
      <c r="Z221" s="484"/>
      <c r="AA221" s="484"/>
      <c r="AB221" s="484"/>
      <c r="AC221" s="484"/>
      <c r="AD221" s="484"/>
      <c r="AE221" s="484"/>
      <c r="AF221" s="484"/>
      <c r="AG221" s="484"/>
      <c r="AH221" s="484"/>
      <c r="AI221" s="484"/>
      <c r="AJ221" s="484"/>
      <c r="AK221" s="484"/>
      <c r="AL221" s="484"/>
      <c r="AM221" s="484"/>
      <c r="AN221" s="484"/>
      <c r="AO221" s="484"/>
      <c r="AP221" s="484"/>
      <c r="AQ221" s="484"/>
    </row>
    <row r="222" spans="2:43" s="749" customFormat="1" x14ac:dyDescent="0.35">
      <c r="B222" s="748" t="s">
        <v>0</v>
      </c>
      <c r="C222" s="748" t="s">
        <v>6</v>
      </c>
      <c r="D222" s="748" t="s">
        <v>276</v>
      </c>
      <c r="F222" s="750"/>
      <c r="H222" s="751"/>
      <c r="I222" s="751"/>
      <c r="J222" s="751"/>
      <c r="K222" s="752"/>
      <c r="L222" s="752"/>
      <c r="M222" s="752"/>
      <c r="N222" s="753"/>
      <c r="O222" s="751"/>
      <c r="P222" s="751"/>
      <c r="Q222" s="751"/>
      <c r="R222" s="752"/>
      <c r="S222" s="752"/>
      <c r="T222" s="752"/>
      <c r="U222" s="752"/>
      <c r="V222" s="752"/>
      <c r="W222" s="752"/>
      <c r="X222" s="752"/>
      <c r="Y222" s="752"/>
      <c r="Z222" s="752"/>
      <c r="AA222" s="752"/>
      <c r="AB222" s="752"/>
      <c r="AC222" s="752"/>
      <c r="AD222" s="752"/>
      <c r="AE222" s="752"/>
      <c r="AF222" s="752"/>
      <c r="AG222" s="752"/>
      <c r="AH222" s="752"/>
      <c r="AI222" s="752"/>
      <c r="AJ222" s="752"/>
      <c r="AK222" s="752"/>
      <c r="AL222" s="752"/>
      <c r="AM222" s="752"/>
      <c r="AN222" s="752"/>
      <c r="AO222" s="752"/>
      <c r="AP222" s="752"/>
      <c r="AQ222" s="752"/>
    </row>
    <row r="223" spans="2:43" s="749" customFormat="1" x14ac:dyDescent="0.35">
      <c r="B223" s="749" t="str">
        <f t="shared" ref="B223:D227" si="52">B$202</f>
        <v>Energex</v>
      </c>
      <c r="C223" s="749" t="str">
        <f t="shared" si="52"/>
        <v>Residential</v>
      </c>
      <c r="D223" s="749" t="str">
        <f>D$202</f>
        <v>flat rate</v>
      </c>
      <c r="E223" s="749" t="s">
        <v>19</v>
      </c>
      <c r="F223" s="750" cm="1">
        <f t="array" ref="F223">_xlfn.XLOOKUP(1,($B223=DistributionZone)*('Network cost'!$C223=CustomerType)*('Network cost'!$D223=tariffL2)*($F$5=Description)*(E223=tariffType),valuesFY)</f>
        <v>4600</v>
      </c>
      <c r="G223" s="749" t="s">
        <v>57</v>
      </c>
      <c r="H223" s="751" cm="1">
        <f t="array" ref="H223">IFERROR(_xlfn.XLOOKUP(1,($B223=DistributionZone)*('Network cost'!$C223=CustomerType)*('Network cost'!$E223=tariffType)*('Network cost'!H$5=Desc_FixedOrVar)*('Network cost'!$G223=Description),valuesPY),0)</f>
        <v>253.30999999999997</v>
      </c>
      <c r="I223" s="751" cm="1">
        <f t="array" ref="I223">IFERROR(_xlfn.XLOOKUP(1,($B223=DistributionZone)*('Network cost'!$C223=CustomerType)*('Network cost'!$E223=tariffType)*('Network cost'!I$5=Desc_FixedOrVar)*('Network cost'!$G223=Description),valuesPY),0)</f>
        <v>89.179999999999993</v>
      </c>
      <c r="J223" s="751">
        <f>H223+I223*F223/1000</f>
        <v>663.5379999999999</v>
      </c>
      <c r="K223" s="752">
        <f>IFERROR(J223/J225,"")</f>
        <v>0.93762261914786715</v>
      </c>
      <c r="L223" s="752"/>
      <c r="M223" s="752">
        <f>IF(OR(J223=0,J223="",Q223=""),"",Q223/J223-1)</f>
        <v>5.2318811581704594E-2</v>
      </c>
      <c r="N223" s="753"/>
      <c r="O223" s="751">
        <f>SUM((O203*Ene_RESI_flat_proportion),(O210*Ene_RESI_tou_proportion),(O211*Ene_RESI_tou_proportion),(O212*Ene_RESI_tou_proportion))</f>
        <v>281.79025874926913</v>
      </c>
      <c r="P223" s="751">
        <f>SUM((P203*Ene_RESI_flat_proportion),(P210*Ene_RESI_tou_proportion*F210/F214),(P211*Ene_RESI_tou_proportion*F211/F214),(P212*Ene_RESI_tou_proportion*F212/F214))</f>
        <v>90.535491489137371</v>
      </c>
      <c r="Q223" s="751">
        <f>O223+P223*$F223/1000</f>
        <v>698.25351959930106</v>
      </c>
      <c r="R223" s="752">
        <f>IFERROR(Q223/Q225,"")</f>
        <v>0.93958811890763505</v>
      </c>
      <c r="S223" s="752"/>
      <c r="T223" s="752"/>
      <c r="U223" s="752"/>
      <c r="V223" s="752"/>
      <c r="W223" s="752"/>
      <c r="X223" s="752"/>
      <c r="Y223" s="752"/>
      <c r="Z223" s="752"/>
      <c r="AA223" s="752"/>
      <c r="AB223" s="752"/>
      <c r="AC223" s="752"/>
      <c r="AD223" s="752"/>
      <c r="AE223" s="752"/>
      <c r="AF223" s="752"/>
      <c r="AG223" s="752"/>
      <c r="AH223" s="752"/>
      <c r="AI223" s="752"/>
      <c r="AJ223" s="752"/>
      <c r="AK223" s="752"/>
      <c r="AL223" s="752"/>
      <c r="AM223" s="752"/>
      <c r="AN223" s="752"/>
      <c r="AO223" s="752"/>
      <c r="AP223" s="752"/>
      <c r="AQ223" s="752"/>
    </row>
    <row r="224" spans="2:43" s="749" customFormat="1" x14ac:dyDescent="0.35">
      <c r="B224" s="749" t="str">
        <f t="shared" si="52"/>
        <v>Energex</v>
      </c>
      <c r="C224" s="749" t="str">
        <f t="shared" si="52"/>
        <v>Residential</v>
      </c>
      <c r="D224" s="749" t="str">
        <f t="shared" si="52"/>
        <v>flat rate</v>
      </c>
      <c r="E224" s="749" t="s">
        <v>19</v>
      </c>
      <c r="F224" s="750" cm="1">
        <f t="array" ref="F224">_xlfn.XLOOKUP(1,($B224=DistributionZone)*('Network cost'!$C224=CustomerType)*('Network cost'!$D224=tariffL2)*($F$5=Description)*(E224=tariffType),valuesFY)</f>
        <v>4600</v>
      </c>
      <c r="G224" s="749" t="s">
        <v>61</v>
      </c>
      <c r="H224" s="751" cm="1">
        <f t="array" ref="H224">IFERROR(_xlfn.XLOOKUP(1,($B224=DistributionZone)*('Network cost'!$C224=CustomerType)*('Network cost'!$E224=tariffType)*('Network cost'!H$5=Desc_FixedOrVar)*('Network cost'!$G224=Description),valuesPY),0)</f>
        <v>44.143306369334965</v>
      </c>
      <c r="I224" s="751" cm="1">
        <f t="array" ref="I224">IFERROR(_xlfn.XLOOKUP(1,($B224=DistributionZone)*('Network cost'!$C224=CustomerType)*('Network cost'!$E224=tariffType)*('Network cost'!I$5=Desc_FixedOrVar)*('Network cost'!$G224=Description),valuesPY),0)</f>
        <v>0</v>
      </c>
      <c r="J224" s="751">
        <f>H224+I224*F224/1000</f>
        <v>44.143306369334965</v>
      </c>
      <c r="K224" s="752">
        <f>IFERROR(J224/J225,"")</f>
        <v>6.237738085213293E-2</v>
      </c>
      <c r="L224" s="752"/>
      <c r="M224" s="752">
        <f>IF(OR(J224=0,J224="",Q224=""),"",Q224/J224-1)</f>
        <v>1.7028485006895799E-2</v>
      </c>
      <c r="N224" s="753"/>
      <c r="O224" s="751">
        <f>SUM((O204*Ene_RESI_flat_proportion),(O213*Ene_RESI_tou_proportion))</f>
        <v>44.894999999999996</v>
      </c>
      <c r="P224" s="751">
        <f>SUM((P204*Ene_RESI_flat_proportion),(P213*Ene_RESI_tou_proportion))</f>
        <v>0</v>
      </c>
      <c r="Q224" s="751">
        <f>O224+P224*$F$69/1000</f>
        <v>44.894999999999996</v>
      </c>
      <c r="R224" s="752">
        <f>IFERROR(Q224/Q225,"")</f>
        <v>6.0411881092364922E-2</v>
      </c>
      <c r="S224" s="752"/>
      <c r="T224" s="752"/>
      <c r="U224" s="752"/>
      <c r="V224" s="752"/>
      <c r="W224" s="752"/>
      <c r="X224" s="752"/>
      <c r="Y224" s="752"/>
      <c r="Z224" s="752"/>
      <c r="AA224" s="752"/>
      <c r="AB224" s="752"/>
      <c r="AC224" s="752"/>
      <c r="AD224" s="752"/>
      <c r="AE224" s="752"/>
      <c r="AF224" s="752"/>
      <c r="AG224" s="752"/>
      <c r="AH224" s="752"/>
      <c r="AI224" s="752"/>
      <c r="AJ224" s="752"/>
      <c r="AK224" s="752"/>
      <c r="AL224" s="752"/>
      <c r="AM224" s="752"/>
      <c r="AN224" s="752"/>
      <c r="AO224" s="752"/>
      <c r="AP224" s="752"/>
      <c r="AQ224" s="752"/>
    </row>
    <row r="225" spans="2:43" s="749" customFormat="1" x14ac:dyDescent="0.35">
      <c r="B225" s="749" t="str">
        <f t="shared" si="52"/>
        <v>Energex</v>
      </c>
      <c r="C225" s="749" t="str">
        <f t="shared" si="52"/>
        <v>Residential</v>
      </c>
      <c r="D225" s="749" t="str">
        <f t="shared" si="52"/>
        <v>flat rate</v>
      </c>
      <c r="E225" s="749" t="s">
        <v>396</v>
      </c>
      <c r="F225" s="750">
        <f>F224</f>
        <v>4600</v>
      </c>
      <c r="G225" s="748" t="s">
        <v>55</v>
      </c>
      <c r="H225" s="754">
        <f>SUM(H223:H224)</f>
        <v>297.45330636933494</v>
      </c>
      <c r="I225" s="754">
        <f t="shared" ref="I225:J225" si="53">SUM(I223:I224)</f>
        <v>89.179999999999993</v>
      </c>
      <c r="J225" s="754">
        <f t="shared" si="53"/>
        <v>707.68130636933483</v>
      </c>
      <c r="K225" s="747"/>
      <c r="L225" s="755"/>
      <c r="M225" s="747">
        <f>IF(OR(J225=0,J225="",Q225=""),"",Q225/J225-1)</f>
        <v>5.0117493440551719E-2</v>
      </c>
      <c r="N225" s="756"/>
      <c r="O225" s="754">
        <f>SUM(O223:O224)</f>
        <v>326.68525874926911</v>
      </c>
      <c r="P225" s="754">
        <f>SUM(P223:P224)</f>
        <v>90.535491489137371</v>
      </c>
      <c r="Q225" s="754">
        <f t="shared" ref="Q225" si="54">SUM(Q223:Q224)</f>
        <v>743.14851959930104</v>
      </c>
      <c r="R225" s="752"/>
      <c r="S225" s="752"/>
      <c r="T225" s="752"/>
      <c r="U225" s="752"/>
      <c r="V225" s="752"/>
      <c r="W225" s="752"/>
      <c r="X225" s="752"/>
      <c r="Y225" s="752"/>
      <c r="Z225" s="752"/>
      <c r="AA225" s="752"/>
      <c r="AB225" s="752"/>
      <c r="AC225" s="752"/>
      <c r="AD225" s="752"/>
      <c r="AE225" s="752"/>
      <c r="AF225" s="752"/>
      <c r="AG225" s="752"/>
      <c r="AH225" s="752"/>
      <c r="AI225" s="752"/>
      <c r="AJ225" s="752"/>
      <c r="AK225" s="752"/>
      <c r="AL225" s="752"/>
      <c r="AM225" s="752"/>
      <c r="AN225" s="752"/>
      <c r="AO225" s="752"/>
      <c r="AP225" s="752"/>
      <c r="AQ225" s="752"/>
    </row>
    <row r="226" spans="2:43" s="749" customFormat="1" x14ac:dyDescent="0.35">
      <c r="B226" s="749" t="str">
        <f t="shared" si="52"/>
        <v>Energex</v>
      </c>
      <c r="C226" s="749" t="str">
        <f t="shared" si="52"/>
        <v>Residential</v>
      </c>
      <c r="D226" s="749" t="str">
        <f t="shared" si="52"/>
        <v>flat rate</v>
      </c>
      <c r="F226" s="750"/>
      <c r="G226" s="749" t="s">
        <v>38</v>
      </c>
      <c r="H226" s="751"/>
      <c r="I226" s="751"/>
      <c r="J226" s="751">
        <f>J225*GST</f>
        <v>70.768130636933492</v>
      </c>
      <c r="K226" s="752"/>
      <c r="L226" s="757"/>
      <c r="M226" s="752">
        <f>IF(OR(J226=0,J226="",Q226=""),"",Q226/J226-1)</f>
        <v>5.0117493440551719E-2</v>
      </c>
      <c r="N226" s="758"/>
      <c r="O226" s="751"/>
      <c r="P226" s="751"/>
      <c r="Q226" s="751">
        <f>Q225*GST</f>
        <v>74.31485195993011</v>
      </c>
      <c r="R226" s="752"/>
      <c r="S226" s="752"/>
      <c r="T226" s="752"/>
      <c r="U226" s="752"/>
      <c r="V226" s="752"/>
      <c r="W226" s="752"/>
      <c r="X226" s="752"/>
      <c r="Y226" s="752"/>
      <c r="Z226" s="752"/>
      <c r="AA226" s="752"/>
      <c r="AB226" s="752"/>
      <c r="AC226" s="752"/>
      <c r="AD226" s="752"/>
      <c r="AE226" s="752"/>
      <c r="AF226" s="752"/>
      <c r="AG226" s="752"/>
      <c r="AH226" s="752"/>
      <c r="AI226" s="752"/>
      <c r="AJ226" s="752"/>
      <c r="AK226" s="752"/>
      <c r="AL226" s="752"/>
      <c r="AM226" s="752"/>
      <c r="AN226" s="752"/>
      <c r="AO226" s="752"/>
      <c r="AP226" s="752"/>
      <c r="AQ226" s="752"/>
    </row>
    <row r="227" spans="2:43" s="749" customFormat="1" x14ac:dyDescent="0.35">
      <c r="B227" s="749" t="str">
        <f t="shared" si="52"/>
        <v>Energex</v>
      </c>
      <c r="C227" s="749" t="str">
        <f t="shared" si="52"/>
        <v>Residential</v>
      </c>
      <c r="D227" s="749" t="str">
        <f t="shared" si="52"/>
        <v>flat rate</v>
      </c>
      <c r="E227" s="749" t="s">
        <v>396</v>
      </c>
      <c r="F227" s="750"/>
      <c r="G227" s="748" t="s">
        <v>79</v>
      </c>
      <c r="H227" s="754"/>
      <c r="I227" s="754"/>
      <c r="J227" s="754">
        <f>SUM(J225:J226)</f>
        <v>778.44943700626834</v>
      </c>
      <c r="K227" s="747"/>
      <c r="L227" s="755"/>
      <c r="M227" s="747">
        <f>IF(OR(J227=0,J227="",Q227=""),"",Q227/J227-1)</f>
        <v>5.0117493440551719E-2</v>
      </c>
      <c r="N227" s="756"/>
      <c r="O227" s="754"/>
      <c r="P227" s="754"/>
      <c r="Q227" s="754">
        <f>SUM(Q225:Q226)</f>
        <v>817.46337155923118</v>
      </c>
      <c r="R227" s="747"/>
      <c r="S227" s="747"/>
      <c r="T227" s="752"/>
      <c r="U227" s="747"/>
      <c r="V227" s="747"/>
      <c r="W227" s="747"/>
      <c r="X227" s="747"/>
      <c r="Y227" s="747"/>
      <c r="Z227" s="747"/>
      <c r="AA227" s="747"/>
      <c r="AB227" s="747"/>
      <c r="AC227" s="747"/>
      <c r="AD227" s="747"/>
      <c r="AE227" s="747"/>
      <c r="AF227" s="747"/>
      <c r="AG227" s="747"/>
      <c r="AH227" s="747"/>
      <c r="AI227" s="747"/>
      <c r="AJ227" s="747"/>
      <c r="AK227" s="747"/>
      <c r="AL227" s="747"/>
      <c r="AM227" s="747"/>
      <c r="AN227" s="747"/>
      <c r="AO227" s="747"/>
      <c r="AP227" s="747"/>
      <c r="AQ227" s="747"/>
    </row>
    <row r="228" spans="2:43" s="749" customFormat="1" x14ac:dyDescent="0.35">
      <c r="F228" s="758"/>
      <c r="H228" s="751"/>
      <c r="I228" s="751"/>
      <c r="J228" s="751"/>
      <c r="K228" s="757"/>
      <c r="L228" s="757"/>
      <c r="M228" s="757"/>
      <c r="N228" s="758"/>
      <c r="O228" s="751"/>
      <c r="P228" s="751"/>
      <c r="Q228" s="751"/>
      <c r="R228" s="757"/>
      <c r="S228" s="757"/>
      <c r="T228" s="752"/>
      <c r="U228" s="757"/>
      <c r="V228" s="757"/>
      <c r="W228" s="757"/>
      <c r="X228" s="757"/>
      <c r="Y228" s="757"/>
      <c r="Z228" s="757"/>
      <c r="AA228" s="757"/>
      <c r="AB228" s="757"/>
      <c r="AC228" s="757"/>
      <c r="AD228" s="757"/>
      <c r="AE228" s="757"/>
      <c r="AF228" s="757"/>
      <c r="AG228" s="757"/>
      <c r="AH228" s="757"/>
      <c r="AI228" s="757"/>
      <c r="AJ228" s="757"/>
      <c r="AK228" s="757"/>
      <c r="AL228" s="757"/>
      <c r="AM228" s="757"/>
      <c r="AN228" s="757"/>
      <c r="AO228" s="757"/>
      <c r="AP228" s="757"/>
      <c r="AQ228" s="757"/>
    </row>
    <row r="229" spans="2:43" x14ac:dyDescent="0.35">
      <c r="B229" s="64" t="s">
        <v>0</v>
      </c>
      <c r="C229" s="64"/>
      <c r="D229" s="64" t="s">
        <v>285</v>
      </c>
      <c r="E229" s="30" t="s">
        <v>14</v>
      </c>
      <c r="F229" s="258" cm="1">
        <f t="array" ref="F229">_xlfn.XLOOKUP(1,($B229=DistributionZone)*('Network cost'!$C229=CustomerType)*('Network cost'!$D229=tariffL2)*($F$5=Description)*(E229=tariffType),valuesFY)</f>
        <v>551</v>
      </c>
      <c r="G229" s="511" t="s">
        <v>57</v>
      </c>
      <c r="H229" s="482" cm="1">
        <f t="array" ref="H229">IFERROR(_xlfn.XLOOKUP(1,($B229=DistributionZone)*('Network cost'!$C229=CustomerType)*('Network cost'!$E229=tariffType)*('Network cost'!H$5=Desc_FixedOrVar)*('Network cost'!$G229=Description),valuesPY),0)*_xlfn.XLOOKUP(1,($B229=DistributionZone)*('Network cost'!$C229=CustomerType)*("CL1 Proportion"=Description),valuesPY)</f>
        <v>0</v>
      </c>
      <c r="I229" s="482" cm="1">
        <f t="array" ref="I229">IFERROR(_xlfn.XLOOKUP(1,($B229=DistributionZone)*('Network cost'!$C229=CustomerType)*('Network cost'!$E229=tariffType)*('Network cost'!I$5=Desc_FixedOrVar)*('Network cost'!$G229=Description),valuesPY),0)</f>
        <v>25</v>
      </c>
      <c r="J229" s="482">
        <f t="shared" ref="J229:J234" si="55">H229+I229*F229/1000</f>
        <v>13.775</v>
      </c>
      <c r="K229" s="484">
        <f>IFERROR(J229/J231,"")</f>
        <v>1</v>
      </c>
      <c r="L229" s="484"/>
      <c r="M229" s="484">
        <f t="shared" ref="M229:M237" si="56">IF(OR(J229=0,J229="",Q229=""),"",Q229/J229-1)</f>
        <v>7.0000000000000062E-2</v>
      </c>
      <c r="N229" s="563"/>
      <c r="O229" s="482" cm="1">
        <f t="array" ref="O229">IFERROR(_xlfn.XLOOKUP(1,($B229=DistributionZone)*('Network cost'!$C229=CustomerType)*('Network cost'!$E229=tariffType)*('Network cost'!O$5=Desc_FixedOrVar)*('Network cost'!$G229=Description),valuesFY),0)</f>
        <v>0</v>
      </c>
      <c r="P229" s="482" cm="1">
        <f t="array" ref="P229">IFERROR(_xlfn.XLOOKUP(1,($B229=DistributionZone)*('Network cost'!$C229=CustomerType)*('Network cost'!$E229=tariffType)*('Network cost'!P$5=Desc_FixedOrVar)*('Network cost'!$G229=Description),valuesFY),0)</f>
        <v>26.75</v>
      </c>
      <c r="Q229" s="482">
        <f t="shared" ref="Q229:Q234" si="57">O229+P229*$F229/1000</f>
        <v>14.73925</v>
      </c>
      <c r="R229" s="484">
        <f>IFERROR(Q229/Q231,"")</f>
        <v>1</v>
      </c>
      <c r="S229" s="484"/>
      <c r="T229" s="484"/>
      <c r="U229" s="484"/>
      <c r="V229" s="484"/>
      <c r="W229" s="484"/>
      <c r="X229" s="484"/>
      <c r="Y229" s="484"/>
      <c r="Z229" s="484"/>
      <c r="AA229" s="484"/>
      <c r="AB229" s="484"/>
      <c r="AC229" s="484"/>
      <c r="AD229" s="484"/>
      <c r="AE229" s="484"/>
      <c r="AF229" s="484"/>
      <c r="AG229" s="484"/>
      <c r="AH229" s="484"/>
      <c r="AI229" s="484"/>
      <c r="AJ229" s="484"/>
      <c r="AK229" s="484"/>
      <c r="AL229" s="484"/>
      <c r="AM229" s="484"/>
      <c r="AN229" s="484"/>
      <c r="AO229" s="484"/>
      <c r="AP229" s="484"/>
      <c r="AQ229" s="484"/>
    </row>
    <row r="230" spans="2:43" x14ac:dyDescent="0.35">
      <c r="B230" s="30" t="str">
        <f>B229</f>
        <v>Energex</v>
      </c>
      <c r="D230" s="30" t="str">
        <f>D229</f>
        <v>controlled load</v>
      </c>
      <c r="E230" s="30" t="s">
        <v>14</v>
      </c>
      <c r="F230" s="258" cm="1">
        <f t="array" ref="F230">_xlfn.XLOOKUP(1,($B230=DistributionZone)*('Network cost'!$C230=CustomerType)*('Network cost'!$D230=tariffL2)*($F$5=Description)*(E230=tariffType),valuesFY)</f>
        <v>551</v>
      </c>
      <c r="G230" s="511" t="s">
        <v>61</v>
      </c>
      <c r="H230" s="482" cm="1">
        <f t="array" ref="H230">IFERROR(_xlfn.XLOOKUP(1,($B230=DistributionZone)*('Network cost'!$C230=CustomerType)*('Network cost'!$E230=tariffType)*('Network cost'!H$5=Desc_FixedOrVar)*('Network cost'!$G230=Description),valuesPY),0)*_xlfn.XLOOKUP(1,($B230=DistributionZone)*('Network cost'!$C230=CustomerType)*("CL1 Proportion"=Description),valuesPY)</f>
        <v>0</v>
      </c>
      <c r="I230" s="482" cm="1">
        <f t="array" ref="I230">IFERROR(_xlfn.XLOOKUP(1,($B230=DistributionZone)*('Network cost'!$C230=CustomerType)*('Network cost'!$E230=tariffType)*('Network cost'!I$5=Desc_FixedOrVar)*('Network cost'!$G230=Description),valuesPY),0)</f>
        <v>0</v>
      </c>
      <c r="J230" s="482">
        <f t="shared" si="55"/>
        <v>0</v>
      </c>
      <c r="K230" s="484">
        <f>IFERROR(J230/J231,"")</f>
        <v>0</v>
      </c>
      <c r="L230" s="484"/>
      <c r="M230" s="484" t="str">
        <f t="shared" si="56"/>
        <v/>
      </c>
      <c r="N230" s="563"/>
      <c r="O230" s="482" cm="1">
        <f t="array" ref="O230">IFERROR(_xlfn.XLOOKUP(1,($B230=DistributionZone)*('Network cost'!$C230=CustomerType)*('Network cost'!$E230=tariffType)*('Network cost'!O$5=Desc_FixedOrVar)*('Network cost'!$G230=Description),valuesFY),0)</f>
        <v>0</v>
      </c>
      <c r="P230" s="482" cm="1">
        <f t="array" ref="P230">IFERROR(_xlfn.XLOOKUP(1,($B230=DistributionZone)*('Network cost'!$C230=CustomerType)*('Network cost'!$E230=tariffType)*('Network cost'!P$5=Desc_FixedOrVar)*('Network cost'!$G230=Description),valuesPY),0)</f>
        <v>0</v>
      </c>
      <c r="Q230" s="482">
        <f t="shared" si="57"/>
        <v>0</v>
      </c>
      <c r="R230" s="484">
        <f>IFERROR(Q230/Q231,"")</f>
        <v>0</v>
      </c>
      <c r="S230" s="484"/>
      <c r="T230" s="484"/>
      <c r="U230" s="484"/>
      <c r="V230" s="484"/>
      <c r="W230" s="484"/>
      <c r="X230" s="484"/>
      <c r="Y230" s="484"/>
      <c r="Z230" s="484"/>
      <c r="AA230" s="484"/>
      <c r="AB230" s="484"/>
      <c r="AC230" s="484"/>
      <c r="AD230" s="484"/>
      <c r="AE230" s="484"/>
      <c r="AF230" s="484"/>
      <c r="AG230" s="484"/>
      <c r="AH230" s="484"/>
      <c r="AI230" s="484"/>
      <c r="AJ230" s="484"/>
      <c r="AK230" s="484"/>
      <c r="AL230" s="484"/>
      <c r="AM230" s="484"/>
      <c r="AN230" s="484"/>
      <c r="AO230" s="484"/>
      <c r="AP230" s="484"/>
      <c r="AQ230" s="484"/>
    </row>
    <row r="231" spans="2:43" x14ac:dyDescent="0.35">
      <c r="B231" s="30" t="str">
        <f t="shared" ref="B231:B237" si="58">B230</f>
        <v>Energex</v>
      </c>
      <c r="D231" s="30" t="str">
        <f t="shared" ref="D231:D237" si="59">D230</f>
        <v>controlled load</v>
      </c>
      <c r="E231" s="30" t="s">
        <v>14</v>
      </c>
      <c r="F231" s="258" cm="1">
        <f t="array" ref="F231">_xlfn.XLOOKUP(1,($B231=DistributionZone)*('Network cost'!$C231=CustomerType)*('Network cost'!$D231=tariffL2)*($F$5=Description)*(E231=tariffType),valuesFY)</f>
        <v>551</v>
      </c>
      <c r="G231" s="64" t="s">
        <v>55</v>
      </c>
      <c r="H231" s="487">
        <f>+H230+H229</f>
        <v>0</v>
      </c>
      <c r="I231" s="487">
        <f>+I230+I229</f>
        <v>25</v>
      </c>
      <c r="J231" s="487">
        <f t="shared" si="55"/>
        <v>13.775</v>
      </c>
      <c r="K231" s="564"/>
      <c r="L231" s="565"/>
      <c r="M231" s="564">
        <f t="shared" si="56"/>
        <v>7.0000000000000062E-2</v>
      </c>
      <c r="N231" s="566"/>
      <c r="O231" s="487">
        <f>SUM(O229:O230)</f>
        <v>0</v>
      </c>
      <c r="P231" s="487">
        <f>SUM(P229:P230)</f>
        <v>26.75</v>
      </c>
      <c r="Q231" s="487">
        <f t="shared" si="57"/>
        <v>14.73925</v>
      </c>
      <c r="R231" s="484"/>
      <c r="S231" s="484"/>
      <c r="T231" s="484"/>
      <c r="U231" s="484"/>
      <c r="V231" s="484"/>
      <c r="W231" s="484"/>
      <c r="X231" s="484"/>
      <c r="Y231" s="484"/>
      <c r="Z231" s="484"/>
      <c r="AA231" s="484"/>
      <c r="AB231" s="484"/>
      <c r="AC231" s="484"/>
      <c r="AD231" s="484"/>
      <c r="AE231" s="484"/>
      <c r="AF231" s="484"/>
      <c r="AG231" s="484"/>
      <c r="AH231" s="484"/>
      <c r="AI231" s="484"/>
      <c r="AJ231" s="484"/>
      <c r="AK231" s="484"/>
      <c r="AL231" s="484"/>
      <c r="AM231" s="484"/>
      <c r="AN231" s="484"/>
      <c r="AO231" s="484"/>
      <c r="AP231" s="484"/>
      <c r="AQ231" s="484"/>
    </row>
    <row r="232" spans="2:43" x14ac:dyDescent="0.35">
      <c r="B232" s="30" t="str">
        <f t="shared" si="58"/>
        <v>Energex</v>
      </c>
      <c r="D232" s="30" t="str">
        <f t="shared" si="59"/>
        <v>controlled load</v>
      </c>
      <c r="E232" s="30" t="s">
        <v>15</v>
      </c>
      <c r="F232" s="258" cm="1">
        <f t="array" ref="F232">_xlfn.XLOOKUP(1,($B232=DistributionZone)*('Network cost'!$C232=CustomerType)*('Network cost'!$D232=tariffL2)*($F$5=Description)*(E232=tariffType),valuesFY)</f>
        <v>1349</v>
      </c>
      <c r="G232" s="511" t="s">
        <v>57</v>
      </c>
      <c r="H232" s="482" cm="1">
        <f t="array" ref="H232">IFERROR(_xlfn.XLOOKUP(1,($B232=DistributionZone)*('Network cost'!$C232=CustomerType)*('Network cost'!$E232=tariffType)*('Network cost'!H$5=Desc_FixedOrVar)*('Network cost'!$G232=Description),valuesPY),0)*(_xlfn.XLOOKUP(1,($B232=DistributionZone)*('Network cost'!$C232=CustomerType)*("CL2 Proportion"=Description),valuesPY))</f>
        <v>0</v>
      </c>
      <c r="I232" s="482" cm="1">
        <f t="array" ref="I232">IFERROR(_xlfn.XLOOKUP(1,($B232=DistributionZone)*('Network cost'!$C232=CustomerType)*('Network cost'!$E232=tariffType)*('Network cost'!I$5=Desc_FixedOrVar)*('Network cost'!$G232=Description),valuesPY),0)</f>
        <v>25</v>
      </c>
      <c r="J232" s="482">
        <f t="shared" si="55"/>
        <v>33.725000000000001</v>
      </c>
      <c r="K232" s="484">
        <f>IFERROR(J232/J234,"")</f>
        <v>1</v>
      </c>
      <c r="L232" s="484"/>
      <c r="M232" s="484">
        <f t="shared" si="56"/>
        <v>6.999999999999984E-2</v>
      </c>
      <c r="N232" s="563"/>
      <c r="O232" s="482" cm="1">
        <f t="array" ref="O232">IFERROR(_xlfn.XLOOKUP(1,($B232=DistributionZone)*('Network cost'!$C232=CustomerType)*('Network cost'!$E232=tariffType)*('Network cost'!O$5=Desc_FixedOrVar)*('Network cost'!$G232=Description),valuesFY),0)</f>
        <v>0</v>
      </c>
      <c r="P232" s="482" cm="1">
        <f t="array" ref="P232">IFERROR(_xlfn.XLOOKUP(1,($B232=DistributionZone)*('Network cost'!$C232=CustomerType)*('Network cost'!$E232=tariffType)*('Network cost'!P$5=Desc_FixedOrVar)*('Network cost'!$G232=Description),valuesFY),0)</f>
        <v>26.75</v>
      </c>
      <c r="Q232" s="482">
        <f t="shared" si="57"/>
        <v>36.085749999999997</v>
      </c>
      <c r="R232" s="484">
        <f>IFERROR(Q232/Q234,"")</f>
        <v>1</v>
      </c>
      <c r="S232" s="484"/>
      <c r="T232" s="484"/>
      <c r="U232" s="484"/>
      <c r="V232" s="484"/>
      <c r="W232" s="484"/>
      <c r="X232" s="484"/>
      <c r="Y232" s="484"/>
      <c r="Z232" s="484"/>
      <c r="AA232" s="484"/>
      <c r="AB232" s="484"/>
      <c r="AC232" s="484"/>
      <c r="AD232" s="484"/>
      <c r="AE232" s="484"/>
      <c r="AF232" s="484"/>
      <c r="AG232" s="484"/>
      <c r="AH232" s="484"/>
      <c r="AI232" s="484"/>
      <c r="AJ232" s="484"/>
      <c r="AK232" s="484"/>
      <c r="AL232" s="484"/>
      <c r="AM232" s="484"/>
      <c r="AN232" s="484"/>
      <c r="AO232" s="484"/>
      <c r="AP232" s="484"/>
      <c r="AQ232" s="484"/>
    </row>
    <row r="233" spans="2:43" x14ac:dyDescent="0.35">
      <c r="B233" s="30" t="str">
        <f t="shared" si="58"/>
        <v>Energex</v>
      </c>
      <c r="D233" s="30" t="str">
        <f t="shared" si="59"/>
        <v>controlled load</v>
      </c>
      <c r="E233" s="30" t="s">
        <v>15</v>
      </c>
      <c r="F233" s="258" cm="1">
        <f t="array" ref="F233">_xlfn.XLOOKUP(1,($B233=DistributionZone)*('Network cost'!$C233=CustomerType)*('Network cost'!$D233=tariffL2)*($F$5=Description)*(E233=tariffType),valuesFY)</f>
        <v>1349</v>
      </c>
      <c r="G233" s="511" t="s">
        <v>61</v>
      </c>
      <c r="H233" s="482" cm="1">
        <f t="array" ref="H233">IFERROR(_xlfn.XLOOKUP(1,($B233=DistributionZone)*('Network cost'!$C233=CustomerType)*('Network cost'!$E233=tariffType)*('Network cost'!H$5=Desc_FixedOrVar)*('Network cost'!$G233=Description),valuesPY),0)*(_xlfn.XLOOKUP(1,($B233=DistributionZone)*('Network cost'!$C233=CustomerType)*("CL2 Proportion"=Description),valuesPY))</f>
        <v>0</v>
      </c>
      <c r="I233" s="482" cm="1">
        <f t="array" ref="I233">IFERROR(_xlfn.XLOOKUP(1,($B233=DistributionZone)*('Network cost'!$C233=CustomerType)*('Network cost'!$E233=tariffType)*('Network cost'!I$5=Desc_FixedOrVar)*('Network cost'!$G233=Description),valuesPY),0)</f>
        <v>0</v>
      </c>
      <c r="J233" s="482">
        <f t="shared" si="55"/>
        <v>0</v>
      </c>
      <c r="K233" s="484">
        <f>IFERROR(J233/J234,"")</f>
        <v>0</v>
      </c>
      <c r="L233" s="484"/>
      <c r="M233" s="484" t="str">
        <f t="shared" si="56"/>
        <v/>
      </c>
      <c r="N233" s="563"/>
      <c r="O233" s="482" cm="1">
        <f t="array" ref="O233">IFERROR(_xlfn.XLOOKUP(1,($B233=DistributionZone)*('Network cost'!$C233=CustomerType)*('Network cost'!$E233=tariffType)*('Network cost'!O$5=Desc_FixedOrVar)*('Network cost'!$G233=Description),valuesFY),0)</f>
        <v>0</v>
      </c>
      <c r="P233" s="482" cm="1">
        <f t="array" ref="P233">IFERROR(_xlfn.XLOOKUP(1,($B233=DistributionZone)*('Network cost'!$C233=CustomerType)*('Network cost'!$E233=tariffType)*('Network cost'!P$5=Desc_FixedOrVar)*('Network cost'!$G233=Description),valuesPY),0)</f>
        <v>0</v>
      </c>
      <c r="Q233" s="482">
        <f t="shared" si="57"/>
        <v>0</v>
      </c>
      <c r="R233" s="484">
        <f>IFERROR(Q233/Q234,"")</f>
        <v>0</v>
      </c>
      <c r="S233" s="484"/>
      <c r="T233" s="484"/>
      <c r="U233" s="484"/>
      <c r="V233" s="484"/>
      <c r="W233" s="484"/>
      <c r="X233" s="484"/>
      <c r="Y233" s="484"/>
      <c r="Z233" s="484"/>
      <c r="AA233" s="484"/>
      <c r="AB233" s="484"/>
      <c r="AC233" s="484"/>
      <c r="AD233" s="484"/>
      <c r="AE233" s="484"/>
      <c r="AF233" s="484"/>
      <c r="AG233" s="484"/>
      <c r="AH233" s="484"/>
      <c r="AI233" s="484"/>
      <c r="AJ233" s="484"/>
      <c r="AK233" s="484"/>
      <c r="AL233" s="484"/>
      <c r="AM233" s="484"/>
      <c r="AN233" s="484"/>
      <c r="AO233" s="484"/>
      <c r="AP233" s="484"/>
      <c r="AQ233" s="484"/>
    </row>
    <row r="234" spans="2:43" x14ac:dyDescent="0.35">
      <c r="B234" s="30" t="str">
        <f t="shared" si="58"/>
        <v>Energex</v>
      </c>
      <c r="D234" s="30" t="str">
        <f t="shared" si="59"/>
        <v>controlled load</v>
      </c>
      <c r="E234" s="30" t="s">
        <v>15</v>
      </c>
      <c r="F234" s="258" cm="1">
        <f t="array" ref="F234">_xlfn.XLOOKUP(1,($B234=DistributionZone)*('Network cost'!$C234=CustomerType)*('Network cost'!$D234=tariffL2)*($F$5=Description)*(E234=tariffType),valuesFY)</f>
        <v>1349</v>
      </c>
      <c r="G234" s="64" t="s">
        <v>55</v>
      </c>
      <c r="H234" s="487">
        <f>+H233+H232</f>
        <v>0</v>
      </c>
      <c r="I234" s="487">
        <f>+I233+I232</f>
        <v>25</v>
      </c>
      <c r="J234" s="487">
        <f t="shared" si="55"/>
        <v>33.725000000000001</v>
      </c>
      <c r="K234" s="564"/>
      <c r="L234" s="565"/>
      <c r="M234" s="564">
        <f t="shared" si="56"/>
        <v>6.999999999999984E-2</v>
      </c>
      <c r="N234" s="566"/>
      <c r="O234" s="487">
        <f>SUM(O232:O233)</f>
        <v>0</v>
      </c>
      <c r="P234" s="487">
        <f>SUM(P232:P233)</f>
        <v>26.75</v>
      </c>
      <c r="Q234" s="487">
        <f t="shared" si="57"/>
        <v>36.085749999999997</v>
      </c>
      <c r="R234" s="484"/>
      <c r="S234" s="484"/>
      <c r="T234" s="484"/>
      <c r="U234" s="484"/>
      <c r="V234" s="484"/>
      <c r="W234" s="484"/>
      <c r="X234" s="484"/>
      <c r="Y234" s="484"/>
      <c r="Z234" s="484"/>
      <c r="AA234" s="484"/>
      <c r="AB234" s="484"/>
      <c r="AC234" s="484"/>
      <c r="AD234" s="484"/>
      <c r="AE234" s="484"/>
      <c r="AF234" s="484"/>
      <c r="AG234" s="484"/>
      <c r="AH234" s="484"/>
      <c r="AI234" s="484"/>
      <c r="AJ234" s="484"/>
      <c r="AK234" s="484"/>
      <c r="AL234" s="484"/>
      <c r="AM234" s="484"/>
      <c r="AN234" s="484"/>
      <c r="AO234" s="484"/>
      <c r="AP234" s="484"/>
      <c r="AQ234" s="484"/>
    </row>
    <row r="235" spans="2:43" x14ac:dyDescent="0.35">
      <c r="B235" s="30" t="str">
        <f t="shared" si="58"/>
        <v>Energex</v>
      </c>
      <c r="D235" s="30" t="str">
        <f t="shared" si="59"/>
        <v>controlled load</v>
      </c>
      <c r="E235" s="30" t="s">
        <v>55</v>
      </c>
      <c r="F235" s="258">
        <f>SUM(F219,F229,F232)</f>
        <v>1900</v>
      </c>
      <c r="G235" s="64" t="s">
        <v>55</v>
      </c>
      <c r="H235" s="487"/>
      <c r="I235" s="487"/>
      <c r="J235" s="487">
        <f>SUM(J221,J231,J234)</f>
        <v>47.5</v>
      </c>
      <c r="K235" s="564"/>
      <c r="L235" s="565"/>
      <c r="M235" s="564">
        <f t="shared" si="56"/>
        <v>6.999999999999984E-2</v>
      </c>
      <c r="N235" s="566"/>
      <c r="O235" s="487"/>
      <c r="P235" s="487"/>
      <c r="Q235" s="487">
        <f>SUM(Q221,Q231,Q234)</f>
        <v>50.824999999999996</v>
      </c>
      <c r="R235" s="484"/>
      <c r="S235" s="484"/>
      <c r="T235" s="484"/>
      <c r="U235" s="484"/>
      <c r="V235" s="484"/>
      <c r="W235" s="484"/>
      <c r="X235" s="484"/>
      <c r="Y235" s="484"/>
      <c r="Z235" s="484"/>
      <c r="AA235" s="484"/>
      <c r="AB235" s="484"/>
      <c r="AC235" s="484"/>
      <c r="AD235" s="484"/>
      <c r="AE235" s="484"/>
      <c r="AF235" s="484"/>
      <c r="AG235" s="484"/>
      <c r="AH235" s="484"/>
      <c r="AI235" s="484"/>
      <c r="AJ235" s="484"/>
      <c r="AK235" s="484"/>
      <c r="AL235" s="484"/>
      <c r="AM235" s="484"/>
      <c r="AN235" s="484"/>
      <c r="AO235" s="484"/>
      <c r="AP235" s="484"/>
      <c r="AQ235" s="484"/>
    </row>
    <row r="236" spans="2:43" x14ac:dyDescent="0.35">
      <c r="B236" s="30" t="str">
        <f t="shared" si="58"/>
        <v>Energex</v>
      </c>
      <c r="D236" s="30" t="str">
        <f t="shared" si="59"/>
        <v>controlled load</v>
      </c>
      <c r="F236" s="258"/>
      <c r="G236" s="30" t="s">
        <v>38</v>
      </c>
      <c r="H236" s="482"/>
      <c r="I236" s="482"/>
      <c r="J236" s="482">
        <f>J235*GST</f>
        <v>4.75</v>
      </c>
      <c r="K236" s="484"/>
      <c r="L236" s="567"/>
      <c r="M236" s="484">
        <f t="shared" si="56"/>
        <v>6.999999999999984E-2</v>
      </c>
      <c r="N236" s="568"/>
      <c r="O236" s="482"/>
      <c r="P236" s="482"/>
      <c r="Q236" s="482">
        <f>Q235*GST</f>
        <v>5.0824999999999996</v>
      </c>
      <c r="R236" s="484"/>
      <c r="S236" s="484"/>
      <c r="T236" s="484"/>
      <c r="U236" s="484"/>
      <c r="V236" s="484"/>
      <c r="W236" s="484"/>
      <c r="X236" s="484"/>
      <c r="Y236" s="484"/>
      <c r="Z236" s="484"/>
      <c r="AA236" s="484"/>
      <c r="AB236" s="484"/>
      <c r="AC236" s="484"/>
      <c r="AD236" s="484"/>
      <c r="AE236" s="484"/>
      <c r="AF236" s="484"/>
      <c r="AG236" s="484"/>
      <c r="AH236" s="484"/>
      <c r="AI236" s="484"/>
      <c r="AJ236" s="484"/>
      <c r="AK236" s="484"/>
      <c r="AL236" s="484"/>
      <c r="AM236" s="484"/>
      <c r="AN236" s="484"/>
      <c r="AO236" s="484"/>
      <c r="AP236" s="484"/>
      <c r="AQ236" s="484"/>
    </row>
    <row r="237" spans="2:43" x14ac:dyDescent="0.35">
      <c r="B237" s="30" t="str">
        <f t="shared" si="58"/>
        <v>Energex</v>
      </c>
      <c r="D237" s="30" t="str">
        <f t="shared" si="59"/>
        <v>controlled load</v>
      </c>
      <c r="F237" s="258"/>
      <c r="G237" s="64" t="s">
        <v>79</v>
      </c>
      <c r="H237" s="487"/>
      <c r="I237" s="487"/>
      <c r="J237" s="487">
        <f>SUM(J235:J236)</f>
        <v>52.25</v>
      </c>
      <c r="K237" s="564"/>
      <c r="L237" s="565"/>
      <c r="M237" s="564">
        <f t="shared" si="56"/>
        <v>7.0000000000000062E-2</v>
      </c>
      <c r="N237" s="566"/>
      <c r="O237" s="487"/>
      <c r="P237" s="487"/>
      <c r="Q237" s="487">
        <f>SUM(Q235:Q236)</f>
        <v>55.907499999999999</v>
      </c>
      <c r="R237" s="564"/>
      <c r="S237" s="564"/>
      <c r="T237" s="484"/>
      <c r="U237" s="564"/>
      <c r="V237" s="564"/>
      <c r="W237" s="564"/>
      <c r="X237" s="564"/>
      <c r="Y237" s="564"/>
      <c r="Z237" s="564"/>
      <c r="AA237" s="564"/>
      <c r="AB237" s="564"/>
      <c r="AC237" s="564"/>
      <c r="AD237" s="564"/>
      <c r="AE237" s="564"/>
      <c r="AF237" s="564"/>
      <c r="AG237" s="564"/>
      <c r="AH237" s="564"/>
      <c r="AI237" s="564"/>
      <c r="AJ237" s="564"/>
      <c r="AK237" s="564"/>
      <c r="AL237" s="564"/>
      <c r="AM237" s="564"/>
      <c r="AN237" s="564"/>
      <c r="AO237" s="564"/>
      <c r="AP237" s="564"/>
      <c r="AQ237" s="564"/>
    </row>
    <row r="238" spans="2:43" x14ac:dyDescent="0.35">
      <c r="F238" s="258"/>
      <c r="H238" s="482"/>
      <c r="I238" s="482"/>
      <c r="J238" s="482"/>
      <c r="K238" s="484"/>
      <c r="L238" s="567"/>
      <c r="M238" s="484"/>
      <c r="N238" s="568"/>
      <c r="O238" s="482"/>
      <c r="P238" s="482"/>
      <c r="Q238" s="482"/>
      <c r="R238" s="484"/>
      <c r="S238" s="484"/>
      <c r="T238" s="484"/>
      <c r="U238" s="484"/>
      <c r="V238" s="484"/>
      <c r="W238" s="484"/>
      <c r="X238" s="484"/>
      <c r="Y238" s="484"/>
      <c r="Z238" s="484"/>
      <c r="AA238" s="484"/>
      <c r="AB238" s="484"/>
      <c r="AC238" s="484"/>
      <c r="AD238" s="484"/>
      <c r="AE238" s="484"/>
      <c r="AF238" s="484"/>
      <c r="AG238" s="484"/>
      <c r="AH238" s="484"/>
      <c r="AI238" s="484"/>
      <c r="AJ238" s="484"/>
      <c r="AK238" s="484"/>
      <c r="AL238" s="484"/>
      <c r="AM238" s="484"/>
      <c r="AN238" s="484"/>
      <c r="AO238" s="484"/>
      <c r="AP238" s="484"/>
      <c r="AQ238" s="484"/>
    </row>
    <row r="239" spans="2:43" x14ac:dyDescent="0.35">
      <c r="B239" s="64" t="s">
        <v>0</v>
      </c>
      <c r="C239" s="64" t="s">
        <v>13</v>
      </c>
      <c r="D239" s="64" t="s">
        <v>276</v>
      </c>
      <c r="E239" s="64"/>
      <c r="F239" s="490"/>
      <c r="H239" s="482"/>
      <c r="I239" s="482"/>
      <c r="J239" s="482"/>
      <c r="K239" s="484"/>
      <c r="L239" s="567"/>
      <c r="M239" s="484"/>
      <c r="N239" s="568"/>
      <c r="O239" s="482"/>
      <c r="P239" s="482"/>
      <c r="Q239" s="482"/>
      <c r="R239" s="484"/>
      <c r="S239" s="484"/>
      <c r="T239" s="484"/>
      <c r="U239" s="484"/>
      <c r="V239" s="484"/>
      <c r="W239" s="484"/>
      <c r="X239" s="484"/>
      <c r="Y239" s="484"/>
      <c r="Z239" s="484"/>
      <c r="AA239" s="484"/>
      <c r="AB239" s="484"/>
      <c r="AC239" s="484"/>
      <c r="AD239" s="484"/>
      <c r="AE239" s="484"/>
      <c r="AF239" s="484"/>
      <c r="AG239" s="484"/>
      <c r="AH239" s="484"/>
      <c r="AI239" s="484"/>
      <c r="AJ239" s="484"/>
      <c r="AK239" s="484"/>
      <c r="AL239" s="484"/>
      <c r="AM239" s="484"/>
      <c r="AN239" s="484"/>
      <c r="AO239" s="484"/>
      <c r="AP239" s="484"/>
      <c r="AQ239" s="484"/>
    </row>
    <row r="240" spans="2:43" x14ac:dyDescent="0.35">
      <c r="B240" s="30" t="str">
        <f t="shared" ref="B240:D244" si="60">B$239</f>
        <v>Energex</v>
      </c>
      <c r="C240" s="30" t="str">
        <f t="shared" si="60"/>
        <v>Small business</v>
      </c>
      <c r="D240" s="30" t="str">
        <f t="shared" si="60"/>
        <v>flat rate</v>
      </c>
      <c r="E240" s="30" t="s">
        <v>19</v>
      </c>
      <c r="F240" s="258" cm="1">
        <f t="array" ref="F240">_xlfn.XLOOKUP(1,($B240=DistributionZone)*('Network cost'!$C240=CustomerType)*('Network cost'!$D240=tariffL2)*($F$5=Description),valuesFY)</f>
        <v>10000</v>
      </c>
      <c r="G240" s="30" t="s">
        <v>57</v>
      </c>
      <c r="H240" s="482" cm="1">
        <f t="array" ref="H240">IFERROR(_xlfn.XLOOKUP(1,($B240=DistributionZone)*('Network cost'!$C240=CustomerType)*('Network cost'!$E240=tariffType)*('Network cost'!H$5=Desc_FixedOrVar)*('Network cost'!$G240=Description),valuesPY),0)</f>
        <v>339.08500000000004</v>
      </c>
      <c r="I240" s="482" cm="1">
        <f t="array" ref="I240">IFERROR(_xlfn.XLOOKUP(1,($B240=DistributionZone)*('Network cost'!$C240=CustomerType)*('Network cost'!$E240=tariffType)*('Network cost'!I$5=Desc_FixedOrVar)*('Network cost'!$G240=Description),valuesPY),0)</f>
        <v>98.62</v>
      </c>
      <c r="J240" s="482">
        <f>H240+I240*F240/1000</f>
        <v>1325.2850000000001</v>
      </c>
      <c r="K240" s="484">
        <f>IFERROR(J240/J242,"")</f>
        <v>0.9677651570629725</v>
      </c>
      <c r="L240" s="484"/>
      <c r="M240" s="484">
        <f>IF(OR(J240=0,J240="",Q240=""),"",Q240/J240-1)</f>
        <v>0.14900568556951899</v>
      </c>
      <c r="N240" s="563"/>
      <c r="O240" s="482" cm="1">
        <f t="array" ref="O240">IFERROR(_xlfn.XLOOKUP(1,($B240=DistributionZone)*('Network cost'!$C240=CustomerType)*('Network cost'!$E240=tariffType)*('Network cost'!O$5=Desc_FixedOrVar)*('Network cost'!$G240=Description),valuesFY),0)</f>
        <v>446.76</v>
      </c>
      <c r="P240" s="482" cm="1">
        <f t="array" ref="P240">IFERROR(_xlfn.XLOOKUP(1,($B240=DistributionZone)*('Network cost'!$C240=CustomerType)*('Network cost'!$E240=tariffType)*('Network cost'!P$5=Desc_FixedOrVar)*('Network cost'!$G240=Description),valuesFY),0)</f>
        <v>107.6</v>
      </c>
      <c r="Q240" s="482">
        <f>O240+P240*$F240/1000</f>
        <v>1522.76</v>
      </c>
      <c r="R240" s="484">
        <f>IFERROR(Q240/Q242,"")</f>
        <v>0.97136168353368568</v>
      </c>
      <c r="S240" s="484"/>
      <c r="T240" s="484"/>
      <c r="U240" s="484"/>
      <c r="V240" s="484"/>
      <c r="W240" s="484"/>
      <c r="X240" s="484"/>
      <c r="Y240" s="484"/>
      <c r="Z240" s="484"/>
      <c r="AA240" s="484"/>
      <c r="AB240" s="484"/>
      <c r="AC240" s="484"/>
      <c r="AD240" s="484"/>
      <c r="AE240" s="484"/>
      <c r="AF240" s="484"/>
      <c r="AG240" s="484"/>
      <c r="AH240" s="484"/>
      <c r="AI240" s="484"/>
      <c r="AJ240" s="484"/>
      <c r="AK240" s="484"/>
      <c r="AL240" s="484"/>
      <c r="AM240" s="484"/>
      <c r="AN240" s="484"/>
      <c r="AO240" s="484"/>
      <c r="AP240" s="484"/>
      <c r="AQ240" s="484"/>
    </row>
    <row r="241" spans="2:43" x14ac:dyDescent="0.35">
      <c r="B241" s="30" t="str">
        <f t="shared" si="60"/>
        <v>Energex</v>
      </c>
      <c r="C241" s="30" t="str">
        <f t="shared" si="60"/>
        <v>Small business</v>
      </c>
      <c r="D241" s="30" t="str">
        <f t="shared" si="60"/>
        <v>flat rate</v>
      </c>
      <c r="E241" s="30" t="s">
        <v>19</v>
      </c>
      <c r="F241" s="258" cm="1">
        <f t="array" ref="F241">_xlfn.XLOOKUP(1,($B241=DistributionZone)*('Network cost'!$C241=CustomerType)*('Network cost'!$D241=tariffL2)*($F$5=Description),valuesFY)</f>
        <v>10000</v>
      </c>
      <c r="G241" s="30" t="s">
        <v>61</v>
      </c>
      <c r="H241" s="482" cm="1">
        <f t="array" ref="H241">IFERROR(_xlfn.XLOOKUP(1,($B241=DistributionZone)*('Network cost'!$C241=CustomerType)*('Network cost'!$E241=tariffType)*('Network cost'!H$5=Desc_FixedOrVar)*('Network cost'!$G241=Description),valuesPY),0)</f>
        <v>44.143306369334965</v>
      </c>
      <c r="I241" s="482" cm="1">
        <f t="array" ref="I241">IFERROR(_xlfn.XLOOKUP(1,($B241=DistributionZone)*('Network cost'!$C241=CustomerType)*('Network cost'!$E241=tariffType)*('Network cost'!I$5=Desc_FixedOrVar)*('Network cost'!$G241=Description),valuesPY),0)</f>
        <v>0</v>
      </c>
      <c r="J241" s="482">
        <f>H241+I241*F241/1000</f>
        <v>44.143306369334965</v>
      </c>
      <c r="K241" s="484">
        <f>IFERROR(J241/J242,"")</f>
        <v>3.2234842937027407E-2</v>
      </c>
      <c r="L241" s="484"/>
      <c r="M241" s="484">
        <f>IF(OR(J241=0,J241="",Q241=""),"",Q241/J241-1)</f>
        <v>1.7028485006895799E-2</v>
      </c>
      <c r="N241" s="563"/>
      <c r="O241" s="482" cm="1">
        <f t="array" ref="O241">IFERROR(_xlfn.XLOOKUP(1,($B241=DistributionZone)*('Network cost'!$C241=CustomerType)*('Network cost'!$E241=tariffType)*('Network cost'!O$5=Desc_FixedOrVar)*('Network cost'!$G241=Description),valuesFY),0)</f>
        <v>44.894999999999996</v>
      </c>
      <c r="P241" s="482" cm="1">
        <f t="array" ref="P241">IFERROR(_xlfn.XLOOKUP(1,($B241=DistributionZone)*('Network cost'!$C241=CustomerType)*('Network cost'!$E241=tariffType)*('Network cost'!P$5=Desc_FixedOrVar)*('Network cost'!$G241=Description),valuesFY),0)</f>
        <v>0</v>
      </c>
      <c r="Q241" s="482">
        <f>O241+P241*$F241/1000</f>
        <v>44.894999999999996</v>
      </c>
      <c r="R241" s="484">
        <f>IFERROR(Q241/Q242,"")</f>
        <v>2.8638316466314335E-2</v>
      </c>
      <c r="S241" s="484"/>
      <c r="T241" s="484"/>
      <c r="U241" s="484"/>
      <c r="V241" s="484"/>
      <c r="W241" s="484"/>
      <c r="X241" s="484"/>
      <c r="Y241" s="484"/>
      <c r="Z241" s="484"/>
      <c r="AA241" s="484"/>
      <c r="AB241" s="484"/>
      <c r="AC241" s="484"/>
      <c r="AD241" s="484"/>
      <c r="AE241" s="484"/>
      <c r="AF241" s="484"/>
      <c r="AG241" s="484"/>
      <c r="AH241" s="484"/>
      <c r="AI241" s="484"/>
      <c r="AJ241" s="484"/>
      <c r="AK241" s="484"/>
      <c r="AL241" s="484"/>
      <c r="AM241" s="484"/>
      <c r="AN241" s="484"/>
      <c r="AO241" s="484"/>
      <c r="AP241" s="484"/>
      <c r="AQ241" s="484"/>
    </row>
    <row r="242" spans="2:43" x14ac:dyDescent="0.35">
      <c r="B242" s="30" t="str">
        <f t="shared" si="60"/>
        <v>Energex</v>
      </c>
      <c r="C242" s="30" t="str">
        <f t="shared" si="60"/>
        <v>Small business</v>
      </c>
      <c r="D242" s="30" t="str">
        <f t="shared" si="60"/>
        <v>flat rate</v>
      </c>
      <c r="E242" s="30" t="s">
        <v>19</v>
      </c>
      <c r="F242" s="258" cm="1">
        <f t="array" ref="F242">_xlfn.XLOOKUP(1,($B242=DistributionZone)*('Network cost'!$C242=CustomerType)*('Network cost'!$D242=tariffL2)*($F$5=Description),valuesFY)</f>
        <v>10000</v>
      </c>
      <c r="G242" s="64" t="s">
        <v>55</v>
      </c>
      <c r="H242" s="487">
        <f>+H241+H240</f>
        <v>383.22830636933497</v>
      </c>
      <c r="I242" s="487">
        <f>+I241+I240</f>
        <v>98.62</v>
      </c>
      <c r="J242" s="487">
        <f>H242+I242*F242/1000</f>
        <v>1369.4283063693351</v>
      </c>
      <c r="K242" s="564"/>
      <c r="L242" s="565"/>
      <c r="M242" s="564">
        <f>IF(OR(J242=0,J242="",Q242=""),"",Q242/J242-1)</f>
        <v>0.14475142123811402</v>
      </c>
      <c r="N242" s="566"/>
      <c r="O242" s="487">
        <f>SUM(O240:O241)</f>
        <v>491.65499999999997</v>
      </c>
      <c r="P242" s="487">
        <f>SUM(P240:P241)</f>
        <v>107.6</v>
      </c>
      <c r="Q242" s="487">
        <f>O242+P242*$F242/1000</f>
        <v>1567.655</v>
      </c>
      <c r="R242" s="484"/>
      <c r="S242" s="484"/>
      <c r="T242" s="484"/>
      <c r="U242" s="484"/>
      <c r="V242" s="484"/>
      <c r="W242" s="484"/>
      <c r="X242" s="484"/>
      <c r="Y242" s="484"/>
      <c r="Z242" s="484"/>
      <c r="AA242" s="484"/>
      <c r="AB242" s="484"/>
      <c r="AC242" s="484"/>
      <c r="AD242" s="484"/>
      <c r="AE242" s="484"/>
      <c r="AF242" s="484"/>
      <c r="AG242" s="484"/>
      <c r="AH242" s="484"/>
      <c r="AI242" s="484"/>
      <c r="AJ242" s="484"/>
      <c r="AK242" s="484"/>
      <c r="AL242" s="484"/>
      <c r="AM242" s="484"/>
      <c r="AN242" s="484"/>
      <c r="AO242" s="484"/>
      <c r="AP242" s="484"/>
      <c r="AQ242" s="484"/>
    </row>
    <row r="243" spans="2:43" x14ac:dyDescent="0.35">
      <c r="B243" s="30" t="str">
        <f t="shared" si="60"/>
        <v>Energex</v>
      </c>
      <c r="C243" s="30" t="str">
        <f t="shared" si="60"/>
        <v>Small business</v>
      </c>
      <c r="D243" s="30" t="str">
        <f t="shared" si="60"/>
        <v>flat rate</v>
      </c>
      <c r="F243" s="258"/>
      <c r="G243" s="30" t="s">
        <v>38</v>
      </c>
      <c r="H243" s="482"/>
      <c r="I243" s="482"/>
      <c r="J243" s="482">
        <f>J242*GST</f>
        <v>136.94283063693351</v>
      </c>
      <c r="K243" s="484"/>
      <c r="L243" s="567"/>
      <c r="M243" s="484">
        <f>IF(OR(J243=0,J243="",Q243=""),"",Q243/J243-1)</f>
        <v>0.14475142123811424</v>
      </c>
      <c r="N243" s="568"/>
      <c r="O243" s="482"/>
      <c r="P243" s="482"/>
      <c r="Q243" s="482">
        <f>Q242*GST</f>
        <v>156.7655</v>
      </c>
      <c r="R243" s="484"/>
      <c r="S243" s="484"/>
      <c r="T243" s="484"/>
      <c r="U243" s="484"/>
      <c r="V243" s="484"/>
      <c r="W243" s="484"/>
      <c r="X243" s="484"/>
      <c r="Y243" s="484"/>
      <c r="Z243" s="484"/>
      <c r="AA243" s="484"/>
      <c r="AB243" s="484"/>
      <c r="AC243" s="484"/>
      <c r="AD243" s="484"/>
      <c r="AE243" s="484"/>
      <c r="AF243" s="484"/>
      <c r="AG243" s="484"/>
      <c r="AH243" s="484"/>
      <c r="AI243" s="484"/>
      <c r="AJ243" s="484"/>
      <c r="AK243" s="484"/>
      <c r="AL243" s="484"/>
      <c r="AM243" s="484"/>
      <c r="AN243" s="484"/>
      <c r="AO243" s="484"/>
      <c r="AP243" s="484"/>
      <c r="AQ243" s="484"/>
    </row>
    <row r="244" spans="2:43" x14ac:dyDescent="0.35">
      <c r="B244" s="30" t="str">
        <f t="shared" si="60"/>
        <v>Energex</v>
      </c>
      <c r="C244" s="30" t="str">
        <f t="shared" si="60"/>
        <v>Small business</v>
      </c>
      <c r="D244" s="30" t="str">
        <f t="shared" si="60"/>
        <v>flat rate</v>
      </c>
      <c r="E244" s="30" t="s">
        <v>19</v>
      </c>
      <c r="F244" s="258"/>
      <c r="G244" s="64" t="s">
        <v>79</v>
      </c>
      <c r="H244" s="487"/>
      <c r="I244" s="487"/>
      <c r="J244" s="487">
        <f>SUM(J242:J243)</f>
        <v>1506.3711370062686</v>
      </c>
      <c r="K244" s="564"/>
      <c r="L244" s="565"/>
      <c r="M244" s="564">
        <f>IF(OR(J244=0,J244="",Q244=""),"",Q244/J244-1)</f>
        <v>0.14475142123811424</v>
      </c>
      <c r="N244" s="566"/>
      <c r="O244" s="487"/>
      <c r="P244" s="487"/>
      <c r="Q244" s="487">
        <f>SUM(Q242:Q243)</f>
        <v>1724.4204999999999</v>
      </c>
      <c r="R244" s="564"/>
      <c r="S244" s="564"/>
      <c r="T244" s="484"/>
      <c r="U244" s="564"/>
      <c r="V244" s="564"/>
      <c r="W244" s="564"/>
      <c r="X244" s="564"/>
      <c r="Y244" s="564"/>
      <c r="Z244" s="564"/>
      <c r="AA244" s="564"/>
      <c r="AB244" s="564"/>
      <c r="AC244" s="564"/>
      <c r="AD244" s="564"/>
      <c r="AE244" s="564"/>
      <c r="AF244" s="564"/>
      <c r="AG244" s="564"/>
      <c r="AH244" s="564"/>
      <c r="AI244" s="564"/>
      <c r="AJ244" s="564"/>
      <c r="AK244" s="564"/>
      <c r="AL244" s="564"/>
      <c r="AM244" s="564"/>
      <c r="AN244" s="564"/>
      <c r="AO244" s="564"/>
      <c r="AP244" s="564"/>
      <c r="AQ244" s="564"/>
    </row>
    <row r="245" spans="2:43" s="31" customFormat="1" x14ac:dyDescent="0.35">
      <c r="F245" s="588"/>
      <c r="H245" s="589"/>
      <c r="I245" s="589"/>
      <c r="J245" s="589"/>
      <c r="K245" s="590"/>
      <c r="L245" s="591"/>
      <c r="M245" s="590"/>
      <c r="N245" s="592"/>
      <c r="O245" s="589"/>
      <c r="P245" s="589"/>
      <c r="Q245" s="589"/>
      <c r="R245" s="590"/>
      <c r="S245" s="590"/>
      <c r="T245" s="484"/>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row>
    <row r="246" spans="2:43" s="570" customFormat="1" x14ac:dyDescent="0.35">
      <c r="B246" s="571" t="s">
        <v>0</v>
      </c>
      <c r="C246" s="571" t="s">
        <v>13</v>
      </c>
      <c r="D246" s="571" t="s">
        <v>272</v>
      </c>
      <c r="E246" s="571"/>
      <c r="F246" s="584"/>
      <c r="H246" s="574"/>
      <c r="I246" s="574"/>
      <c r="J246" s="574"/>
      <c r="K246" s="575"/>
      <c r="L246" s="581"/>
      <c r="M246" s="575"/>
      <c r="N246" s="582"/>
      <c r="O246" s="574"/>
      <c r="P246" s="574"/>
      <c r="Q246" s="574"/>
      <c r="R246" s="575"/>
      <c r="S246" s="575"/>
      <c r="T246" s="484"/>
      <c r="U246" s="575"/>
      <c r="V246" s="575"/>
      <c r="W246" s="575"/>
      <c r="X246" s="575"/>
      <c r="Y246" s="575"/>
      <c r="Z246" s="575"/>
      <c r="AA246" s="575"/>
      <c r="AB246" s="575"/>
      <c r="AC246" s="575"/>
      <c r="AD246" s="575"/>
      <c r="AE246" s="575"/>
      <c r="AF246" s="575"/>
      <c r="AG246" s="575"/>
      <c r="AH246" s="575"/>
      <c r="AI246" s="575"/>
      <c r="AJ246" s="575"/>
      <c r="AK246" s="575"/>
      <c r="AL246" s="575"/>
      <c r="AM246" s="575"/>
      <c r="AN246" s="575"/>
      <c r="AO246" s="575"/>
      <c r="AP246" s="575"/>
      <c r="AQ246" s="575"/>
    </row>
    <row r="247" spans="2:43" s="570" customFormat="1" x14ac:dyDescent="0.35">
      <c r="B247" s="570" t="str">
        <f t="shared" ref="B247:D251" si="61">B246</f>
        <v>Energex</v>
      </c>
      <c r="C247" s="570" t="str">
        <f t="shared" si="61"/>
        <v>Small business</v>
      </c>
      <c r="D247" s="570" t="str">
        <f>D246</f>
        <v>time of use</v>
      </c>
      <c r="E247" s="570" t="s">
        <v>279</v>
      </c>
      <c r="F247" s="485" cm="1">
        <f t="array" ref="F247">_xlfn.XLOOKUP(1,($B247=DistributionZone)*('Network cost'!$C247=CustomerType)*('Network cost'!$D247=tariffL2)*($F$5=Description),valuesPY)*_xlfn.XLOOKUP(1,($B247=DistributionZone)*($C247=CustomerType)*('Network cost'!$D247=tariffL2)*($E247=tariffType)*("Usage proportion"=Description),valuesFY)</f>
        <v>1251.8730860537928</v>
      </c>
      <c r="G247" s="570" t="s">
        <v>57</v>
      </c>
      <c r="H247" s="574" cm="1">
        <f t="array" ref="H247">IFERROR(_xlfn.XLOOKUP(1,($B247=DistributionZone)*('Network cost'!$C247=CustomerType)*('Network cost'!$E247=tariffType)*('Network cost'!H$5=Desc_FixedOrVar)*('Network cost'!$G247=Description),valuesPY),0)*_xlfn.XLOOKUP(1,($B247=DistributionZone)*('Network cost'!$D247=tariffL2)*($E247=tariffType)*("Usage proportion"=Description),valuesPY)</f>
        <v>0</v>
      </c>
      <c r="I247" s="574" cm="1">
        <f t="array" ref="I247">IFERROR(_xlfn.XLOOKUP(1,($B247=DistributionZone)*('Network cost'!$C247=CustomerType)*('Network cost'!$E247=tariffType)*('Network cost'!I$5=Desc_FixedOrVar)*('Network cost'!$G247=Description),valuesPY),0)</f>
        <v>0</v>
      </c>
      <c r="J247" s="574">
        <f>H247+I247*F247/1000</f>
        <v>0</v>
      </c>
      <c r="K247" s="575" t="str">
        <f>IFERROR(J247/J251,"")</f>
        <v/>
      </c>
      <c r="L247" s="575"/>
      <c r="M247" s="575" t="str">
        <f t="shared" ref="M247:M253" si="62">IF(OR(J247=0,J247="",Q247=""),"",Q247/J247-1)</f>
        <v/>
      </c>
      <c r="N247" s="576"/>
      <c r="O247" s="574" cm="1">
        <f t="array" ref="O247">IFERROR(_xlfn.XLOOKUP(1,($B247=DistributionZone)*('Network cost'!$C247=CustomerType)*('Network cost'!$E247=tariffType)*('Network cost'!O$5=Desc_FixedOrVar)*('Network cost'!$G247=Description),valuesFY),0)*_xlfn.XLOOKUP(1,($B247=DistributionZone)*('Network cost'!$D247=tariffL2)*($E247=tariffType)*("Usage proportion"=Description),valuesFY)</f>
        <v>105.18772904609781</v>
      </c>
      <c r="P247" s="574" cm="1">
        <f t="array" ref="P247">IFERROR(_xlfn.XLOOKUP(1,($B247=DistributionZone)*('Network cost'!$C247=CustomerType)*('Network cost'!$E247=tariffType)*('Network cost'!P$5=Desc_FixedOrVar)*('Network cost'!$G247=Description),valuesFY),0)</f>
        <v>16.27</v>
      </c>
      <c r="Q247" s="574">
        <f>O247+P247*$F247/1000</f>
        <v>125.55570415619303</v>
      </c>
      <c r="R247" s="575">
        <f>IFERROR(Q247/$Q$251,"")</f>
        <v>9.3310684296949942E-2</v>
      </c>
      <c r="S247" s="575"/>
      <c r="T247" s="484"/>
      <c r="U247" s="575"/>
      <c r="V247" s="575"/>
      <c r="W247" s="575"/>
      <c r="X247" s="575"/>
      <c r="Y247" s="575"/>
      <c r="Z247" s="575"/>
      <c r="AA247" s="575"/>
      <c r="AB247" s="575"/>
      <c r="AC247" s="575"/>
      <c r="AD247" s="575"/>
      <c r="AE247" s="575"/>
      <c r="AF247" s="575"/>
      <c r="AG247" s="575"/>
      <c r="AH247" s="575"/>
      <c r="AI247" s="575"/>
      <c r="AJ247" s="575"/>
      <c r="AK247" s="575"/>
      <c r="AL247" s="575"/>
      <c r="AM247" s="575"/>
      <c r="AN247" s="575"/>
      <c r="AO247" s="575"/>
      <c r="AP247" s="575"/>
      <c r="AQ247" s="575"/>
    </row>
    <row r="248" spans="2:43" s="570" customFormat="1" x14ac:dyDescent="0.35">
      <c r="B248" s="570" t="str">
        <f t="shared" si="61"/>
        <v>Energex</v>
      </c>
      <c r="C248" s="570" t="str">
        <f t="shared" si="61"/>
        <v>Small business</v>
      </c>
      <c r="D248" s="570" t="str">
        <f t="shared" si="61"/>
        <v>time of use</v>
      </c>
      <c r="E248" s="570" t="s">
        <v>278</v>
      </c>
      <c r="F248" s="485" cm="1">
        <f t="array" ref="F248">_xlfn.XLOOKUP(1,($B248=DistributionZone)*('Network cost'!$C248=CustomerType)*('Network cost'!$D248=tariffL2)*($F$5=Description),valuesPY)*_xlfn.XLOOKUP(1,($B248=DistributionZone)*($C248=CustomerType)*('Network cost'!$D248=tariffL2)*($E248=tariffType)*("Usage proportion"=Description),valuesFY)</f>
        <v>867.04544081915776</v>
      </c>
      <c r="G248" s="570" t="s">
        <v>57</v>
      </c>
      <c r="H248" s="574" cm="1">
        <f t="array" ref="H248">IFERROR(_xlfn.XLOOKUP(1,($B248=DistributionZone)*('Network cost'!$C248=CustomerType)*('Network cost'!$E248=tariffType)*('Network cost'!H$5=Desc_FixedOrVar)*('Network cost'!$G248=Description),valuesPY),0)*_xlfn.XLOOKUP(1,($B248=DistributionZone)*('Network cost'!$D248=tariffL2)*($E248=tariffType)*("Usage proportion"=Description),valuesPY)</f>
        <v>0</v>
      </c>
      <c r="I248" s="574" cm="1">
        <f t="array" ref="I248">IFERROR(_xlfn.XLOOKUP(1,($B248=DistributionZone)*('Network cost'!$C248=CustomerType)*('Network cost'!$E248=tariffType)*('Network cost'!I$5=Desc_FixedOrVar)*('Network cost'!$G248=Description),valuesPY),0)</f>
        <v>0</v>
      </c>
      <c r="J248" s="574">
        <f>H248+I248*F248/1000</f>
        <v>0</v>
      </c>
      <c r="K248" s="575" t="str">
        <f>IFERROR(J248/J251,"")</f>
        <v/>
      </c>
      <c r="L248" s="575"/>
      <c r="M248" s="575" t="str">
        <f>IF(OR(J248=0,J248="",Q248=""),"",Q248/J248-1)</f>
        <v/>
      </c>
      <c r="N248" s="576"/>
      <c r="O248" s="574" cm="1">
        <f t="array" ref="O248">IFERROR(_xlfn.XLOOKUP(1,($B248=DistributionZone)*('Network cost'!$C248=CustomerType)*('Network cost'!$E248=tariffType)*('Network cost'!O$5=Desc_FixedOrVar)*('Network cost'!$G248=Description),valuesFY),0)*_xlfn.XLOOKUP(1,($B248=DistributionZone)*('Network cost'!$D248=tariffL2)*($E248=tariffType)*("Usage proportion"=Description),valuesFY)</f>
        <v>129.1545604623328</v>
      </c>
      <c r="P248" s="574" cm="1">
        <f t="array" ref="P248">IFERROR(_xlfn.XLOOKUP(1,($B248=DistributionZone)*('Network cost'!$C248=CustomerType)*('Network cost'!$E248=tariffType)*('Network cost'!P$5=Desc_FixedOrVar)*('Network cost'!$G248=Description),valuesFY),0)</f>
        <v>263.18</v>
      </c>
      <c r="Q248" s="574">
        <f>O248+P248*$F248/1000</f>
        <v>357.3435795771187</v>
      </c>
      <c r="R248" s="575">
        <f>IFERROR(Q248/$Q$251,"")</f>
        <v>0.26557115953873484</v>
      </c>
      <c r="S248" s="575"/>
      <c r="T248" s="484"/>
      <c r="U248" s="575"/>
      <c r="V248" s="575"/>
      <c r="W248" s="575"/>
      <c r="X248" s="575"/>
      <c r="Y248" s="575"/>
      <c r="Z248" s="575"/>
      <c r="AA248" s="575"/>
      <c r="AB248" s="575"/>
      <c r="AC248" s="575"/>
      <c r="AD248" s="575"/>
      <c r="AE248" s="575"/>
      <c r="AF248" s="575"/>
      <c r="AG248" s="575"/>
      <c r="AH248" s="575"/>
      <c r="AI248" s="575"/>
      <c r="AJ248" s="575"/>
      <c r="AK248" s="575"/>
      <c r="AL248" s="575"/>
      <c r="AM248" s="575"/>
      <c r="AN248" s="575"/>
      <c r="AO248" s="575"/>
      <c r="AP248" s="575"/>
      <c r="AQ248" s="575"/>
    </row>
    <row r="249" spans="2:43" s="570" customFormat="1" x14ac:dyDescent="0.35">
      <c r="B249" s="570" t="str">
        <f t="shared" si="61"/>
        <v>Energex</v>
      </c>
      <c r="C249" s="570" t="str">
        <f t="shared" si="61"/>
        <v>Small business</v>
      </c>
      <c r="D249" s="570" t="str">
        <f t="shared" si="61"/>
        <v>time of use</v>
      </c>
      <c r="E249" s="570" t="s">
        <v>283</v>
      </c>
      <c r="F249" s="485" cm="1">
        <f t="array" ref="F249">_xlfn.XLOOKUP(1,($B249=DistributionZone)*('Network cost'!$C249=CustomerType)*('Network cost'!$D249=tariffL2)*($F$5=Description),valuesPY)*_xlfn.XLOOKUP(1,($B249=DistributionZone)*($C249=CustomerType)*('Network cost'!$D249=tariffL2)*($E249=tariffType)*("Usage proportion"=Description),valuesFY)</f>
        <v>7881.0814731270493</v>
      </c>
      <c r="G249" s="570" t="s">
        <v>57</v>
      </c>
      <c r="H249" s="574" cm="1">
        <f t="array" ref="H249">IFERROR(_xlfn.XLOOKUP(1,($B249=DistributionZone)*('Network cost'!$C249=CustomerType)*('Network cost'!$E249=tariffType)*('Network cost'!H$5=Desc_FixedOrVar)*('Network cost'!$G249=Description),valuesPY),0)*_xlfn.XLOOKUP(1,($B249=DistributionZone)*('Network cost'!$D249=tariffL2)*($E249=tariffType)*("Usage proportion"=Description),valuesPY)</f>
        <v>0</v>
      </c>
      <c r="I249" s="574" cm="1">
        <f t="array" ref="I249">IFERROR(_xlfn.XLOOKUP(1,($B249=DistributionZone)*('Network cost'!$C249=CustomerType)*('Network cost'!$E249=tariffType)*('Network cost'!I$5=Desc_FixedOrVar)*('Network cost'!$G249=Description),valuesPY),0)</f>
        <v>0</v>
      </c>
      <c r="J249" s="574">
        <f>H249+I249*F249/1000</f>
        <v>0</v>
      </c>
      <c r="K249" s="575" t="str">
        <f>IFERROR(J249/J251,"")</f>
        <v/>
      </c>
      <c r="L249" s="575"/>
      <c r="M249" s="575" t="str">
        <f>IF(OR(J249=0,J249="",Q249=""),"",Q249/J249-1)</f>
        <v/>
      </c>
      <c r="N249" s="576"/>
      <c r="O249" s="574" cm="1">
        <f t="array" ref="O249">IFERROR(_xlfn.XLOOKUP(1,($B249=DistributionZone)*('Network cost'!$C249=CustomerType)*('Network cost'!$E249=tariffType)*('Network cost'!O$5=Desc_FixedOrVar)*('Network cost'!$G249=Description),valuesFY),0)*_xlfn.XLOOKUP(1,($B249=DistributionZone)*('Network cost'!$D249=tariffL2)*($E249=tariffType)*("Usage proportion"=Description),valuesFY)</f>
        <v>211.32271049156947</v>
      </c>
      <c r="P249" s="574" cm="1">
        <f t="array" ref="P249">IFERROR(_xlfn.XLOOKUP(1,($B249=DistributionZone)*('Network cost'!$C249=CustomerType)*('Network cost'!$E249=tariffType)*('Network cost'!P$5=Desc_FixedOrVar)*('Network cost'!$G249=Description),valuesFY),0)</f>
        <v>76.95</v>
      </c>
      <c r="Q249" s="574">
        <f>O249+P249*$F249/1000</f>
        <v>817.77192984869589</v>
      </c>
      <c r="R249" s="575">
        <f>IFERROR(Q249/$Q$251,"")</f>
        <v>0.6077530199511475</v>
      </c>
      <c r="S249" s="575"/>
      <c r="T249" s="484"/>
      <c r="U249" s="575"/>
      <c r="V249" s="575"/>
      <c r="W249" s="575"/>
      <c r="X249" s="575"/>
      <c r="Y249" s="575"/>
      <c r="Z249" s="575"/>
      <c r="AA249" s="575"/>
      <c r="AB249" s="575"/>
      <c r="AC249" s="575"/>
      <c r="AD249" s="575"/>
      <c r="AE249" s="575"/>
      <c r="AF249" s="575"/>
      <c r="AG249" s="575"/>
      <c r="AH249" s="575"/>
      <c r="AI249" s="575"/>
      <c r="AJ249" s="575"/>
      <c r="AK249" s="575"/>
      <c r="AL249" s="575"/>
      <c r="AM249" s="575"/>
      <c r="AN249" s="575"/>
      <c r="AO249" s="575"/>
      <c r="AP249" s="575"/>
      <c r="AQ249" s="575"/>
    </row>
    <row r="250" spans="2:43" s="570" customFormat="1" x14ac:dyDescent="0.35">
      <c r="B250" s="570" t="str">
        <f t="shared" si="61"/>
        <v>Energex</v>
      </c>
      <c r="C250" s="570" t="str">
        <f t="shared" si="61"/>
        <v>Small business</v>
      </c>
      <c r="D250" s="570" t="str">
        <f t="shared" si="61"/>
        <v>time of use</v>
      </c>
      <c r="E250" s="570" t="s">
        <v>272</v>
      </c>
      <c r="F250" s="485" cm="1">
        <f t="array" ref="F250">_xlfn.XLOOKUP(1,($B250=DistributionZone)*('Network cost'!$C250=CustomerType)*('Network cost'!$D250=tariffL2)*($F$5=Description),valuesFY)</f>
        <v>10000</v>
      </c>
      <c r="G250" s="570" t="s">
        <v>61</v>
      </c>
      <c r="H250" s="574" cm="1">
        <f t="array" ref="H250">IFERROR(_xlfn.XLOOKUP(1,($B250=DistributionZone)*('Network cost'!$C250=CustomerType)*('Network cost'!$E250=tariffType)*('Network cost'!H$5=Desc_FixedOrVar)*('Network cost'!$G250=Description),valuesPY),0)</f>
        <v>0</v>
      </c>
      <c r="I250" s="574" cm="1">
        <f t="array" ref="I250">IFERROR(_xlfn.XLOOKUP(1,($B250=DistributionZone)*('Network cost'!$C250=CustomerType)*('Network cost'!$E250=tariffType)*('Network cost'!I$5=Desc_FixedOrVar)*('Network cost'!$G250=Description),valuesPY),0)</f>
        <v>0</v>
      </c>
      <c r="J250" s="574">
        <f>H250+I250*F250/1000</f>
        <v>0</v>
      </c>
      <c r="K250" s="575" t="str">
        <f>IFERROR(J250/J251,"")</f>
        <v/>
      </c>
      <c r="L250" s="575"/>
      <c r="M250" s="575" t="str">
        <f t="shared" si="62"/>
        <v/>
      </c>
      <c r="N250" s="576"/>
      <c r="O250" s="574" cm="1">
        <f t="array" ref="O250">IFERROR(_xlfn.XLOOKUP(1,($B250=DistributionZone)*('Network cost'!$C250=CustomerType)*('Network cost'!$E250=tariffType)*('Network cost'!O$5=Desc_FixedOrVar)*('Network cost'!$G250=Description),valuesFY),0)</f>
        <v>44.894999999999996</v>
      </c>
      <c r="P250" s="574" cm="1">
        <f t="array" ref="P250">IFERROR(_xlfn.XLOOKUP(1,($B250=DistributionZone)*('Network cost'!$C250=CustomerType)*('Network cost'!$E250=tariffType)*('Network cost'!P$5=Desc_FixedOrVar)*('Network cost'!$G250=Description),valuesFY),0)</f>
        <v>0</v>
      </c>
      <c r="Q250" s="574">
        <f>O250+P250*$F250/1000</f>
        <v>44.894999999999996</v>
      </c>
      <c r="R250" s="575">
        <f>IFERROR(Q250/$Q$251,"")</f>
        <v>3.3365136213167709E-2</v>
      </c>
      <c r="S250" s="575"/>
      <c r="T250" s="484"/>
      <c r="U250" s="575"/>
      <c r="V250" s="575"/>
      <c r="W250" s="575"/>
      <c r="X250" s="575"/>
      <c r="Y250" s="575"/>
      <c r="Z250" s="575"/>
      <c r="AA250" s="575"/>
      <c r="AB250" s="575"/>
      <c r="AC250" s="575"/>
      <c r="AD250" s="575"/>
      <c r="AE250" s="575"/>
      <c r="AF250" s="575"/>
      <c r="AG250" s="575"/>
      <c r="AH250" s="575"/>
      <c r="AI250" s="575"/>
      <c r="AJ250" s="575"/>
      <c r="AK250" s="575"/>
      <c r="AL250" s="575"/>
      <c r="AM250" s="575"/>
      <c r="AN250" s="575"/>
      <c r="AO250" s="575"/>
      <c r="AP250" s="575"/>
      <c r="AQ250" s="575"/>
    </row>
    <row r="251" spans="2:43" s="570" customFormat="1" x14ac:dyDescent="0.35">
      <c r="B251" s="570" t="str">
        <f t="shared" si="61"/>
        <v>Energex</v>
      </c>
      <c r="C251" s="570" t="str">
        <f t="shared" si="61"/>
        <v>Small business</v>
      </c>
      <c r="D251" s="570" t="str">
        <f t="shared" si="61"/>
        <v>time of use</v>
      </c>
      <c r="E251" s="570" t="s">
        <v>272</v>
      </c>
      <c r="F251" s="485" cm="1">
        <f t="array" ref="F251">_xlfn.XLOOKUP(1,($B251=DistributionZone)*('Network cost'!$C251=CustomerType)*('Network cost'!$D251=tariffL2)*($F$5=Description),valuesFY)</f>
        <v>10000</v>
      </c>
      <c r="G251" s="571" t="s">
        <v>55</v>
      </c>
      <c r="H251" s="577">
        <f>SUM(H247:H250)</f>
        <v>0</v>
      </c>
      <c r="I251" s="577">
        <f>SUM(I247:I250)</f>
        <v>0</v>
      </c>
      <c r="J251" s="577">
        <f>SUM(J247:J250)</f>
        <v>0</v>
      </c>
      <c r="K251" s="578"/>
      <c r="L251" s="579"/>
      <c r="M251" s="578" t="str">
        <f t="shared" si="62"/>
        <v/>
      </c>
      <c r="N251" s="580"/>
      <c r="O251" s="577">
        <f>SUM(O247:O250)</f>
        <v>490.56000000000006</v>
      </c>
      <c r="P251" s="577">
        <f>SUM(P247:P250)</f>
        <v>356.4</v>
      </c>
      <c r="Q251" s="577">
        <f>SUM(Q247:Q250)</f>
        <v>1345.5662135820075</v>
      </c>
      <c r="R251" s="575"/>
      <c r="S251" s="575"/>
      <c r="T251" s="484"/>
      <c r="U251" s="575"/>
      <c r="V251" s="575"/>
      <c r="W251" s="575"/>
      <c r="X251" s="575"/>
      <c r="Y251" s="575"/>
      <c r="Z251" s="575"/>
      <c r="AA251" s="575"/>
      <c r="AB251" s="575"/>
      <c r="AC251" s="575"/>
      <c r="AD251" s="575"/>
      <c r="AE251" s="575"/>
      <c r="AF251" s="575"/>
      <c r="AG251" s="575"/>
      <c r="AH251" s="575"/>
      <c r="AI251" s="575"/>
      <c r="AJ251" s="575"/>
      <c r="AK251" s="575"/>
      <c r="AL251" s="575"/>
      <c r="AM251" s="575"/>
      <c r="AN251" s="575"/>
      <c r="AO251" s="575"/>
      <c r="AP251" s="575"/>
      <c r="AQ251" s="575"/>
    </row>
    <row r="252" spans="2:43" s="570" customFormat="1" x14ac:dyDescent="0.35">
      <c r="B252" s="570" t="str">
        <f>B$239</f>
        <v>Energex</v>
      </c>
      <c r="C252" s="570" t="str">
        <f>C$239</f>
        <v>Small business</v>
      </c>
      <c r="D252" s="570" t="str">
        <f>D251</f>
        <v>time of use</v>
      </c>
      <c r="F252" s="485"/>
      <c r="G252" s="570" t="s">
        <v>38</v>
      </c>
      <c r="H252" s="574"/>
      <c r="I252" s="574"/>
      <c r="J252" s="574">
        <f>J251*GST</f>
        <v>0</v>
      </c>
      <c r="K252" s="575"/>
      <c r="L252" s="581"/>
      <c r="M252" s="575" t="str">
        <f t="shared" si="62"/>
        <v/>
      </c>
      <c r="N252" s="582"/>
      <c r="O252" s="574"/>
      <c r="P252" s="574"/>
      <c r="Q252" s="574">
        <f>Q251*GST</f>
        <v>134.55662135820077</v>
      </c>
      <c r="R252" s="575"/>
      <c r="S252" s="575"/>
      <c r="T252" s="484"/>
      <c r="U252" s="575"/>
      <c r="V252" s="575"/>
      <c r="W252" s="575"/>
      <c r="X252" s="575"/>
      <c r="Y252" s="575"/>
      <c r="Z252" s="575"/>
      <c r="AA252" s="575"/>
      <c r="AB252" s="575"/>
      <c r="AC252" s="575"/>
      <c r="AD252" s="575"/>
      <c r="AE252" s="575"/>
      <c r="AF252" s="575"/>
      <c r="AG252" s="575"/>
      <c r="AH252" s="575"/>
      <c r="AI252" s="575"/>
      <c r="AJ252" s="575"/>
      <c r="AK252" s="575"/>
      <c r="AL252" s="575"/>
      <c r="AM252" s="575"/>
      <c r="AN252" s="575"/>
      <c r="AO252" s="575"/>
      <c r="AP252" s="575"/>
      <c r="AQ252" s="575"/>
    </row>
    <row r="253" spans="2:43" s="570" customFormat="1" x14ac:dyDescent="0.35">
      <c r="B253" s="570" t="str">
        <f>B$239</f>
        <v>Energex</v>
      </c>
      <c r="C253" s="570" t="str">
        <f>C$239</f>
        <v>Small business</v>
      </c>
      <c r="D253" s="570" t="str">
        <f>D252</f>
        <v>time of use</v>
      </c>
      <c r="E253" s="570" t="s">
        <v>272</v>
      </c>
      <c r="F253" s="485"/>
      <c r="G253" s="571" t="s">
        <v>79</v>
      </c>
      <c r="H253" s="577"/>
      <c r="I253" s="577"/>
      <c r="J253" s="577">
        <f>SUM(J251:J252)</f>
        <v>0</v>
      </c>
      <c r="K253" s="578"/>
      <c r="L253" s="579"/>
      <c r="M253" s="578" t="str">
        <f t="shared" si="62"/>
        <v/>
      </c>
      <c r="N253" s="580"/>
      <c r="O253" s="577"/>
      <c r="P253" s="577"/>
      <c r="Q253" s="577">
        <f>SUM(Q251:Q252)</f>
        <v>1480.1228349402083</v>
      </c>
      <c r="R253" s="578"/>
      <c r="S253" s="625"/>
      <c r="T253" s="483"/>
      <c r="U253" s="578"/>
      <c r="V253" s="578"/>
      <c r="W253" s="578"/>
      <c r="X253" s="578"/>
      <c r="Y253" s="578"/>
      <c r="Z253" s="578"/>
      <c r="AA253" s="578"/>
      <c r="AB253" s="578"/>
      <c r="AC253" s="578"/>
      <c r="AD253" s="578"/>
      <c r="AE253" s="578"/>
      <c r="AF253" s="578"/>
      <c r="AG253" s="578"/>
      <c r="AH253" s="578"/>
      <c r="AI253" s="578"/>
      <c r="AJ253" s="578"/>
      <c r="AK253" s="578"/>
      <c r="AL253" s="578"/>
      <c r="AM253" s="578"/>
      <c r="AN253" s="578"/>
      <c r="AO253" s="578"/>
      <c r="AP253" s="578"/>
      <c r="AQ253" s="578"/>
    </row>
    <row r="254" spans="2:43" x14ac:dyDescent="0.35">
      <c r="F254" s="568"/>
      <c r="H254" s="482"/>
      <c r="I254" s="482"/>
      <c r="J254" s="482"/>
      <c r="K254" s="567"/>
      <c r="L254" s="567"/>
      <c r="M254" s="567"/>
      <c r="N254" s="568"/>
      <c r="O254" s="482"/>
      <c r="P254" s="482"/>
      <c r="Q254" s="482"/>
      <c r="R254" s="567"/>
      <c r="S254" s="567"/>
      <c r="T254" s="484"/>
      <c r="U254" s="567"/>
      <c r="V254" s="567"/>
      <c r="W254" s="567"/>
      <c r="X254" s="567"/>
      <c r="Y254" s="567"/>
      <c r="Z254" s="567"/>
      <c r="AA254" s="567"/>
      <c r="AB254" s="567"/>
      <c r="AC254" s="567"/>
      <c r="AD254" s="567"/>
      <c r="AE254" s="567"/>
      <c r="AF254" s="567"/>
      <c r="AG254" s="567"/>
      <c r="AH254" s="567"/>
      <c r="AI254" s="567"/>
      <c r="AJ254" s="567"/>
      <c r="AK254" s="567"/>
      <c r="AL254" s="567"/>
      <c r="AM254" s="567"/>
      <c r="AN254" s="567"/>
      <c r="AO254" s="567"/>
      <c r="AP254" s="567"/>
      <c r="AQ254" s="567"/>
    </row>
    <row r="255" spans="2:43" s="749" customFormat="1" x14ac:dyDescent="0.35">
      <c r="B255" s="748" t="s">
        <v>0</v>
      </c>
      <c r="C255" s="748" t="s">
        <v>13</v>
      </c>
      <c r="D255" s="748" t="s">
        <v>276</v>
      </c>
      <c r="E255" s="748"/>
      <c r="F255" s="760"/>
      <c r="H255" s="751"/>
      <c r="I255" s="751"/>
      <c r="J255" s="751"/>
      <c r="K255" s="752"/>
      <c r="L255" s="757"/>
      <c r="M255" s="752"/>
      <c r="N255" s="758"/>
      <c r="O255" s="751"/>
      <c r="P255" s="751"/>
      <c r="Q255" s="751"/>
      <c r="R255" s="752"/>
      <c r="S255" s="752"/>
      <c r="T255" s="752"/>
      <c r="U255" s="752"/>
      <c r="V255" s="752"/>
      <c r="W255" s="752"/>
      <c r="X255" s="752"/>
      <c r="Y255" s="752"/>
      <c r="Z255" s="752"/>
      <c r="AA255" s="752"/>
      <c r="AB255" s="752"/>
      <c r="AC255" s="752"/>
      <c r="AD255" s="752"/>
      <c r="AE255" s="752"/>
      <c r="AF255" s="752"/>
      <c r="AG255" s="752"/>
      <c r="AH255" s="752"/>
      <c r="AI255" s="752"/>
      <c r="AJ255" s="752"/>
      <c r="AK255" s="752"/>
      <c r="AL255" s="752"/>
      <c r="AM255" s="752"/>
      <c r="AN255" s="752"/>
      <c r="AO255" s="752"/>
      <c r="AP255" s="752"/>
      <c r="AQ255" s="752"/>
    </row>
    <row r="256" spans="2:43" s="749" customFormat="1" x14ac:dyDescent="0.35">
      <c r="B256" s="749" t="str">
        <f t="shared" ref="B256:D260" si="63">B$239</f>
        <v>Energex</v>
      </c>
      <c r="C256" s="749" t="str">
        <f t="shared" si="63"/>
        <v>Small business</v>
      </c>
      <c r="D256" s="749" t="str">
        <f t="shared" si="63"/>
        <v>flat rate</v>
      </c>
      <c r="E256" s="749" t="s">
        <v>19</v>
      </c>
      <c r="F256" s="750" cm="1">
        <f t="array" ref="F256">_xlfn.XLOOKUP(1,($B256=DistributionZone)*('Network cost'!$C256=CustomerType)*('Network cost'!$D256=tariffL2)*($F$5=Description),valuesFY)</f>
        <v>10000</v>
      </c>
      <c r="G256" s="749" t="s">
        <v>57</v>
      </c>
      <c r="H256" s="751" cm="1">
        <f t="array" ref="H256">IFERROR(_xlfn.XLOOKUP(1,($B256=DistributionZone)*('Network cost'!$C256=CustomerType)*('Network cost'!$E256=tariffType)*('Network cost'!H$5=Desc_FixedOrVar)*('Network cost'!$G256=Description),valuesPY),0)</f>
        <v>339.08500000000004</v>
      </c>
      <c r="I256" s="751" cm="1">
        <f t="array" ref="I256">IFERROR(_xlfn.XLOOKUP(1,($B256=DistributionZone)*('Network cost'!$C256=CustomerType)*('Network cost'!$E256=tariffType)*('Network cost'!I$5=Desc_FixedOrVar)*('Network cost'!$G256=Description),valuesPY),0)</f>
        <v>98.62</v>
      </c>
      <c r="J256" s="751">
        <f>H256+I256*F256/1000</f>
        <v>1325.2850000000001</v>
      </c>
      <c r="K256" s="752">
        <f>IFERROR(J256/J258,"")</f>
        <v>0.9677651570629725</v>
      </c>
      <c r="L256" s="752"/>
      <c r="M256" s="752">
        <f>IF(OR(J256=0,J256="",Q256=""),"",Q256/J256-1)</f>
        <v>8.1911962186635989E-2</v>
      </c>
      <c r="N256" s="753"/>
      <c r="O256" s="751">
        <f>SUM((O240*Ene_SB_flat_proportion),(O247*Ene_SB_tou_proportion),(O248*Ene_SB_tou_proportion),(O249*Ene_SB_tou_proportion))</f>
        <v>446.32159180408314</v>
      </c>
      <c r="P256" s="751">
        <f>SUM((P240*Ene_SB_flat_proportion),(P247*Ene_SB_tou_proportion*F247/F251),(P248*Ene_SB_tou_proportion*F248/F251),(P249*Ene_SB_tou_proportion*F249/F251))</f>
        <v>98.752010300243271</v>
      </c>
      <c r="Q256" s="751">
        <f>O256+P256*$F256/1000</f>
        <v>1433.841694806516</v>
      </c>
      <c r="R256" s="752">
        <f>IFERROR(Q256/Q258,"")</f>
        <v>0.96963962539262327</v>
      </c>
      <c r="S256" s="752"/>
      <c r="T256" s="752"/>
      <c r="U256" s="752"/>
      <c r="V256" s="752"/>
      <c r="W256" s="752"/>
      <c r="X256" s="752"/>
      <c r="Y256" s="752"/>
      <c r="Z256" s="752"/>
      <c r="AA256" s="752"/>
      <c r="AB256" s="752"/>
      <c r="AC256" s="752"/>
      <c r="AD256" s="752"/>
      <c r="AE256" s="752"/>
      <c r="AF256" s="752"/>
      <c r="AG256" s="752"/>
      <c r="AH256" s="752"/>
      <c r="AI256" s="752"/>
      <c r="AJ256" s="752"/>
      <c r="AK256" s="752"/>
      <c r="AL256" s="752"/>
      <c r="AM256" s="752"/>
      <c r="AN256" s="752"/>
      <c r="AO256" s="752"/>
      <c r="AP256" s="752"/>
      <c r="AQ256" s="752"/>
    </row>
    <row r="257" spans="2:43" s="749" customFormat="1" x14ac:dyDescent="0.35">
      <c r="B257" s="749" t="str">
        <f t="shared" si="63"/>
        <v>Energex</v>
      </c>
      <c r="C257" s="749" t="str">
        <f t="shared" si="63"/>
        <v>Small business</v>
      </c>
      <c r="D257" s="749" t="str">
        <f t="shared" si="63"/>
        <v>flat rate</v>
      </c>
      <c r="E257" s="749" t="s">
        <v>19</v>
      </c>
      <c r="F257" s="750" cm="1">
        <f t="array" ref="F257">_xlfn.XLOOKUP(1,($B257=DistributionZone)*('Network cost'!$C257=CustomerType)*('Network cost'!$D257=tariffL2)*($F$5=Description),valuesFY)</f>
        <v>10000</v>
      </c>
      <c r="G257" s="749" t="s">
        <v>61</v>
      </c>
      <c r="H257" s="751" cm="1">
        <f t="array" ref="H257">IFERROR(_xlfn.XLOOKUP(1,($B257=DistributionZone)*('Network cost'!$C257=CustomerType)*('Network cost'!$E257=tariffType)*('Network cost'!H$5=Desc_FixedOrVar)*('Network cost'!$G257=Description),valuesPY),0)</f>
        <v>44.143306369334965</v>
      </c>
      <c r="I257" s="751" cm="1">
        <f t="array" ref="I257">IFERROR(_xlfn.XLOOKUP(1,($B257=DistributionZone)*('Network cost'!$C257=CustomerType)*('Network cost'!$E257=tariffType)*('Network cost'!I$5=Desc_FixedOrVar)*('Network cost'!$G257=Description),valuesPY),0)</f>
        <v>0</v>
      </c>
      <c r="J257" s="751">
        <f>H257+I257*F257/1000</f>
        <v>44.143306369334965</v>
      </c>
      <c r="K257" s="752">
        <f>IFERROR(J257/J258,"")</f>
        <v>3.2234842937027407E-2</v>
      </c>
      <c r="L257" s="752"/>
      <c r="M257" s="752">
        <f>IF(OR(J257=0,J257="",Q257=""),"",Q257/J257-1)</f>
        <v>1.7028485006895799E-2</v>
      </c>
      <c r="N257" s="753"/>
      <c r="O257" s="751">
        <f>SUM((O241*Ene_SB_flat_proportion),(O250*Ene_SB_tou_proportion))</f>
        <v>44.894999999999989</v>
      </c>
      <c r="P257" s="751">
        <f>SUM((P241*Ene_SB_flat_proportion),(P250*Ene_SB_tou_proportion))</f>
        <v>0</v>
      </c>
      <c r="Q257" s="751">
        <f>O257+P257*$F$69/1000</f>
        <v>44.894999999999989</v>
      </c>
      <c r="R257" s="752">
        <f>IFERROR(Q257/Q258,"")</f>
        <v>3.0360374607376762E-2</v>
      </c>
      <c r="S257" s="752"/>
      <c r="T257" s="752"/>
      <c r="U257" s="752"/>
      <c r="V257" s="752"/>
      <c r="W257" s="752"/>
      <c r="X257" s="752"/>
      <c r="Y257" s="752"/>
      <c r="Z257" s="752"/>
      <c r="AA257" s="752"/>
      <c r="AB257" s="752"/>
      <c r="AC257" s="752"/>
      <c r="AD257" s="752"/>
      <c r="AE257" s="752"/>
      <c r="AF257" s="752"/>
      <c r="AG257" s="752"/>
      <c r="AH257" s="752"/>
      <c r="AI257" s="752"/>
      <c r="AJ257" s="752"/>
      <c r="AK257" s="752"/>
      <c r="AL257" s="752"/>
      <c r="AM257" s="752"/>
      <c r="AN257" s="752"/>
      <c r="AO257" s="752"/>
      <c r="AP257" s="752"/>
      <c r="AQ257" s="752"/>
    </row>
    <row r="258" spans="2:43" s="749" customFormat="1" x14ac:dyDescent="0.35">
      <c r="B258" s="749" t="str">
        <f t="shared" si="63"/>
        <v>Energex</v>
      </c>
      <c r="C258" s="749" t="str">
        <f t="shared" si="63"/>
        <v>Small business</v>
      </c>
      <c r="D258" s="749" t="str">
        <f t="shared" si="63"/>
        <v>flat rate</v>
      </c>
      <c r="E258" s="749" t="s">
        <v>396</v>
      </c>
      <c r="F258" s="750" cm="1">
        <f t="array" ref="F258">_xlfn.XLOOKUP(1,($B258=DistributionZone)*('Network cost'!$C258=CustomerType)*('Network cost'!$D258=tariffL2)*($F$5=Description),valuesFY)</f>
        <v>10000</v>
      </c>
      <c r="G258" s="748" t="s">
        <v>55</v>
      </c>
      <c r="H258" s="754">
        <f>SUM(H256:H257)</f>
        <v>383.22830636933497</v>
      </c>
      <c r="I258" s="754">
        <f t="shared" ref="I258:J258" si="64">SUM(I256:I257)</f>
        <v>98.62</v>
      </c>
      <c r="J258" s="754">
        <f t="shared" si="64"/>
        <v>1369.4283063693351</v>
      </c>
      <c r="K258" s="747"/>
      <c r="L258" s="755"/>
      <c r="M258" s="747">
        <f>IF(OR(J258=0,J258="",Q258=""),"",Q258/J258-1)</f>
        <v>7.9820453490538901E-2</v>
      </c>
      <c r="N258" s="756"/>
      <c r="O258" s="754">
        <f>SUM(O256:O257)</f>
        <v>491.21659180408312</v>
      </c>
      <c r="P258" s="754">
        <f t="shared" ref="P258:Q258" si="65">SUM(P256:P257)</f>
        <v>98.752010300243271</v>
      </c>
      <c r="Q258" s="754">
        <f t="shared" si="65"/>
        <v>1478.736694806516</v>
      </c>
      <c r="R258" s="752"/>
      <c r="S258" s="752"/>
      <c r="T258" s="752"/>
      <c r="U258" s="752"/>
      <c r="V258" s="752"/>
      <c r="W258" s="752"/>
      <c r="X258" s="752"/>
      <c r="Y258" s="752"/>
      <c r="Z258" s="752"/>
      <c r="AA258" s="752"/>
      <c r="AB258" s="752"/>
      <c r="AC258" s="752"/>
      <c r="AD258" s="752"/>
      <c r="AE258" s="752"/>
      <c r="AF258" s="752"/>
      <c r="AG258" s="752"/>
      <c r="AH258" s="752"/>
      <c r="AI258" s="752"/>
      <c r="AJ258" s="752"/>
      <c r="AK258" s="752"/>
      <c r="AL258" s="752"/>
      <c r="AM258" s="752"/>
      <c r="AN258" s="752"/>
      <c r="AO258" s="752"/>
      <c r="AP258" s="752"/>
      <c r="AQ258" s="752"/>
    </row>
    <row r="259" spans="2:43" s="749" customFormat="1" x14ac:dyDescent="0.35">
      <c r="B259" s="749" t="str">
        <f t="shared" si="63"/>
        <v>Energex</v>
      </c>
      <c r="C259" s="749" t="str">
        <f t="shared" si="63"/>
        <v>Small business</v>
      </c>
      <c r="D259" s="749" t="str">
        <f t="shared" si="63"/>
        <v>flat rate</v>
      </c>
      <c r="F259" s="750"/>
      <c r="G259" s="749" t="s">
        <v>38</v>
      </c>
      <c r="H259" s="751"/>
      <c r="I259" s="751"/>
      <c r="J259" s="751">
        <f>J258*GST</f>
        <v>136.94283063693351</v>
      </c>
      <c r="K259" s="752"/>
      <c r="L259" s="757"/>
      <c r="M259" s="752">
        <f>IF(OR(J259=0,J259="",Q259=""),"",Q259/J259-1)</f>
        <v>7.9820453490538901E-2</v>
      </c>
      <c r="N259" s="758"/>
      <c r="O259" s="751"/>
      <c r="P259" s="751"/>
      <c r="Q259" s="751">
        <f>Q258*GST</f>
        <v>147.87366948065161</v>
      </c>
      <c r="R259" s="752"/>
      <c r="S259" s="752"/>
      <c r="T259" s="752"/>
      <c r="U259" s="752"/>
      <c r="V259" s="752"/>
      <c r="W259" s="752"/>
      <c r="X259" s="752"/>
      <c r="Y259" s="752"/>
      <c r="Z259" s="752"/>
      <c r="AA259" s="752"/>
      <c r="AB259" s="752"/>
      <c r="AC259" s="752"/>
      <c r="AD259" s="752"/>
      <c r="AE259" s="752"/>
      <c r="AF259" s="752"/>
      <c r="AG259" s="752"/>
      <c r="AH259" s="752"/>
      <c r="AI259" s="752"/>
      <c r="AJ259" s="752"/>
      <c r="AK259" s="752"/>
      <c r="AL259" s="752"/>
      <c r="AM259" s="752"/>
      <c r="AN259" s="752"/>
      <c r="AO259" s="752"/>
      <c r="AP259" s="752"/>
      <c r="AQ259" s="752"/>
    </row>
    <row r="260" spans="2:43" s="749" customFormat="1" x14ac:dyDescent="0.35">
      <c r="B260" s="749" t="str">
        <f t="shared" si="63"/>
        <v>Energex</v>
      </c>
      <c r="C260" s="749" t="str">
        <f t="shared" si="63"/>
        <v>Small business</v>
      </c>
      <c r="D260" s="749" t="str">
        <f t="shared" si="63"/>
        <v>flat rate</v>
      </c>
      <c r="E260" s="749" t="s">
        <v>396</v>
      </c>
      <c r="F260" s="750"/>
      <c r="G260" s="748" t="s">
        <v>79</v>
      </c>
      <c r="H260" s="754"/>
      <c r="I260" s="754"/>
      <c r="J260" s="754">
        <f>SUM(J258:J259)</f>
        <v>1506.3711370062686</v>
      </c>
      <c r="K260" s="747"/>
      <c r="L260" s="755"/>
      <c r="M260" s="747">
        <f>IF(OR(J260=0,J260="",Q260=""),"",Q260/J260-1)</f>
        <v>7.9820453490538901E-2</v>
      </c>
      <c r="N260" s="756"/>
      <c r="O260" s="754"/>
      <c r="P260" s="754"/>
      <c r="Q260" s="754">
        <f>SUM(Q258:Q259)</f>
        <v>1626.6103642871676</v>
      </c>
      <c r="R260" s="747"/>
      <c r="S260" s="747"/>
      <c r="T260" s="752"/>
      <c r="U260" s="747"/>
      <c r="V260" s="747"/>
      <c r="W260" s="747"/>
      <c r="X260" s="747"/>
      <c r="Y260" s="747"/>
      <c r="Z260" s="747"/>
      <c r="AA260" s="747"/>
      <c r="AB260" s="747"/>
      <c r="AC260" s="747"/>
      <c r="AD260" s="747"/>
      <c r="AE260" s="747"/>
      <c r="AF260" s="747"/>
      <c r="AG260" s="747"/>
      <c r="AH260" s="747"/>
      <c r="AI260" s="747"/>
      <c r="AJ260" s="747"/>
      <c r="AK260" s="747"/>
      <c r="AL260" s="747"/>
      <c r="AM260" s="747"/>
      <c r="AN260" s="747"/>
      <c r="AO260" s="747"/>
      <c r="AP260" s="747"/>
      <c r="AQ260" s="747"/>
    </row>
    <row r="261" spans="2:43" s="749" customFormat="1" x14ac:dyDescent="0.35">
      <c r="F261" s="750"/>
      <c r="H261" s="751"/>
      <c r="I261" s="751"/>
      <c r="J261" s="751"/>
      <c r="K261" s="752"/>
      <c r="L261" s="757"/>
      <c r="M261" s="752"/>
      <c r="N261" s="758"/>
      <c r="O261" s="751"/>
      <c r="P261" s="751"/>
      <c r="Q261" s="751"/>
      <c r="R261" s="752"/>
      <c r="S261" s="752"/>
      <c r="T261" s="752"/>
      <c r="U261" s="752"/>
      <c r="V261" s="752"/>
      <c r="W261" s="752"/>
      <c r="X261" s="752"/>
      <c r="Y261" s="752"/>
      <c r="Z261" s="752"/>
      <c r="AA261" s="752"/>
      <c r="AB261" s="752"/>
      <c r="AC261" s="752"/>
      <c r="AD261" s="752"/>
      <c r="AE261" s="752"/>
      <c r="AF261" s="752"/>
      <c r="AG261" s="752"/>
      <c r="AH261" s="752"/>
      <c r="AI261" s="752"/>
      <c r="AJ261" s="752"/>
      <c r="AK261" s="752"/>
      <c r="AL261" s="752"/>
      <c r="AM261" s="752"/>
      <c r="AN261" s="752"/>
      <c r="AO261" s="752"/>
      <c r="AP261" s="752"/>
      <c r="AQ261" s="752"/>
    </row>
    <row r="262" spans="2:43" x14ac:dyDescent="0.35">
      <c r="B262" s="64" t="s">
        <v>5</v>
      </c>
      <c r="C262" s="64" t="s">
        <v>6</v>
      </c>
      <c r="D262" s="64" t="s">
        <v>276</v>
      </c>
      <c r="F262" s="258"/>
      <c r="G262" s="66"/>
      <c r="H262" s="482"/>
      <c r="I262" s="482"/>
      <c r="J262" s="482"/>
      <c r="K262" s="484"/>
      <c r="L262" s="567"/>
      <c r="M262" s="484"/>
      <c r="N262" s="568"/>
      <c r="O262" s="482"/>
      <c r="P262" s="482"/>
      <c r="Q262" s="482"/>
      <c r="R262" s="484"/>
      <c r="S262" s="484"/>
      <c r="T262" s="484"/>
      <c r="U262" s="484"/>
      <c r="V262" s="484"/>
      <c r="W262" s="484"/>
      <c r="X262" s="484"/>
      <c r="Y262" s="484"/>
      <c r="Z262" s="484"/>
      <c r="AA262" s="484"/>
      <c r="AB262" s="484"/>
      <c r="AC262" s="484"/>
      <c r="AD262" s="484"/>
      <c r="AE262" s="484"/>
      <c r="AF262" s="484"/>
      <c r="AG262" s="484"/>
      <c r="AH262" s="484"/>
      <c r="AI262" s="484"/>
      <c r="AJ262" s="484"/>
      <c r="AK262" s="484"/>
      <c r="AL262" s="484"/>
      <c r="AM262" s="484"/>
      <c r="AN262" s="484"/>
      <c r="AO262" s="484"/>
      <c r="AP262" s="484"/>
      <c r="AQ262" s="484"/>
    </row>
    <row r="263" spans="2:43" x14ac:dyDescent="0.35">
      <c r="B263" s="30" t="str">
        <f t="shared" ref="B263:D267" si="66">B$262</f>
        <v>SAPN</v>
      </c>
      <c r="C263" s="30" t="str">
        <f t="shared" si="66"/>
        <v>Residential</v>
      </c>
      <c r="D263" s="30" t="str">
        <f t="shared" si="66"/>
        <v>flat rate</v>
      </c>
      <c r="E263" s="30" t="s">
        <v>19</v>
      </c>
      <c r="F263" s="258" cm="1">
        <f t="array" ref="F263">_xlfn.XLOOKUP(1,($B263=DistributionZone)*('Network cost'!$C263=CustomerType)*('Network cost'!$D263=tariffL2)*($F$5=Description),valuesFY)</f>
        <v>4000</v>
      </c>
      <c r="G263" s="30" t="s">
        <v>57</v>
      </c>
      <c r="H263" s="482" cm="1">
        <f t="array" ref="H263">IFERROR(_xlfn.XLOOKUP(1,($B263=DistributionZone)*('Network cost'!$C263=CustomerType)*('Network cost'!$E263=tariffType)*('Network cost'!H$5=Desc_FixedOrVar)*('Network cost'!$G263=Description),valuesPY),0)</f>
        <v>225.75096815715256</v>
      </c>
      <c r="I263" s="482" cm="1">
        <f t="array" ref="I263">IFERROR(_xlfn.XLOOKUP(1,($B263=DistributionZone)*('Network cost'!$C263=CustomerType)*('Network cost'!$E263=tariffType)*('Network cost'!I$5=Desc_FixedOrVar)*('Network cost'!$G263=Description),valuesPY),0)</f>
        <v>145.1</v>
      </c>
      <c r="J263" s="482">
        <f>H263+I263*F263/1000</f>
        <v>806.15096815715253</v>
      </c>
      <c r="K263" s="484">
        <f>IFERROR(J263/J265,"")</f>
        <v>0.98860041568545576</v>
      </c>
      <c r="L263" s="484"/>
      <c r="M263" s="484">
        <f>IF(OR(J263=0,J263="",Q263=""),"",Q263/J263-1)</f>
        <v>0.10745216763769516</v>
      </c>
      <c r="N263" s="563"/>
      <c r="O263" s="482" cm="1">
        <f t="array" ref="O263">IFERROR(_xlfn.XLOOKUP(1,($B263=DistributionZone)*('Network cost'!$C263=CustomerType)*('Network cost'!$E263=tariffType)*('Network cost'!O$5=Desc_FixedOrVar)*('Network cost'!$G263=Description),valuesFY),0)</f>
        <v>239.17363712886527</v>
      </c>
      <c r="P263" s="482" cm="1">
        <f t="array" ref="P263">IFERROR(_xlfn.XLOOKUP(1,($B263=DistributionZone)*('Network cost'!$C263=CustomerType)*('Network cost'!$E263=tariffType)*('Network cost'!P$5=Desc_FixedOrVar)*('Network cost'!$G263=Description),valuesFY),0)</f>
        <v>163.39999999999998</v>
      </c>
      <c r="Q263" s="482">
        <f>O263+P263*$F263/1000</f>
        <v>892.77363712886518</v>
      </c>
      <c r="R263" s="484">
        <f>IFERROR(Q263/Q265,"")</f>
        <v>0.98940974488056088</v>
      </c>
      <c r="S263" s="484"/>
      <c r="T263" s="484"/>
      <c r="U263" s="484"/>
      <c r="V263" s="484"/>
      <c r="W263" s="484"/>
      <c r="X263" s="484"/>
      <c r="Y263" s="484"/>
      <c r="Z263" s="484"/>
      <c r="AA263" s="484"/>
      <c r="AB263" s="484"/>
      <c r="AC263" s="484"/>
      <c r="AD263" s="484"/>
      <c r="AE263" s="484"/>
      <c r="AF263" s="484"/>
      <c r="AG263" s="484"/>
      <c r="AH263" s="484"/>
      <c r="AI263" s="484"/>
      <c r="AJ263" s="484"/>
      <c r="AK263" s="484"/>
      <c r="AL263" s="484"/>
      <c r="AM263" s="484"/>
      <c r="AN263" s="484"/>
      <c r="AO263" s="484"/>
      <c r="AP263" s="484"/>
      <c r="AQ263" s="484"/>
    </row>
    <row r="264" spans="2:43" x14ac:dyDescent="0.35">
      <c r="B264" s="30" t="str">
        <f t="shared" si="66"/>
        <v>SAPN</v>
      </c>
      <c r="C264" s="30" t="str">
        <f t="shared" si="66"/>
        <v>Residential</v>
      </c>
      <c r="D264" s="30" t="str">
        <f t="shared" si="66"/>
        <v>flat rate</v>
      </c>
      <c r="E264" s="30" t="s">
        <v>19</v>
      </c>
      <c r="F264" s="258" cm="1">
        <f t="array" ref="F264">_xlfn.XLOOKUP(1,($B264=DistributionZone)*('Network cost'!$C264=CustomerType)*('Network cost'!$D264=tariffL2)*($F$5=Description),valuesFY)</f>
        <v>4000</v>
      </c>
      <c r="G264" s="30" t="s">
        <v>61</v>
      </c>
      <c r="H264" s="482" cm="1">
        <f t="array" ref="H264">IFERROR(_xlfn.XLOOKUP(1,($B264=DistributionZone)*('Network cost'!$C264=CustomerType)*('Network cost'!$E264=tariffType)*('Network cost'!H$5=Desc_FixedOrVar)*('Network cost'!$G264=Description),valuesPY),0)</f>
        <v>9.2957536593661754</v>
      </c>
      <c r="I264" s="482" cm="1">
        <f t="array" ref="I264">IFERROR(_xlfn.XLOOKUP(1,($B264=DistributionZone)*('Network cost'!$C264=CustomerType)*('Network cost'!$E264=tariffType)*('Network cost'!I$5=Desc_FixedOrVar)*('Network cost'!$G264=Description),valuesPY),0)</f>
        <v>0</v>
      </c>
      <c r="J264" s="482">
        <f>H264+I264*F264/1000</f>
        <v>9.2957536593661754</v>
      </c>
      <c r="K264" s="484">
        <f>IFERROR(J264/J265,"")</f>
        <v>1.1399584314544324E-2</v>
      </c>
      <c r="L264" s="484"/>
      <c r="M264" s="484">
        <f>IF(OR(J264=0,J264="",Q264=""),"",Q264/J264-1)</f>
        <v>2.7985502861481937E-2</v>
      </c>
      <c r="N264" s="563"/>
      <c r="O264" s="482" cm="1">
        <f t="array" ref="O264">IFERROR(_xlfn.XLOOKUP(1,($B264=DistributionZone)*('Network cost'!$C264=CustomerType)*('Network cost'!$E264=tariffType)*('Network cost'!O$5=Desc_FixedOrVar)*('Network cost'!$G264=Description),valuesFY),0)</f>
        <v>9.5558999999999994</v>
      </c>
      <c r="P264" s="482" cm="1">
        <f t="array" ref="P264">IFERROR(_xlfn.XLOOKUP(1,($B264=DistributionZone)*('Network cost'!$C264=CustomerType)*('Network cost'!$E264=tariffType)*('Network cost'!P$5=Desc_FixedOrVar)*('Network cost'!$G264=Description),valuesFY),0)</f>
        <v>0</v>
      </c>
      <c r="Q264" s="482">
        <f>O264+P264*$F264/1000</f>
        <v>9.5558999999999994</v>
      </c>
      <c r="R264" s="484">
        <f>IFERROR(Q264/Q265,"")</f>
        <v>1.0590255119439012E-2</v>
      </c>
      <c r="S264" s="484"/>
      <c r="T264" s="484"/>
      <c r="U264" s="484"/>
      <c r="V264" s="484"/>
      <c r="W264" s="484"/>
      <c r="X264" s="484"/>
      <c r="Y264" s="484"/>
      <c r="Z264" s="484"/>
      <c r="AA264" s="484"/>
      <c r="AB264" s="484"/>
      <c r="AC264" s="484"/>
      <c r="AD264" s="484"/>
      <c r="AE264" s="484"/>
      <c r="AF264" s="484"/>
      <c r="AG264" s="484"/>
      <c r="AH264" s="484"/>
      <c r="AI264" s="484"/>
      <c r="AJ264" s="484"/>
      <c r="AK264" s="484"/>
      <c r="AL264" s="484"/>
      <c r="AM264" s="484"/>
      <c r="AN264" s="484"/>
      <c r="AO264" s="484"/>
      <c r="AP264" s="484"/>
      <c r="AQ264" s="484"/>
    </row>
    <row r="265" spans="2:43" x14ac:dyDescent="0.35">
      <c r="B265" s="30" t="str">
        <f t="shared" si="66"/>
        <v>SAPN</v>
      </c>
      <c r="C265" s="30" t="str">
        <f t="shared" si="66"/>
        <v>Residential</v>
      </c>
      <c r="D265" s="30" t="str">
        <f t="shared" si="66"/>
        <v>flat rate</v>
      </c>
      <c r="E265" s="30" t="s">
        <v>19</v>
      </c>
      <c r="F265" s="258" cm="1">
        <f t="array" ref="F265">_xlfn.XLOOKUP(1,($B265=DistributionZone)*('Network cost'!$C265=CustomerType)*('Network cost'!$D265=tariffL2)*($F$5=Description),valuesFY)</f>
        <v>4000</v>
      </c>
      <c r="G265" s="64" t="s">
        <v>55</v>
      </c>
      <c r="H265" s="487">
        <f>+H264+H263</f>
        <v>235.04672181651873</v>
      </c>
      <c r="I265" s="487">
        <f>+I264+I263</f>
        <v>145.1</v>
      </c>
      <c r="J265" s="487">
        <f>H265+I265*F265/1000</f>
        <v>815.44672181651868</v>
      </c>
      <c r="K265" s="564"/>
      <c r="L265" s="565"/>
      <c r="M265" s="564">
        <f>IF(OR(J265=0,J265="",Q265=""),"",Q265/J265-1)</f>
        <v>0.10654628069238337</v>
      </c>
      <c r="N265" s="566"/>
      <c r="O265" s="487">
        <f>SUM(O263:O264)</f>
        <v>248.72953712886527</v>
      </c>
      <c r="P265" s="487">
        <f>SUM(P263:P264)</f>
        <v>163.39999999999998</v>
      </c>
      <c r="Q265" s="487">
        <f>O265+P265*$F265/1000</f>
        <v>902.32953712886524</v>
      </c>
      <c r="R265" s="484"/>
      <c r="S265" s="484"/>
      <c r="T265" s="484"/>
      <c r="U265" s="484"/>
      <c r="V265" s="484"/>
      <c r="W265" s="484"/>
      <c r="X265" s="484"/>
      <c r="Y265" s="484"/>
      <c r="Z265" s="484"/>
      <c r="AA265" s="484"/>
      <c r="AB265" s="484"/>
      <c r="AC265" s="484"/>
      <c r="AD265" s="484"/>
      <c r="AE265" s="484"/>
      <c r="AF265" s="484"/>
      <c r="AG265" s="484"/>
      <c r="AH265" s="484"/>
      <c r="AI265" s="484"/>
      <c r="AJ265" s="484"/>
      <c r="AK265" s="484"/>
      <c r="AL265" s="484"/>
      <c r="AM265" s="484"/>
      <c r="AN265" s="484"/>
      <c r="AO265" s="484"/>
      <c r="AP265" s="484"/>
      <c r="AQ265" s="484"/>
    </row>
    <row r="266" spans="2:43" x14ac:dyDescent="0.35">
      <c r="B266" s="30" t="str">
        <f t="shared" si="66"/>
        <v>SAPN</v>
      </c>
      <c r="C266" s="30" t="str">
        <f t="shared" si="66"/>
        <v>Residential</v>
      </c>
      <c r="D266" s="30" t="str">
        <f t="shared" si="66"/>
        <v>flat rate</v>
      </c>
      <c r="F266" s="258"/>
      <c r="G266" s="30" t="s">
        <v>38</v>
      </c>
      <c r="H266" s="482"/>
      <c r="I266" s="482"/>
      <c r="J266" s="482">
        <f>J265*GST</f>
        <v>81.544672181651876</v>
      </c>
      <c r="K266" s="484"/>
      <c r="L266" s="567"/>
      <c r="M266" s="484">
        <f>IF(OR(J266=0,J266="",Q266=""),"",Q266/J266-1)</f>
        <v>0.10654628069238314</v>
      </c>
      <c r="N266" s="568"/>
      <c r="O266" s="482"/>
      <c r="P266" s="482"/>
      <c r="Q266" s="482">
        <f>Q265*GST</f>
        <v>90.232953712886527</v>
      </c>
      <c r="R266" s="484"/>
      <c r="S266" s="484"/>
      <c r="T266" s="484"/>
      <c r="U266" s="484"/>
      <c r="V266" s="484"/>
      <c r="W266" s="484"/>
      <c r="X266" s="484"/>
      <c r="Y266" s="484"/>
      <c r="Z266" s="484"/>
      <c r="AA266" s="484"/>
      <c r="AB266" s="484"/>
      <c r="AC266" s="484"/>
      <c r="AD266" s="484"/>
      <c r="AE266" s="484"/>
      <c r="AF266" s="484"/>
      <c r="AG266" s="484"/>
      <c r="AH266" s="484"/>
      <c r="AI266" s="484"/>
      <c r="AJ266" s="484"/>
      <c r="AK266" s="484"/>
      <c r="AL266" s="484"/>
      <c r="AM266" s="484"/>
      <c r="AN266" s="484"/>
      <c r="AO266" s="484"/>
      <c r="AP266" s="484"/>
      <c r="AQ266" s="484"/>
    </row>
    <row r="267" spans="2:43" x14ac:dyDescent="0.35">
      <c r="B267" s="30" t="str">
        <f t="shared" si="66"/>
        <v>SAPN</v>
      </c>
      <c r="C267" s="30" t="str">
        <f t="shared" si="66"/>
        <v>Residential</v>
      </c>
      <c r="D267" s="30" t="str">
        <f t="shared" si="66"/>
        <v>flat rate</v>
      </c>
      <c r="E267" s="30" t="s">
        <v>19</v>
      </c>
      <c r="F267" s="258"/>
      <c r="G267" s="64" t="s">
        <v>79</v>
      </c>
      <c r="H267" s="487"/>
      <c r="I267" s="487"/>
      <c r="J267" s="487">
        <f>SUM(J265:J266)</f>
        <v>896.99139399817057</v>
      </c>
      <c r="K267" s="564"/>
      <c r="L267" s="565"/>
      <c r="M267" s="564">
        <f>IF(OR(J267=0,J267="",Q267=""),"",Q267/J267-1)</f>
        <v>0.10654628069238337</v>
      </c>
      <c r="N267" s="566"/>
      <c r="O267" s="487"/>
      <c r="P267" s="487"/>
      <c r="Q267" s="487">
        <f>SUM(Q265:Q266)</f>
        <v>992.56249084175181</v>
      </c>
      <c r="R267" s="564"/>
      <c r="S267" s="564"/>
      <c r="T267" s="484"/>
      <c r="U267" s="564"/>
      <c r="V267" s="564"/>
      <c r="W267" s="564"/>
      <c r="X267" s="564"/>
      <c r="Y267" s="564"/>
      <c r="Z267" s="564"/>
      <c r="AA267" s="564"/>
      <c r="AB267" s="564"/>
      <c r="AC267" s="564"/>
      <c r="AD267" s="564"/>
      <c r="AE267" s="564"/>
      <c r="AF267" s="564"/>
      <c r="AG267" s="564"/>
      <c r="AH267" s="564"/>
      <c r="AI267" s="564"/>
      <c r="AJ267" s="564"/>
      <c r="AK267" s="564"/>
      <c r="AL267" s="564"/>
      <c r="AM267" s="564"/>
      <c r="AN267" s="564"/>
      <c r="AO267" s="564"/>
      <c r="AP267" s="564"/>
      <c r="AQ267" s="564"/>
    </row>
    <row r="268" spans="2:43" s="597" customFormat="1" x14ac:dyDescent="0.35">
      <c r="F268" s="602"/>
      <c r="H268" s="599"/>
      <c r="I268" s="599"/>
      <c r="J268" s="599"/>
      <c r="K268" s="601"/>
      <c r="L268" s="601"/>
      <c r="M268" s="601"/>
      <c r="N268" s="602"/>
      <c r="O268" s="599"/>
      <c r="P268" s="599"/>
      <c r="Q268" s="599"/>
      <c r="R268" s="601"/>
      <c r="S268" s="601"/>
      <c r="T268" s="484"/>
      <c r="U268" s="601"/>
      <c r="V268" s="601"/>
      <c r="W268" s="601"/>
      <c r="X268" s="601"/>
      <c r="Y268" s="601"/>
      <c r="Z268" s="601"/>
      <c r="AA268" s="601"/>
      <c r="AB268" s="601"/>
      <c r="AC268" s="601"/>
      <c r="AD268" s="601"/>
      <c r="AE268" s="601"/>
      <c r="AF268" s="601"/>
      <c r="AG268" s="601"/>
      <c r="AH268" s="601"/>
      <c r="AI268" s="601"/>
      <c r="AJ268" s="601"/>
      <c r="AK268" s="601"/>
      <c r="AL268" s="601"/>
      <c r="AM268" s="601"/>
      <c r="AN268" s="601"/>
      <c r="AO268" s="601"/>
      <c r="AP268" s="601"/>
      <c r="AQ268" s="601"/>
    </row>
    <row r="269" spans="2:43" s="570" customFormat="1" x14ac:dyDescent="0.35">
      <c r="B269" s="571" t="s">
        <v>5</v>
      </c>
      <c r="C269" s="571" t="s">
        <v>6</v>
      </c>
      <c r="D269" s="571" t="s">
        <v>272</v>
      </c>
      <c r="F269" s="485"/>
      <c r="H269" s="574"/>
      <c r="I269" s="574"/>
      <c r="J269" s="574"/>
      <c r="K269" s="575"/>
      <c r="L269" s="581"/>
      <c r="M269" s="575"/>
      <c r="N269" s="582"/>
      <c r="O269" s="574"/>
      <c r="P269" s="574"/>
      <c r="Q269" s="574"/>
      <c r="R269" s="575"/>
      <c r="S269" s="601"/>
      <c r="T269" s="484"/>
      <c r="U269" s="601"/>
      <c r="V269" s="575"/>
      <c r="W269" s="575"/>
      <c r="X269" s="575"/>
      <c r="Y269" s="575"/>
      <c r="Z269" s="575"/>
      <c r="AA269" s="575"/>
      <c r="AB269" s="575"/>
      <c r="AC269" s="575"/>
      <c r="AD269" s="575"/>
      <c r="AE269" s="575"/>
      <c r="AF269" s="575"/>
      <c r="AG269" s="575"/>
      <c r="AH269" s="575"/>
      <c r="AI269" s="575"/>
      <c r="AJ269" s="575"/>
      <c r="AK269" s="575"/>
      <c r="AL269" s="575"/>
      <c r="AM269" s="575"/>
      <c r="AN269" s="575"/>
      <c r="AO269" s="575"/>
      <c r="AP269" s="575"/>
      <c r="AQ269" s="575"/>
    </row>
    <row r="270" spans="2:43" s="570" customFormat="1" x14ac:dyDescent="0.35">
      <c r="B270" s="570" t="str">
        <f t="shared" ref="B270:C276" si="67">B$262</f>
        <v>SAPN</v>
      </c>
      <c r="C270" s="570" t="str">
        <f t="shared" si="67"/>
        <v>Residential</v>
      </c>
      <c r="D270" s="570" t="str">
        <f>D$269</f>
        <v>time of use</v>
      </c>
      <c r="E270" s="570" t="s">
        <v>279</v>
      </c>
      <c r="F270" s="485" cm="1">
        <f t="array" ref="F270">_xlfn.XLOOKUP(1,($B270=DistributionZone)*('Network cost'!$C270=CustomerType)*('Network cost'!$D270=tariffL2)*($F$5=Description),valuesPY)*_xlfn.XLOOKUP(1,($B270=DistributionZone)*($C270=CustomerType)*('Network cost'!$D270=tariffL2)*($E270=tariffType)*("Usage proportion"=Description),valuesFY)</f>
        <v>849.83914277723261</v>
      </c>
      <c r="G270" s="570" t="s">
        <v>57</v>
      </c>
      <c r="H270" s="574" cm="1">
        <f t="array" ref="H270">IFERROR(_xlfn.XLOOKUP(1,($B270=DistributionZone)*('Network cost'!$C270=CustomerType)*('Network cost'!$E270=tariffType)*('Network cost'!H$5=Desc_FixedOrVar)*('Network cost'!$G270=Description),valuesPY),0)*_xlfn.XLOOKUP(1,($B270=DistributionZone)*('Network cost'!$D270=tariffL2)*($E270=tariffType)*("Usage proportion"=Description),valuesPY)</f>
        <v>0</v>
      </c>
      <c r="I270" s="574" cm="1">
        <f t="array" ref="I270">IFERROR(_xlfn.XLOOKUP(1,($B270=DistributionZone)*('Network cost'!$C270=CustomerType)*('Network cost'!$E270=tariffType)*('Network cost'!I$5=Desc_FixedOrVar)*('Network cost'!$G270=Description),valuesPY),0)</f>
        <v>0</v>
      </c>
      <c r="J270" s="574">
        <f>H270+I270*F270/1000</f>
        <v>0</v>
      </c>
      <c r="K270" s="575" t="str">
        <f>IFERROR(J270/J274,"")</f>
        <v/>
      </c>
      <c r="L270" s="575"/>
      <c r="M270" s="575" t="str">
        <f t="shared" ref="M270:M276" si="68">IF(OR(J270=0,J270="",Q270=""),"",Q270/J270-1)</f>
        <v/>
      </c>
      <c r="N270" s="576"/>
      <c r="O270" s="574" cm="1">
        <f t="array" ref="O270">IFERROR(_xlfn.XLOOKUP(1,($B270=DistributionZone)*('Network cost'!$C270=CustomerType)*('Network cost'!$E270=tariffType)*('Network cost'!O$5=Desc_FixedOrVar)*('Network cost'!$G270=Description),valuesFY),0)*_xlfn.XLOOKUP(1,($B270=DistributionZone)*('Network cost'!$D270=tariffL2)*($E270=tariffType)*("Usage proportion"=Description),valuesFY)</f>
        <v>50.81477968812694</v>
      </c>
      <c r="P270" s="574" cm="1">
        <f t="array" ref="P270">IFERROR(_xlfn.XLOOKUP(1,($B270=DistributionZone)*('Network cost'!$C270=CustomerType)*('Network cost'!$E270=tariffType)*('Network cost'!P$5=Desc_FixedOrVar)*('Network cost'!$G270=Description),valuesFY),0)</f>
        <v>106.7</v>
      </c>
      <c r="Q270" s="574">
        <f>O270+P270*$F270/1000</f>
        <v>141.49261622245766</v>
      </c>
      <c r="R270" s="575">
        <f>IFERROR(Q270/Q274,"")</f>
        <v>0.16919426633584841</v>
      </c>
      <c r="S270" s="601"/>
      <c r="T270" s="484"/>
      <c r="U270" s="601"/>
      <c r="V270" s="603"/>
      <c r="W270" s="603"/>
      <c r="X270" s="603"/>
      <c r="Y270" s="575"/>
      <c r="Z270" s="575"/>
      <c r="AA270" s="575"/>
      <c r="AB270" s="575"/>
      <c r="AC270" s="575"/>
      <c r="AD270" s="575"/>
      <c r="AE270" s="575"/>
      <c r="AF270" s="575"/>
      <c r="AG270" s="575"/>
      <c r="AH270" s="575"/>
      <c r="AI270" s="575"/>
      <c r="AJ270" s="575"/>
      <c r="AK270" s="575"/>
      <c r="AL270" s="575"/>
      <c r="AM270" s="575"/>
      <c r="AN270" s="575"/>
      <c r="AO270" s="575"/>
      <c r="AP270" s="575"/>
      <c r="AQ270" s="575"/>
    </row>
    <row r="271" spans="2:43" s="570" customFormat="1" x14ac:dyDescent="0.35">
      <c r="B271" s="570" t="str">
        <f t="shared" si="67"/>
        <v>SAPN</v>
      </c>
      <c r="C271" s="570" t="str">
        <f t="shared" si="67"/>
        <v>Residential</v>
      </c>
      <c r="D271" s="570" t="str">
        <f t="shared" ref="D271:D276" si="69">D$269</f>
        <v>time of use</v>
      </c>
      <c r="E271" s="570" t="s">
        <v>278</v>
      </c>
      <c r="F271" s="485" cm="1">
        <f t="array" ref="F271">_xlfn.XLOOKUP(1,($B271=DistributionZone)*('Network cost'!$C271=CustomerType)*('Network cost'!$D271=tariffL2)*($F$5=Description),valuesPY)*_xlfn.XLOOKUP(1,($B271=DistributionZone)*($C271=CustomerType)*('Network cost'!$D271=tariffL2)*($E271=tariffType)*("Usage proportion"=Description),valuesFY)</f>
        <v>2054.6441546346314</v>
      </c>
      <c r="G271" s="570" t="s">
        <v>57</v>
      </c>
      <c r="H271" s="574" cm="1">
        <f t="array" ref="H271">IFERROR(_xlfn.XLOOKUP(1,($B271=DistributionZone)*('Network cost'!$C271=CustomerType)*('Network cost'!$E271=tariffType)*('Network cost'!H$5=Desc_FixedOrVar)*('Network cost'!$G271=Description),valuesPY),0)*_xlfn.XLOOKUP(1,($B271=DistributionZone)*('Network cost'!$D271=tariffL2)*($E271=tariffType)*("Usage proportion"=Description),valuesPY)</f>
        <v>0</v>
      </c>
      <c r="I271" s="574" cm="1">
        <f t="array" ref="I271">IFERROR(_xlfn.XLOOKUP(1,($B271=DistributionZone)*('Network cost'!$C271=CustomerType)*('Network cost'!$E271=tariffType)*('Network cost'!I$5=Desc_FixedOrVar)*('Network cost'!$G271=Description),valuesPY),0)</f>
        <v>0</v>
      </c>
      <c r="J271" s="574">
        <f>H271+I271*F271/1000</f>
        <v>0</v>
      </c>
      <c r="K271" s="575" t="str">
        <f>IFERROR(J271/J274,"")</f>
        <v/>
      </c>
      <c r="L271" s="575"/>
      <c r="M271" s="575" t="str">
        <f t="shared" si="68"/>
        <v/>
      </c>
      <c r="N271" s="576"/>
      <c r="O271" s="574" cm="1">
        <f t="array" ref="O271">IFERROR(_xlfn.XLOOKUP(1,($B271=DistributionZone)*('Network cost'!$C271=CustomerType)*('Network cost'!$E271=tariffType)*('Network cost'!O$5=Desc_FixedOrVar)*('Network cost'!$G271=Description),valuesFY),0)*_xlfn.XLOOKUP(1,($B271=DistributionZone)*('Network cost'!$D271=tariffL2)*($E271=tariffType)*("Usage proportion"=Description),valuesFY)</f>
        <v>122.85417886738188</v>
      </c>
      <c r="P271" s="574" cm="1">
        <f t="array" ref="P271">IFERROR(_xlfn.XLOOKUP(1,($B271=DistributionZone)*('Network cost'!$C271=CustomerType)*('Network cost'!$E271=tariffType)*('Network cost'!P$5=Desc_FixedOrVar)*('Network cost'!$G271=Description),valuesFY),0)</f>
        <v>213.29999999999998</v>
      </c>
      <c r="Q271" s="574">
        <f>O271+P271*$F271/1000</f>
        <v>561.10977705094865</v>
      </c>
      <c r="R271" s="575">
        <f>IFERROR(Q271/Q274,"")</f>
        <v>0.67096474428563457</v>
      </c>
      <c r="S271" s="601"/>
      <c r="T271" s="484"/>
      <c r="U271" s="601"/>
      <c r="V271" s="603"/>
      <c r="W271" s="603"/>
      <c r="X271" s="603"/>
      <c r="Y271" s="575"/>
      <c r="Z271" s="575"/>
      <c r="AA271" s="575"/>
      <c r="AB271" s="575"/>
      <c r="AC271" s="575"/>
      <c r="AD271" s="575"/>
      <c r="AE271" s="575"/>
      <c r="AF271" s="575"/>
      <c r="AG271" s="575"/>
      <c r="AH271" s="575"/>
      <c r="AI271" s="575"/>
      <c r="AJ271" s="575"/>
      <c r="AK271" s="575"/>
      <c r="AL271" s="575"/>
      <c r="AM271" s="575"/>
      <c r="AN271" s="575"/>
      <c r="AO271" s="575"/>
      <c r="AP271" s="575"/>
      <c r="AQ271" s="575"/>
    </row>
    <row r="272" spans="2:43" s="570" customFormat="1" x14ac:dyDescent="0.35">
      <c r="B272" s="570" t="str">
        <f t="shared" si="67"/>
        <v>SAPN</v>
      </c>
      <c r="C272" s="570" t="str">
        <f t="shared" si="67"/>
        <v>Residential</v>
      </c>
      <c r="D272" s="570" t="str">
        <f t="shared" si="69"/>
        <v>time of use</v>
      </c>
      <c r="E272" s="570" t="s">
        <v>284</v>
      </c>
      <c r="F272" s="485" cm="1">
        <f t="array" ref="F272">_xlfn.XLOOKUP(1,($B272=DistributionZone)*('Network cost'!$C272=CustomerType)*('Network cost'!$D272=tariffL2)*($F$5=Description),valuesPY)*_xlfn.XLOOKUP(1,($B272=DistributionZone)*($C272=CustomerType)*('Network cost'!$D272=tariffL2)*($E272=tariffType)*("Usage proportion"=Description),valuesFY)</f>
        <v>1095.5167025881362</v>
      </c>
      <c r="G272" s="570" t="s">
        <v>57</v>
      </c>
      <c r="H272" s="574" cm="1">
        <f t="array" ref="H272">IFERROR(_xlfn.XLOOKUP(1,($B272=DistributionZone)*('Network cost'!$C272=CustomerType)*('Network cost'!$E272=tariffType)*('Network cost'!H$5=Desc_FixedOrVar)*('Network cost'!$G272=Description),valuesPY),0)*_xlfn.XLOOKUP(1,($B272=DistributionZone)*('Network cost'!$D272=tariffL2)*($E272=tariffType)*("Usage proportion"=Description),valuesPY)</f>
        <v>0</v>
      </c>
      <c r="I272" s="574" cm="1">
        <f t="array" ref="I272">IFERROR(_xlfn.XLOOKUP(1,($B272=DistributionZone)*('Network cost'!$C272=CustomerType)*('Network cost'!$E272=tariffType)*('Network cost'!I$5=Desc_FixedOrVar)*('Network cost'!$G272=Description),valuesPY),0)</f>
        <v>0</v>
      </c>
      <c r="J272" s="574">
        <f>H272+I272*F272/1000</f>
        <v>0</v>
      </c>
      <c r="K272" s="575" t="str">
        <f>IFERROR(J272/J274,"")</f>
        <v/>
      </c>
      <c r="L272" s="575"/>
      <c r="M272" s="575" t="str">
        <f t="shared" si="68"/>
        <v/>
      </c>
      <c r="N272" s="576"/>
      <c r="O272" s="574" cm="1">
        <f t="array" ref="O272">IFERROR(_xlfn.XLOOKUP(1,($B272=DistributionZone)*('Network cost'!$C272=CustomerType)*('Network cost'!$E272=tariffType)*('Network cost'!O$5=Desc_FixedOrVar)*('Network cost'!$G272=Description),valuesFY),0)*_xlfn.XLOOKUP(1,($B272=DistributionZone)*('Network cost'!$D272=tariffL2)*($E272=tariffType)*("Usage proportion"=Description),valuesFY)</f>
        <v>65.504678573356486</v>
      </c>
      <c r="P272" s="574" cm="1">
        <f t="array" ref="P272">IFERROR(_xlfn.XLOOKUP(1,($B272=DistributionZone)*('Network cost'!$C272=CustomerType)*('Network cost'!$E272=tariffType)*('Network cost'!P$5=Desc_FixedOrVar)*('Network cost'!$G272=Description),valuesFY),0)</f>
        <v>53.5</v>
      </c>
      <c r="Q272" s="574">
        <f>O272+P272*$F272/1000</f>
        <v>124.11482216182178</v>
      </c>
      <c r="R272" s="575">
        <f>IFERROR(Q272/Q274,"")</f>
        <v>0.14841422003292282</v>
      </c>
      <c r="S272" s="601"/>
      <c r="T272" s="484"/>
      <c r="U272" s="601"/>
      <c r="V272" s="603"/>
      <c r="W272" s="603"/>
      <c r="X272" s="603"/>
      <c r="Y272" s="575"/>
      <c r="Z272" s="575"/>
      <c r="AA272" s="575"/>
      <c r="AB272" s="575"/>
      <c r="AC272" s="575"/>
      <c r="AD272" s="575"/>
      <c r="AE272" s="575"/>
      <c r="AF272" s="575"/>
      <c r="AG272" s="575"/>
      <c r="AH272" s="575"/>
      <c r="AI272" s="575"/>
      <c r="AJ272" s="575"/>
      <c r="AK272" s="575"/>
      <c r="AL272" s="575"/>
      <c r="AM272" s="575"/>
      <c r="AN272" s="575"/>
      <c r="AO272" s="575"/>
      <c r="AP272" s="575"/>
      <c r="AQ272" s="575"/>
    </row>
    <row r="273" spans="2:43" s="570" customFormat="1" x14ac:dyDescent="0.35">
      <c r="B273" s="570" t="str">
        <f t="shared" si="67"/>
        <v>SAPN</v>
      </c>
      <c r="C273" s="570" t="str">
        <f t="shared" si="67"/>
        <v>Residential</v>
      </c>
      <c r="D273" s="570" t="str">
        <f t="shared" si="69"/>
        <v>time of use</v>
      </c>
      <c r="E273" s="570" t="s">
        <v>272</v>
      </c>
      <c r="F273" s="485" cm="1">
        <f t="array" ref="F273">_xlfn.XLOOKUP(1,($B273=DistributionZone)*('Network cost'!$C273=CustomerType)*('Network cost'!$D273=tariffL2)*($F$5=Description),valuesPY)</f>
        <v>4000</v>
      </c>
      <c r="G273" s="570" t="s">
        <v>61</v>
      </c>
      <c r="H273" s="574" cm="1">
        <f t="array" ref="H273">IFERROR(_xlfn.XLOOKUP(1,($B273=DistributionZone)*('Network cost'!$C273=CustomerType)*('Network cost'!$E273=tariffType)*('Network cost'!H$5=Desc_FixedOrVar)*('Network cost'!$G273=Description),valuesPY),0)</f>
        <v>0</v>
      </c>
      <c r="I273" s="574" cm="1">
        <f t="array" ref="I273">IFERROR(_xlfn.XLOOKUP(1,($B273=DistributionZone)*('Network cost'!$C273=CustomerType)*('Network cost'!$E273=tariffType)*('Network cost'!I$5=Desc_FixedOrVar)*('Network cost'!$G273=Description),valuesPY),0)</f>
        <v>0</v>
      </c>
      <c r="J273" s="574">
        <f>H273+I273*F273/1000</f>
        <v>0</v>
      </c>
      <c r="K273" s="575" t="str">
        <f>IFERROR(J273/J274,"")</f>
        <v/>
      </c>
      <c r="L273" s="575"/>
      <c r="M273" s="575" t="str">
        <f t="shared" si="68"/>
        <v/>
      </c>
      <c r="N273" s="576"/>
      <c r="O273" s="574" cm="1">
        <f t="array" ref="O273">IFERROR(_xlfn.XLOOKUP(1,($B273=DistributionZone)*('Network cost'!$C273=CustomerType)*('Network cost'!$E273=tariffType)*('Network cost'!O$5=Desc_FixedOrVar)*('Network cost'!$G273=Description),valuesFY),0)</f>
        <v>9.5558999999999994</v>
      </c>
      <c r="P273" s="574" cm="1">
        <f t="array" ref="P273">IFERROR(_xlfn.XLOOKUP(1,($B273=DistributionZone)*('Network cost'!$C273=CustomerType)*('Network cost'!$E273=tariffType)*('Network cost'!P$5=Desc_FixedOrVar)*('Network cost'!$G273=Description),valuesFY),0)</f>
        <v>0</v>
      </c>
      <c r="Q273" s="574">
        <f>O273+P273*$F273/1000</f>
        <v>9.5558999999999994</v>
      </c>
      <c r="R273" s="575">
        <f>IFERROR(Q273/Q274,"")</f>
        <v>1.1426769345594411E-2</v>
      </c>
      <c r="S273" s="575"/>
      <c r="T273" s="484"/>
      <c r="U273" s="575"/>
      <c r="V273" s="575"/>
      <c r="W273" s="575"/>
      <c r="X273" s="575"/>
      <c r="Y273" s="575"/>
      <c r="Z273" s="575"/>
      <c r="AA273" s="575"/>
      <c r="AB273" s="575"/>
      <c r="AC273" s="575"/>
      <c r="AD273" s="575"/>
      <c r="AE273" s="575"/>
      <c r="AF273" s="575"/>
      <c r="AG273" s="575"/>
      <c r="AH273" s="575"/>
      <c r="AI273" s="575"/>
      <c r="AJ273" s="575"/>
      <c r="AK273" s="575"/>
      <c r="AL273" s="575"/>
      <c r="AM273" s="575"/>
      <c r="AN273" s="575"/>
      <c r="AO273" s="575"/>
      <c r="AP273" s="575"/>
      <c r="AQ273" s="575"/>
    </row>
    <row r="274" spans="2:43" s="570" customFormat="1" x14ac:dyDescent="0.35">
      <c r="B274" s="570" t="str">
        <f t="shared" si="67"/>
        <v>SAPN</v>
      </c>
      <c r="C274" s="570" t="str">
        <f t="shared" si="67"/>
        <v>Residential</v>
      </c>
      <c r="D274" s="570" t="str">
        <f t="shared" si="69"/>
        <v>time of use</v>
      </c>
      <c r="E274" s="570" t="s">
        <v>272</v>
      </c>
      <c r="F274" s="485" cm="1">
        <f t="array" ref="F274">_xlfn.XLOOKUP(1,($B274=DistributionZone)*('Network cost'!$C274=CustomerType)*('Network cost'!$D274=tariffL2)*($F$5=Description),valuesFY)</f>
        <v>4000</v>
      </c>
      <c r="G274" s="571" t="s">
        <v>55</v>
      </c>
      <c r="H274" s="577">
        <f>SUM(H270:H273)</f>
        <v>0</v>
      </c>
      <c r="I274" s="577">
        <f>SUM(I270:I273)</f>
        <v>0</v>
      </c>
      <c r="J274" s="577">
        <f>SUM(J270:J273)</f>
        <v>0</v>
      </c>
      <c r="K274" s="578"/>
      <c r="L274" s="579"/>
      <c r="M274" s="578" t="str">
        <f t="shared" si="68"/>
        <v/>
      </c>
      <c r="N274" s="580"/>
      <c r="O274" s="577">
        <f>SUM(O270:O273)</f>
        <v>248.72953712886533</v>
      </c>
      <c r="P274" s="577">
        <f>SUM(P270:P273)</f>
        <v>373.5</v>
      </c>
      <c r="Q274" s="577">
        <f>SUM(Q270:Q273)</f>
        <v>836.27311543522796</v>
      </c>
      <c r="R274" s="575"/>
      <c r="S274" s="575"/>
      <c r="T274" s="484"/>
      <c r="U274" s="575"/>
      <c r="V274" s="575"/>
      <c r="W274" s="575"/>
      <c r="X274" s="575"/>
      <c r="Y274" s="575"/>
      <c r="Z274" s="575"/>
      <c r="AA274" s="575"/>
      <c r="AB274" s="575"/>
      <c r="AC274" s="575"/>
      <c r="AD274" s="575"/>
      <c r="AE274" s="575"/>
      <c r="AF274" s="575"/>
      <c r="AG274" s="575"/>
      <c r="AH274" s="575"/>
      <c r="AI274" s="575"/>
      <c r="AJ274" s="575"/>
      <c r="AK274" s="575"/>
      <c r="AL274" s="575"/>
      <c r="AM274" s="575"/>
      <c r="AN274" s="575"/>
      <c r="AO274" s="575"/>
      <c r="AP274" s="575"/>
      <c r="AQ274" s="575"/>
    </row>
    <row r="275" spans="2:43" s="570" customFormat="1" x14ac:dyDescent="0.35">
      <c r="B275" s="570" t="str">
        <f t="shared" si="67"/>
        <v>SAPN</v>
      </c>
      <c r="C275" s="570" t="str">
        <f t="shared" si="67"/>
        <v>Residential</v>
      </c>
      <c r="D275" s="570" t="str">
        <f t="shared" si="69"/>
        <v>time of use</v>
      </c>
      <c r="F275" s="485"/>
      <c r="G275" s="570" t="s">
        <v>38</v>
      </c>
      <c r="H275" s="574"/>
      <c r="I275" s="574"/>
      <c r="J275" s="574">
        <f>J274*GST</f>
        <v>0</v>
      </c>
      <c r="K275" s="575"/>
      <c r="L275" s="581"/>
      <c r="M275" s="575" t="str">
        <f t="shared" si="68"/>
        <v/>
      </c>
      <c r="N275" s="582"/>
      <c r="O275" s="574"/>
      <c r="P275" s="574"/>
      <c r="Q275" s="574">
        <f>Q274*GST</f>
        <v>83.627311543522808</v>
      </c>
      <c r="R275" s="575"/>
      <c r="S275" s="575"/>
      <c r="T275" s="484"/>
      <c r="U275" s="575"/>
      <c r="V275" s="575"/>
      <c r="W275" s="575"/>
      <c r="X275" s="575"/>
      <c r="Y275" s="575"/>
      <c r="Z275" s="575"/>
      <c r="AA275" s="575"/>
      <c r="AB275" s="575"/>
      <c r="AC275" s="575"/>
      <c r="AD275" s="575"/>
      <c r="AE275" s="575"/>
      <c r="AF275" s="575"/>
      <c r="AG275" s="575"/>
      <c r="AH275" s="575"/>
      <c r="AI275" s="575"/>
      <c r="AJ275" s="575"/>
      <c r="AK275" s="575"/>
      <c r="AL275" s="575"/>
      <c r="AM275" s="575"/>
      <c r="AN275" s="575"/>
      <c r="AO275" s="575"/>
      <c r="AP275" s="575"/>
      <c r="AQ275" s="575"/>
    </row>
    <row r="276" spans="2:43" s="570" customFormat="1" x14ac:dyDescent="0.35">
      <c r="B276" s="570" t="str">
        <f t="shared" si="67"/>
        <v>SAPN</v>
      </c>
      <c r="C276" s="570" t="str">
        <f t="shared" si="67"/>
        <v>Residential</v>
      </c>
      <c r="D276" s="570" t="str">
        <f t="shared" si="69"/>
        <v>time of use</v>
      </c>
      <c r="E276" s="570" t="s">
        <v>272</v>
      </c>
      <c r="F276" s="485"/>
      <c r="G276" s="571" t="s">
        <v>79</v>
      </c>
      <c r="H276" s="577"/>
      <c r="I276" s="577"/>
      <c r="J276" s="577">
        <f>SUM(J274:J275)</f>
        <v>0</v>
      </c>
      <c r="K276" s="578"/>
      <c r="L276" s="579"/>
      <c r="M276" s="578" t="str">
        <f t="shared" si="68"/>
        <v/>
      </c>
      <c r="N276" s="580"/>
      <c r="O276" s="577"/>
      <c r="P276" s="577"/>
      <c r="Q276" s="577">
        <f>SUM(Q274:Q275)</f>
        <v>919.90042697875083</v>
      </c>
      <c r="R276" s="578"/>
      <c r="S276" s="578"/>
      <c r="T276" s="484"/>
      <c r="U276" s="578"/>
      <c r="V276" s="578"/>
      <c r="W276" s="578"/>
      <c r="X276" s="578"/>
      <c r="Y276" s="578"/>
      <c r="Z276" s="578"/>
      <c r="AA276" s="578"/>
      <c r="AB276" s="578"/>
      <c r="AC276" s="578"/>
      <c r="AD276" s="578"/>
      <c r="AE276" s="578"/>
      <c r="AF276" s="578"/>
      <c r="AG276" s="578"/>
      <c r="AH276" s="578"/>
      <c r="AI276" s="578"/>
      <c r="AJ276" s="578"/>
      <c r="AK276" s="578"/>
      <c r="AL276" s="578"/>
      <c r="AM276" s="578"/>
      <c r="AN276" s="578"/>
      <c r="AO276" s="578"/>
      <c r="AP276" s="578"/>
      <c r="AQ276" s="578"/>
    </row>
    <row r="277" spans="2:43" s="570" customFormat="1" x14ac:dyDescent="0.35">
      <c r="F277" s="485"/>
      <c r="H277" s="574"/>
      <c r="I277" s="574"/>
      <c r="J277" s="574"/>
      <c r="K277" s="575"/>
      <c r="L277" s="581"/>
      <c r="M277" s="575"/>
      <c r="N277" s="582"/>
      <c r="O277" s="574"/>
      <c r="P277" s="574"/>
      <c r="Q277" s="574"/>
      <c r="R277" s="575"/>
      <c r="S277" s="575"/>
      <c r="T277" s="484"/>
      <c r="U277" s="575"/>
      <c r="V277" s="575"/>
      <c r="W277" s="575"/>
      <c r="X277" s="575"/>
      <c r="Y277" s="575"/>
      <c r="Z277" s="575"/>
      <c r="AA277" s="575"/>
      <c r="AB277" s="575"/>
      <c r="AC277" s="575"/>
      <c r="AD277" s="575"/>
      <c r="AE277" s="575"/>
      <c r="AF277" s="575"/>
      <c r="AG277" s="575"/>
      <c r="AH277" s="575"/>
      <c r="AI277" s="575"/>
      <c r="AJ277" s="575"/>
      <c r="AK277" s="575"/>
      <c r="AL277" s="575"/>
      <c r="AM277" s="575"/>
      <c r="AN277" s="575"/>
      <c r="AO277" s="575"/>
      <c r="AP277" s="575"/>
      <c r="AQ277" s="575"/>
    </row>
    <row r="278" spans="2:43" s="749" customFormat="1" x14ac:dyDescent="0.35">
      <c r="B278" s="748" t="s">
        <v>5</v>
      </c>
      <c r="C278" s="748" t="s">
        <v>6</v>
      </c>
      <c r="D278" s="748" t="s">
        <v>276</v>
      </c>
      <c r="F278" s="750"/>
      <c r="H278" s="751"/>
      <c r="I278" s="751"/>
      <c r="J278" s="751"/>
      <c r="K278" s="752"/>
      <c r="L278" s="757"/>
      <c r="M278" s="752"/>
      <c r="N278" s="758"/>
      <c r="O278" s="751"/>
      <c r="P278" s="751"/>
      <c r="Q278" s="751"/>
      <c r="R278" s="752"/>
      <c r="S278" s="752"/>
      <c r="T278" s="752"/>
      <c r="U278" s="752"/>
      <c r="V278" s="752"/>
      <c r="W278" s="752"/>
      <c r="X278" s="752"/>
      <c r="Y278" s="752"/>
      <c r="Z278" s="752"/>
      <c r="AA278" s="752"/>
      <c r="AB278" s="752"/>
      <c r="AC278" s="752"/>
      <c r="AD278" s="752"/>
      <c r="AE278" s="752"/>
      <c r="AF278" s="752"/>
      <c r="AG278" s="752"/>
      <c r="AH278" s="752"/>
      <c r="AI278" s="752"/>
      <c r="AJ278" s="752"/>
      <c r="AK278" s="752"/>
      <c r="AL278" s="752"/>
      <c r="AM278" s="752"/>
      <c r="AN278" s="752"/>
      <c r="AO278" s="752"/>
      <c r="AP278" s="752"/>
      <c r="AQ278" s="752"/>
    </row>
    <row r="279" spans="2:43" s="749" customFormat="1" x14ac:dyDescent="0.35">
      <c r="B279" s="749" t="str">
        <f t="shared" ref="B279:D283" si="70">B$262</f>
        <v>SAPN</v>
      </c>
      <c r="C279" s="749" t="str">
        <f t="shared" si="70"/>
        <v>Residential</v>
      </c>
      <c r="D279" s="749" t="str">
        <f t="shared" si="70"/>
        <v>flat rate</v>
      </c>
      <c r="E279" s="749" t="s">
        <v>19</v>
      </c>
      <c r="F279" s="750" cm="1">
        <f t="array" ref="F279">_xlfn.XLOOKUP(1,($B279=DistributionZone)*('Network cost'!$C279=CustomerType)*('Network cost'!$D279=tariffL2)*($F$5=Description),valuesFY)</f>
        <v>4000</v>
      </c>
      <c r="G279" s="749" t="s">
        <v>57</v>
      </c>
      <c r="H279" s="751" cm="1">
        <f t="array" ref="H279">IFERROR(_xlfn.XLOOKUP(1,($B279=DistributionZone)*('Network cost'!$C279=CustomerType)*('Network cost'!$E279=tariffType)*('Network cost'!H$5=Desc_FixedOrVar)*('Network cost'!$G279=Description),valuesPY),0)</f>
        <v>225.75096815715256</v>
      </c>
      <c r="I279" s="751" cm="1">
        <f t="array" ref="I279">IFERROR(_xlfn.XLOOKUP(1,($B279=DistributionZone)*('Network cost'!$C279=CustomerType)*('Network cost'!$E279=tariffType)*('Network cost'!I$5=Desc_FixedOrVar)*('Network cost'!$G279=Description),valuesPY),0)</f>
        <v>145.1</v>
      </c>
      <c r="J279" s="751">
        <f>H279+I279*F279/1000</f>
        <v>806.15096815715253</v>
      </c>
      <c r="K279" s="752">
        <f>IFERROR(J279/J281,"")</f>
        <v>0.98860041568545576</v>
      </c>
      <c r="L279" s="752"/>
      <c r="M279" s="752">
        <f>IF(OR(J279=0,J279="",Q279=""),"",Q279/J279-1)</f>
        <v>8.6905461423694597E-2</v>
      </c>
      <c r="N279" s="753"/>
      <c r="O279" s="751">
        <f>SUM((O263*SAP_RESI_flat_proportion),(O270*Sap_RESI_tou_proportion),(O271*Sap_RESI_tou_proportion),(O272*Sap_RESI_tou_proportion))</f>
        <v>239.17363712886529</v>
      </c>
      <c r="P279" s="751">
        <f>SUM((P263*SAP_RESI_flat_proportion),(P270*Sap_RESI_tou_proportion*F270/F274),(P271*Sap_RESI_tou_proportion*F271/F274),(P272*Sap_RESI_tou_proportion*F272/F274))</f>
        <v>159.25906322328569</v>
      </c>
      <c r="Q279" s="751">
        <f>O279+P279*$F279/1000</f>
        <v>876.20989002200804</v>
      </c>
      <c r="R279" s="752">
        <f>IFERROR(Q279/Q281,"")</f>
        <v>0.98921170798461011</v>
      </c>
      <c r="S279" s="752"/>
      <c r="T279" s="752"/>
      <c r="U279" s="752"/>
      <c r="V279" s="752"/>
      <c r="W279" s="752"/>
      <c r="X279" s="752"/>
      <c r="Y279" s="752"/>
      <c r="Z279" s="752"/>
      <c r="AA279" s="752"/>
      <c r="AB279" s="752"/>
      <c r="AC279" s="752"/>
      <c r="AD279" s="752"/>
      <c r="AE279" s="752"/>
      <c r="AF279" s="752"/>
      <c r="AG279" s="752"/>
      <c r="AH279" s="752"/>
      <c r="AI279" s="752"/>
      <c r="AJ279" s="752"/>
      <c r="AK279" s="752"/>
      <c r="AL279" s="752"/>
      <c r="AM279" s="752"/>
      <c r="AN279" s="752"/>
      <c r="AO279" s="752"/>
      <c r="AP279" s="752"/>
      <c r="AQ279" s="752"/>
    </row>
    <row r="280" spans="2:43" s="749" customFormat="1" x14ac:dyDescent="0.35">
      <c r="B280" s="749" t="str">
        <f t="shared" si="70"/>
        <v>SAPN</v>
      </c>
      <c r="C280" s="749" t="str">
        <f t="shared" si="70"/>
        <v>Residential</v>
      </c>
      <c r="D280" s="749" t="str">
        <f t="shared" si="70"/>
        <v>flat rate</v>
      </c>
      <c r="E280" s="749" t="s">
        <v>19</v>
      </c>
      <c r="F280" s="750" cm="1">
        <f t="array" ref="F280">_xlfn.XLOOKUP(1,($B280=DistributionZone)*('Network cost'!$C280=CustomerType)*('Network cost'!$D280=tariffL2)*($F$5=Description),valuesFY)</f>
        <v>4000</v>
      </c>
      <c r="G280" s="749" t="s">
        <v>61</v>
      </c>
      <c r="H280" s="751" cm="1">
        <f t="array" ref="H280">IFERROR(_xlfn.XLOOKUP(1,($B280=DistributionZone)*('Network cost'!$C280=CustomerType)*('Network cost'!$E280=tariffType)*('Network cost'!H$5=Desc_FixedOrVar)*('Network cost'!$G280=Description),valuesPY),0)</f>
        <v>9.2957536593661754</v>
      </c>
      <c r="I280" s="751" cm="1">
        <f t="array" ref="I280">IFERROR(_xlfn.XLOOKUP(1,($B280=DistributionZone)*('Network cost'!$C280=CustomerType)*('Network cost'!$E280=tariffType)*('Network cost'!I$5=Desc_FixedOrVar)*('Network cost'!$G280=Description),valuesPY),0)</f>
        <v>0</v>
      </c>
      <c r="J280" s="751">
        <f>H280+I280*F280/1000</f>
        <v>9.2957536593661754</v>
      </c>
      <c r="K280" s="752">
        <f>IFERROR(J280/J281,"")</f>
        <v>1.1399584314544324E-2</v>
      </c>
      <c r="L280" s="752"/>
      <c r="M280" s="752">
        <f>IF(OR(J280=0,J280="",Q280=""),"",Q280/J280-1)</f>
        <v>2.7985502861481715E-2</v>
      </c>
      <c r="N280" s="753"/>
      <c r="O280" s="751">
        <f>SUM((O264*Ene_SB_flat_proportion),(O273*Ene_SB_tou_proportion))</f>
        <v>9.5558999999999976</v>
      </c>
      <c r="P280" s="751">
        <f>SUM((P264*Ene_SB_flat_proportion),(P273*Ene_SB_tou_proportion))</f>
        <v>0</v>
      </c>
      <c r="Q280" s="751">
        <f>O280+P280*$F$69/1000</f>
        <v>9.5558999999999976</v>
      </c>
      <c r="R280" s="752">
        <f>IFERROR(Q280/Q281,"")</f>
        <v>1.0788292015389948E-2</v>
      </c>
      <c r="S280" s="752"/>
      <c r="T280" s="752"/>
      <c r="U280" s="752"/>
      <c r="V280" s="752"/>
      <c r="W280" s="752"/>
      <c r="X280" s="752"/>
      <c r="Y280" s="752"/>
      <c r="Z280" s="752"/>
      <c r="AA280" s="752"/>
      <c r="AB280" s="752"/>
      <c r="AC280" s="752"/>
      <c r="AD280" s="752"/>
      <c r="AE280" s="752"/>
      <c r="AF280" s="752"/>
      <c r="AG280" s="752"/>
      <c r="AH280" s="752"/>
      <c r="AI280" s="752"/>
      <c r="AJ280" s="752"/>
      <c r="AK280" s="752"/>
      <c r="AL280" s="752"/>
      <c r="AM280" s="752"/>
      <c r="AN280" s="752"/>
      <c r="AO280" s="752"/>
      <c r="AP280" s="752"/>
      <c r="AQ280" s="752"/>
    </row>
    <row r="281" spans="2:43" s="749" customFormat="1" x14ac:dyDescent="0.35">
      <c r="B281" s="749" t="str">
        <f t="shared" si="70"/>
        <v>SAPN</v>
      </c>
      <c r="C281" s="749" t="str">
        <f t="shared" si="70"/>
        <v>Residential</v>
      </c>
      <c r="D281" s="749" t="str">
        <f t="shared" si="70"/>
        <v>flat rate</v>
      </c>
      <c r="E281" s="749" t="s">
        <v>396</v>
      </c>
      <c r="F281" s="750" cm="1">
        <f t="array" ref="F281">_xlfn.XLOOKUP(1,($B281=DistributionZone)*('Network cost'!$C281=CustomerType)*('Network cost'!$D281=tariffL2)*($F$5=Description),valuesFY)</f>
        <v>4000</v>
      </c>
      <c r="G281" s="748" t="s">
        <v>55</v>
      </c>
      <c r="H281" s="754">
        <f>SUM(H279:H280)</f>
        <v>235.04672181651873</v>
      </c>
      <c r="I281" s="754">
        <f t="shared" ref="I281:J281" si="71">SUM(I279:I280)</f>
        <v>145.1</v>
      </c>
      <c r="J281" s="754">
        <f t="shared" si="71"/>
        <v>815.44672181651868</v>
      </c>
      <c r="K281" s="747"/>
      <c r="L281" s="755"/>
      <c r="M281" s="747">
        <f>IF(OR(J281=0,J281="",Q281=""),"",Q281/J281-1)</f>
        <v>8.6233798388255289E-2</v>
      </c>
      <c r="N281" s="756"/>
      <c r="O281" s="754">
        <f>SUM(O279:O280)</f>
        <v>248.7295371288653</v>
      </c>
      <c r="P281" s="754">
        <f t="shared" ref="P281:Q281" si="72">SUM(P279:P280)</f>
        <v>159.25906322328569</v>
      </c>
      <c r="Q281" s="754">
        <f t="shared" si="72"/>
        <v>885.76579002200799</v>
      </c>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row>
    <row r="282" spans="2:43" s="749" customFormat="1" x14ac:dyDescent="0.35">
      <c r="B282" s="749" t="str">
        <f t="shared" si="70"/>
        <v>SAPN</v>
      </c>
      <c r="C282" s="749" t="str">
        <f t="shared" si="70"/>
        <v>Residential</v>
      </c>
      <c r="D282" s="749" t="str">
        <f t="shared" si="70"/>
        <v>flat rate</v>
      </c>
      <c r="F282" s="750"/>
      <c r="G282" s="749" t="s">
        <v>38</v>
      </c>
      <c r="H282" s="751"/>
      <c r="I282" s="751"/>
      <c r="J282" s="751">
        <f>J281*GST</f>
        <v>81.544672181651876</v>
      </c>
      <c r="K282" s="752"/>
      <c r="L282" s="757"/>
      <c r="M282" s="752">
        <f>IF(OR(J282=0,J282="",Q282=""),"",Q282/J282-1)</f>
        <v>8.6233798388255067E-2</v>
      </c>
      <c r="N282" s="758"/>
      <c r="O282" s="751"/>
      <c r="P282" s="751"/>
      <c r="Q282" s="751">
        <f>Q281*GST</f>
        <v>88.576579002200802</v>
      </c>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752"/>
      <c r="AM282" s="752"/>
      <c r="AN282" s="752"/>
      <c r="AO282" s="752"/>
      <c r="AP282" s="752"/>
      <c r="AQ282" s="752"/>
    </row>
    <row r="283" spans="2:43" s="749" customFormat="1" x14ac:dyDescent="0.35">
      <c r="B283" s="749" t="str">
        <f t="shared" si="70"/>
        <v>SAPN</v>
      </c>
      <c r="C283" s="749" t="str">
        <f t="shared" si="70"/>
        <v>Residential</v>
      </c>
      <c r="D283" s="749" t="str">
        <f t="shared" si="70"/>
        <v>flat rate</v>
      </c>
      <c r="E283" s="749" t="s">
        <v>396</v>
      </c>
      <c r="F283" s="750"/>
      <c r="G283" s="748" t="s">
        <v>79</v>
      </c>
      <c r="H283" s="754"/>
      <c r="I283" s="754"/>
      <c r="J283" s="754">
        <f>SUM(J281:J282)</f>
        <v>896.99139399817057</v>
      </c>
      <c r="K283" s="747"/>
      <c r="L283" s="755"/>
      <c r="M283" s="747">
        <f>IF(OR(J283=0,J283="",Q283=""),"",Q283/J283-1)</f>
        <v>8.6233798388255289E-2</v>
      </c>
      <c r="N283" s="756"/>
      <c r="O283" s="754"/>
      <c r="P283" s="754"/>
      <c r="Q283" s="754">
        <f>SUM(Q281:Q282)</f>
        <v>974.34236902420878</v>
      </c>
      <c r="R283" s="747"/>
      <c r="S283" s="747"/>
      <c r="T283" s="752"/>
      <c r="U283" s="747"/>
      <c r="V283" s="747"/>
      <c r="W283" s="747"/>
      <c r="X283" s="747"/>
      <c r="Y283" s="747"/>
      <c r="Z283" s="747"/>
      <c r="AA283" s="747"/>
      <c r="AB283" s="747"/>
      <c r="AC283" s="747"/>
      <c r="AD283" s="747"/>
      <c r="AE283" s="747"/>
      <c r="AF283" s="747"/>
      <c r="AG283" s="747"/>
      <c r="AH283" s="747"/>
      <c r="AI283" s="747"/>
      <c r="AJ283" s="747"/>
      <c r="AK283" s="747"/>
      <c r="AL283" s="747"/>
      <c r="AM283" s="747"/>
      <c r="AN283" s="747"/>
      <c r="AO283" s="747"/>
      <c r="AP283" s="747"/>
      <c r="AQ283" s="747"/>
    </row>
    <row r="284" spans="2:43" s="749" customFormat="1" x14ac:dyDescent="0.35">
      <c r="F284" s="758"/>
      <c r="H284" s="751"/>
      <c r="I284" s="751"/>
      <c r="J284" s="751"/>
      <c r="K284" s="757"/>
      <c r="L284" s="757"/>
      <c r="M284" s="757"/>
      <c r="N284" s="758"/>
      <c r="O284" s="751"/>
      <c r="P284" s="751"/>
      <c r="Q284" s="751"/>
      <c r="R284" s="757"/>
      <c r="S284" s="757"/>
      <c r="T284" s="752"/>
      <c r="U284" s="757"/>
      <c r="V284" s="757"/>
      <c r="W284" s="757"/>
      <c r="X284" s="757"/>
      <c r="Y284" s="757"/>
      <c r="Z284" s="757"/>
      <c r="AA284" s="757"/>
      <c r="AB284" s="757"/>
      <c r="AC284" s="757"/>
      <c r="AD284" s="757"/>
      <c r="AE284" s="757"/>
      <c r="AF284" s="757"/>
      <c r="AG284" s="757"/>
      <c r="AH284" s="757"/>
      <c r="AI284" s="757"/>
      <c r="AJ284" s="757"/>
      <c r="AK284" s="757"/>
      <c r="AL284" s="757"/>
      <c r="AM284" s="757"/>
      <c r="AN284" s="757"/>
      <c r="AO284" s="757"/>
      <c r="AP284" s="757"/>
      <c r="AQ284" s="757"/>
    </row>
    <row r="285" spans="2:43" x14ac:dyDescent="0.35">
      <c r="B285" s="64" t="s">
        <v>5</v>
      </c>
      <c r="C285" s="64"/>
      <c r="D285" s="64" t="s">
        <v>285</v>
      </c>
      <c r="E285" s="30" t="s">
        <v>14</v>
      </c>
      <c r="F285" s="258" cm="1">
        <f t="array" ref="F285">_xlfn.XLOOKUP(1,($B285=DistributionZone)*('Network cost'!$C285=CustomerType)*('Network cost'!$D285=tariffL2)*($F$5=Description)*(E285=tariffType),valuesFY)</f>
        <v>1800</v>
      </c>
      <c r="G285" s="30" t="s">
        <v>57</v>
      </c>
      <c r="H285" s="482" cm="1">
        <f t="array" ref="H285">IFERROR(_xlfn.XLOOKUP(1,($B285=DistributionZone)*('Network cost'!$C285=CustomerType)*('Network cost'!$E285=tariffType)*('Network cost'!H$5=Desc_FixedOrVar)*('Network cost'!$G285=Description),valuesPY),0)*_xlfn.XLOOKUP(1,($B285=DistributionZone)*("CL1 Proportion"=Description),valuesPY)</f>
        <v>0</v>
      </c>
      <c r="I285" s="482" cm="1">
        <f t="array" ref="I285">IFERROR(_xlfn.XLOOKUP(1,($B285=DistributionZone)*('Network cost'!$E285=tariffType)*('Network cost'!I$5=Desc_FixedOrVar)*('Network cost'!$G285=Description),valuesPY),0)</f>
        <v>72.599999999999994</v>
      </c>
      <c r="J285" s="482">
        <f>H285+I285*F285/1000</f>
        <v>130.67999999999998</v>
      </c>
      <c r="K285" s="484">
        <f>IFERROR(J285/J287,"")</f>
        <v>1</v>
      </c>
      <c r="L285" s="567"/>
      <c r="M285" s="484">
        <f t="shared" ref="M285" si="73">IF(OR(J285=0,J285="",Q285=""),"",Q285/J285-1)</f>
        <v>0.12534435261707988</v>
      </c>
      <c r="N285" s="568"/>
      <c r="O285" s="482" cm="1">
        <f t="array" ref="O285">IFERROR(_xlfn.XLOOKUP(1,($B285=DistributionZone)*('Network cost'!$C285=CustomerType)*('Network cost'!$E285=tariffType)*('Network cost'!O$5=Desc_FixedOrVar)*('Network cost'!$G285=Description),valuesFY),0)</f>
        <v>0</v>
      </c>
      <c r="P285" s="482" cm="1">
        <f t="array" ref="P285">IFERROR(_xlfn.XLOOKUP(1,($B285=DistributionZone)*('Network cost'!$E285=tariffType)*('Network cost'!P$5=Desc_FixedOrVar)*('Network cost'!$G285=Description),valuesFY),0)</f>
        <v>81.699999999999989</v>
      </c>
      <c r="Q285" s="482">
        <f>O285+P285*$F285/1000</f>
        <v>147.05999999999997</v>
      </c>
      <c r="R285" s="484">
        <f>IFERROR(Q285/Q287,"")</f>
        <v>1</v>
      </c>
      <c r="S285" s="484"/>
      <c r="T285" s="484"/>
      <c r="U285" s="484"/>
      <c r="V285" s="484"/>
      <c r="W285" s="484"/>
      <c r="X285" s="484"/>
      <c r="Y285" s="484"/>
      <c r="Z285" s="484"/>
      <c r="AA285" s="484"/>
      <c r="AB285" s="484"/>
      <c r="AC285" s="484"/>
      <c r="AD285" s="484"/>
      <c r="AE285" s="484"/>
      <c r="AF285" s="484"/>
      <c r="AG285" s="484"/>
      <c r="AH285" s="484"/>
      <c r="AI285" s="484"/>
      <c r="AJ285" s="484"/>
      <c r="AK285" s="484"/>
      <c r="AL285" s="484"/>
      <c r="AM285" s="484"/>
      <c r="AN285" s="484"/>
      <c r="AO285" s="484"/>
      <c r="AP285" s="484"/>
      <c r="AQ285" s="484"/>
    </row>
    <row r="286" spans="2:43" x14ac:dyDescent="0.35">
      <c r="B286" s="30" t="str">
        <f t="shared" ref="B286:D289" si="74">B$285</f>
        <v>SAPN</v>
      </c>
      <c r="D286" s="30" t="str">
        <f t="shared" si="74"/>
        <v>controlled load</v>
      </c>
      <c r="E286" s="30" t="s">
        <v>14</v>
      </c>
      <c r="F286" s="258" cm="1">
        <f t="array" ref="F286">_xlfn.XLOOKUP(1,($B286=DistributionZone)*('Network cost'!$D286=tariffL2)*($F$5=Description)*(E286=tariffType),valuesFY)</f>
        <v>1800</v>
      </c>
      <c r="G286" s="30" t="s">
        <v>61</v>
      </c>
      <c r="H286" s="482" cm="1">
        <f t="array" ref="H286">IFERROR(_xlfn.XLOOKUP(1,($B286=DistributionZone)*('Network cost'!$C286=CustomerType)*('Network cost'!$E286=tariffType)*('Network cost'!H$5=Desc_FixedOrVar)*('Network cost'!$G286=Description),valuesPY),0)*_xlfn.XLOOKUP(1,($B286=DistributionZone)*("CL1 Proportion"=Description),valuesPY)</f>
        <v>0</v>
      </c>
      <c r="I286" s="482" cm="1">
        <f t="array" ref="I286">IFERROR(_xlfn.XLOOKUP(1,($B286=DistributionZone)*('Network cost'!$C286=CustomerType)*('Network cost'!$E286=tariffType)*('Network cost'!I$5=Desc_FixedOrVar)*('Network cost'!$G286=Description),valuesPY),0)</f>
        <v>0</v>
      </c>
      <c r="J286" s="482">
        <f>H286+I286*F286/1000</f>
        <v>0</v>
      </c>
      <c r="K286" s="484">
        <f>IFERROR(J286/J288,"")</f>
        <v>0</v>
      </c>
      <c r="L286" s="567"/>
      <c r="M286" s="484" t="str">
        <f>IF(OR(J286=0,J286="",Q286=""),"",Q286/J286-1)</f>
        <v/>
      </c>
      <c r="N286" s="568"/>
      <c r="O286" s="482" cm="1">
        <f t="array" ref="O286">IFERROR(_xlfn.XLOOKUP(1,($B286=DistributionZone)*('Network cost'!$C286=CustomerType)*('Network cost'!$E286=tariffType)*('Network cost'!O$5=Desc_FixedOrVar)*('Network cost'!$G286=Description),valuesFY),0)</f>
        <v>0</v>
      </c>
      <c r="P286" s="482" cm="1">
        <f t="array" ref="P286">IFERROR(_xlfn.XLOOKUP(1,($B286=DistributionZone)*('Network cost'!$C286=CustomerType)*('Network cost'!$E286=tariffType)*('Network cost'!P$5=Desc_FixedOrVar)*('Network cost'!$G286=Description),valuesFY),0)</f>
        <v>0</v>
      </c>
      <c r="Q286" s="482">
        <f>O286+P286*$F286/1000</f>
        <v>0</v>
      </c>
      <c r="R286" s="484">
        <f>IFERROR(Q286/Q287,"")</f>
        <v>0</v>
      </c>
      <c r="S286" s="484"/>
      <c r="T286" s="484"/>
      <c r="U286" s="484"/>
      <c r="V286" s="484"/>
      <c r="W286" s="484"/>
      <c r="X286" s="484"/>
      <c r="Y286" s="484"/>
      <c r="Z286" s="484"/>
      <c r="AA286" s="484"/>
      <c r="AB286" s="484"/>
      <c r="AC286" s="484"/>
      <c r="AD286" s="484"/>
      <c r="AE286" s="484"/>
      <c r="AF286" s="484"/>
      <c r="AG286" s="484"/>
      <c r="AH286" s="484"/>
      <c r="AI286" s="484"/>
      <c r="AJ286" s="484"/>
      <c r="AK286" s="484"/>
      <c r="AL286" s="484"/>
      <c r="AM286" s="484"/>
      <c r="AN286" s="484"/>
      <c r="AO286" s="484"/>
      <c r="AP286" s="484"/>
      <c r="AQ286" s="484"/>
    </row>
    <row r="287" spans="2:43" x14ac:dyDescent="0.35">
      <c r="B287" s="30" t="str">
        <f t="shared" si="74"/>
        <v>SAPN</v>
      </c>
      <c r="D287" s="30" t="str">
        <f t="shared" si="74"/>
        <v>controlled load</v>
      </c>
      <c r="E287" s="30" t="s">
        <v>14</v>
      </c>
      <c r="F287" s="258" cm="1">
        <f t="array" ref="F287">_xlfn.XLOOKUP(1,($B287=DistributionZone)*('Network cost'!$D287=tariffL2)*($F$5=Description)*(E287=tariffType),valuesFY)</f>
        <v>1800</v>
      </c>
      <c r="G287" s="64" t="s">
        <v>55</v>
      </c>
      <c r="H287" s="487">
        <f>SUM(H285:H286)</f>
        <v>0</v>
      </c>
      <c r="I287" s="487">
        <f>SUM(I285:I285)</f>
        <v>72.599999999999994</v>
      </c>
      <c r="J287" s="487">
        <f>H287+I287*F287/1000</f>
        <v>130.67999999999998</v>
      </c>
      <c r="K287" s="564"/>
      <c r="L287" s="565"/>
      <c r="M287" s="564">
        <f t="shared" ref="M287:M289" si="75">IF(OR(J287=0,J287="",Q287=""),"",Q287/J287-1)</f>
        <v>0.12534435261707988</v>
      </c>
      <c r="N287" s="566"/>
      <c r="O287" s="487">
        <f>SUM(O285:O286)</f>
        <v>0</v>
      </c>
      <c r="P287" s="487">
        <f>SUM(P285:P286)</f>
        <v>81.699999999999989</v>
      </c>
      <c r="Q287" s="487">
        <f>SUM(Q285:Q286)</f>
        <v>147.05999999999997</v>
      </c>
      <c r="R287" s="564"/>
      <c r="S287" s="484"/>
      <c r="T287" s="484"/>
      <c r="U287" s="484"/>
      <c r="V287" s="484"/>
      <c r="W287" s="484"/>
      <c r="X287" s="484"/>
      <c r="Y287" s="484"/>
      <c r="Z287" s="484"/>
      <c r="AA287" s="484"/>
      <c r="AB287" s="484"/>
      <c r="AC287" s="484"/>
      <c r="AD287" s="484"/>
      <c r="AE287" s="484"/>
      <c r="AF287" s="484"/>
      <c r="AG287" s="484"/>
      <c r="AH287" s="484"/>
      <c r="AI287" s="484"/>
      <c r="AJ287" s="484"/>
      <c r="AK287" s="484"/>
      <c r="AL287" s="484"/>
      <c r="AM287" s="484"/>
      <c r="AN287" s="484"/>
      <c r="AO287" s="484"/>
      <c r="AP287" s="484"/>
      <c r="AQ287" s="484"/>
    </row>
    <row r="288" spans="2:43" x14ac:dyDescent="0.35">
      <c r="B288" s="30" t="str">
        <f t="shared" si="74"/>
        <v>SAPN</v>
      </c>
      <c r="D288" s="30" t="str">
        <f t="shared" si="74"/>
        <v>controlled load</v>
      </c>
      <c r="E288" s="30" t="s">
        <v>14</v>
      </c>
      <c r="F288" s="258"/>
      <c r="G288" s="30" t="s">
        <v>38</v>
      </c>
      <c r="H288" s="482"/>
      <c r="I288" s="482"/>
      <c r="J288" s="482">
        <f>J287*GST</f>
        <v>13.067999999999998</v>
      </c>
      <c r="K288" s="484"/>
      <c r="L288" s="484"/>
      <c r="M288" s="484">
        <f t="shared" si="75"/>
        <v>0.12534435261707988</v>
      </c>
      <c r="N288" s="563"/>
      <c r="O288" s="482"/>
      <c r="P288" s="482"/>
      <c r="Q288" s="482">
        <f>Q287*GST</f>
        <v>14.705999999999998</v>
      </c>
      <c r="R288" s="484"/>
      <c r="S288" s="484"/>
      <c r="T288" s="484"/>
      <c r="U288" s="484"/>
      <c r="V288" s="484"/>
      <c r="W288" s="484"/>
      <c r="X288" s="484"/>
      <c r="Y288" s="484"/>
      <c r="Z288" s="484"/>
      <c r="AA288" s="484"/>
      <c r="AB288" s="484"/>
      <c r="AC288" s="484"/>
      <c r="AD288" s="484"/>
      <c r="AE288" s="484"/>
      <c r="AF288" s="484"/>
      <c r="AG288" s="484"/>
      <c r="AH288" s="484"/>
      <c r="AI288" s="484"/>
      <c r="AJ288" s="484"/>
      <c r="AK288" s="484"/>
      <c r="AL288" s="484"/>
      <c r="AM288" s="484"/>
      <c r="AN288" s="484"/>
      <c r="AO288" s="484"/>
      <c r="AP288" s="484"/>
      <c r="AQ288" s="484"/>
    </row>
    <row r="289" spans="2:43" x14ac:dyDescent="0.35">
      <c r="B289" s="30" t="str">
        <f t="shared" si="74"/>
        <v>SAPN</v>
      </c>
      <c r="D289" s="30" t="str">
        <f t="shared" si="74"/>
        <v>controlled load</v>
      </c>
      <c r="E289" s="30" t="s">
        <v>14</v>
      </c>
      <c r="F289" s="258"/>
      <c r="G289" s="64" t="s">
        <v>79</v>
      </c>
      <c r="H289" s="487"/>
      <c r="I289" s="487"/>
      <c r="J289" s="487">
        <f>SUM(J287:J288)</f>
        <v>143.74799999999999</v>
      </c>
      <c r="K289" s="564"/>
      <c r="L289" s="564"/>
      <c r="M289" s="564">
        <f t="shared" si="75"/>
        <v>0.12534435261707966</v>
      </c>
      <c r="N289" s="604"/>
      <c r="O289" s="564"/>
      <c r="P289" s="564"/>
      <c r="Q289" s="487">
        <f>SUM(Q287:Q288)</f>
        <v>161.76599999999996</v>
      </c>
      <c r="R289" s="484"/>
      <c r="S289" s="484"/>
      <c r="T289" s="484"/>
      <c r="U289" s="484"/>
      <c r="V289" s="484"/>
      <c r="W289" s="484"/>
      <c r="X289" s="484"/>
      <c r="Y289" s="484"/>
      <c r="Z289" s="484"/>
      <c r="AA289" s="484"/>
      <c r="AB289" s="484"/>
      <c r="AC289" s="484"/>
      <c r="AD289" s="484"/>
      <c r="AE289" s="484"/>
      <c r="AF289" s="484"/>
      <c r="AG289" s="484"/>
      <c r="AH289" s="484"/>
      <c r="AI289" s="484"/>
      <c r="AJ289" s="484"/>
      <c r="AK289" s="484"/>
      <c r="AL289" s="484"/>
      <c r="AM289" s="484"/>
      <c r="AN289" s="484"/>
      <c r="AO289" s="484"/>
      <c r="AP289" s="484"/>
      <c r="AQ289" s="484"/>
    </row>
    <row r="290" spans="2:43" x14ac:dyDescent="0.35">
      <c r="F290" s="258"/>
      <c r="H290" s="482"/>
      <c r="I290" s="482"/>
      <c r="J290" s="482"/>
      <c r="K290" s="484"/>
      <c r="L290" s="484"/>
      <c r="M290" s="484"/>
      <c r="N290" s="563"/>
      <c r="O290" s="605"/>
      <c r="P290" s="605"/>
      <c r="Q290" s="482"/>
      <c r="R290" s="484"/>
      <c r="S290" s="484"/>
      <c r="T290" s="484"/>
      <c r="U290" s="484"/>
      <c r="V290" s="484"/>
      <c r="W290" s="484"/>
      <c r="X290" s="484"/>
      <c r="Y290" s="484"/>
      <c r="Z290" s="484"/>
      <c r="AA290" s="484"/>
      <c r="AB290" s="484"/>
      <c r="AC290" s="484"/>
      <c r="AD290" s="484"/>
      <c r="AE290" s="484"/>
      <c r="AF290" s="484"/>
      <c r="AG290" s="484"/>
      <c r="AH290" s="484"/>
      <c r="AI290" s="484"/>
      <c r="AJ290" s="484"/>
      <c r="AK290" s="484"/>
      <c r="AL290" s="484"/>
      <c r="AM290" s="484"/>
      <c r="AN290" s="484"/>
      <c r="AO290" s="484"/>
      <c r="AP290" s="484"/>
      <c r="AQ290" s="484"/>
    </row>
    <row r="291" spans="2:43" x14ac:dyDescent="0.35">
      <c r="B291" s="64" t="s">
        <v>5</v>
      </c>
      <c r="C291" s="64"/>
      <c r="D291" s="64" t="s">
        <v>285</v>
      </c>
      <c r="F291" s="258"/>
      <c r="G291" s="64"/>
      <c r="H291" s="487"/>
      <c r="I291" s="487"/>
      <c r="J291" s="487"/>
      <c r="K291" s="564"/>
      <c r="L291" s="564"/>
      <c r="M291" s="564"/>
      <c r="N291" s="604"/>
      <c r="O291" s="487"/>
      <c r="P291" s="487"/>
      <c r="Q291" s="487"/>
      <c r="R291" s="484"/>
      <c r="S291" s="484"/>
      <c r="T291" s="484"/>
      <c r="U291" s="484"/>
      <c r="V291" s="484"/>
      <c r="W291" s="484"/>
      <c r="X291" s="484"/>
      <c r="Y291" s="484"/>
      <c r="Z291" s="484"/>
      <c r="AA291" s="484"/>
      <c r="AB291" s="484"/>
      <c r="AC291" s="484"/>
      <c r="AD291" s="484"/>
      <c r="AE291" s="484"/>
      <c r="AF291" s="484"/>
      <c r="AG291" s="484"/>
      <c r="AH291" s="484"/>
      <c r="AI291" s="484"/>
      <c r="AJ291" s="484"/>
      <c r="AK291" s="484"/>
      <c r="AL291" s="484"/>
      <c r="AM291" s="484"/>
      <c r="AN291" s="484"/>
      <c r="AO291" s="484"/>
      <c r="AP291" s="484"/>
      <c r="AQ291" s="484"/>
    </row>
    <row r="292" spans="2:43" x14ac:dyDescent="0.35">
      <c r="B292" s="30" t="str">
        <f t="shared" ref="B292:D298" si="76">B$285</f>
        <v>SAPN</v>
      </c>
      <c r="D292" s="30" t="str">
        <f t="shared" si="76"/>
        <v>controlled load</v>
      </c>
      <c r="E292" s="30" t="s">
        <v>307</v>
      </c>
      <c r="F292" s="258" cm="1">
        <f t="array" ref="F292">_xlfn.XLOOKUP(1,($B292=DistributionZone)*($D292=tariffL2)*($F$5=Description),valuesFY)*
_xlfn.XLOOKUP(1,($B292=DistributionZone)*($D292=tariffL2)*($E292=tariffType)*("Usage proportion"=Description),valuesFY)</f>
        <v>1051.2776831345825</v>
      </c>
      <c r="G292" s="30" t="s">
        <v>57</v>
      </c>
      <c r="H292" s="482" cm="1">
        <f t="array" ref="H292">IFERROR(_xlfn.XLOOKUP(1,($B292=DistributionZone)*('Network cost'!$C292=CustomerType)*('Network cost'!$E292=tariffType)*('Network cost'!H$5=Desc_FixedOrVar)*('Network cost'!$G292=Description),valuesPY),0)</f>
        <v>0</v>
      </c>
      <c r="I292" s="482" cm="1">
        <f t="array" ref="I292">IFERROR(_xlfn.XLOOKUP(1,($B292=DistributionZone)*('Network cost'!$E292=tariffType)*('Network cost'!I$5=Desc_FixedOrVar)*('Network cost'!$G292=Description),valuesPY),0)</f>
        <v>0</v>
      </c>
      <c r="J292" s="482">
        <f>_xlfn.IFNA(H292+I292*F292/1000,0)</f>
        <v>0</v>
      </c>
      <c r="K292" s="484" t="str">
        <f>IFERROR(J292/J294,"")</f>
        <v/>
      </c>
      <c r="L292" s="484"/>
      <c r="M292" s="484" t="str">
        <f>IFERROR(IF(OR(J292=0,J292="",Q292=""),"",Q292/J292-1),0)</f>
        <v/>
      </c>
      <c r="N292" s="563"/>
      <c r="O292" s="482" cm="1">
        <f t="array" ref="O292">IFERROR(_xlfn.XLOOKUP(1,($B292=DistributionZone)*('Network cost'!$C292=CustomerType)*('Network cost'!$E292=tariffType)*('Network cost'!O$5=Desc_FixedOrVar)*('Network cost'!$G292=Description),valuesFY),0)</f>
        <v>0</v>
      </c>
      <c r="P292" s="482" cm="1">
        <f t="array" ref="P292">IFERROR(_xlfn.XLOOKUP(1,($B292=DistributionZone)*('Network cost'!$E292=tariffType)*('Network cost'!P$5=Desc_FixedOrVar)*('Network cost'!$G292=Description),valuesFY),0)</f>
        <v>106.7</v>
      </c>
      <c r="Q292" s="482">
        <f>O292+P292*$F292/1000</f>
        <v>112.17132879045995</v>
      </c>
      <c r="R292" s="484">
        <f>IFERROR(Q292/Q296,"")</f>
        <v>0.73686410433916127</v>
      </c>
      <c r="S292" s="484"/>
      <c r="T292" s="484"/>
      <c r="U292" s="484"/>
      <c r="V292" s="484"/>
      <c r="W292" s="484"/>
      <c r="X292" s="484"/>
      <c r="Y292" s="484"/>
      <c r="Z292" s="484"/>
      <c r="AA292" s="484"/>
      <c r="AB292" s="484"/>
      <c r="AC292" s="484"/>
      <c r="AD292" s="484"/>
      <c r="AE292" s="484"/>
      <c r="AF292" s="484"/>
      <c r="AG292" s="484"/>
      <c r="AH292" s="484"/>
      <c r="AI292" s="484"/>
      <c r="AJ292" s="484"/>
      <c r="AK292" s="484"/>
      <c r="AL292" s="484"/>
      <c r="AM292" s="484"/>
      <c r="AN292" s="484"/>
      <c r="AO292" s="484"/>
      <c r="AP292" s="484"/>
      <c r="AQ292" s="484"/>
    </row>
    <row r="293" spans="2:43" x14ac:dyDescent="0.35">
      <c r="B293" s="30" t="str">
        <f t="shared" si="76"/>
        <v>SAPN</v>
      </c>
      <c r="D293" s="30" t="str">
        <f t="shared" si="76"/>
        <v>controlled load</v>
      </c>
      <c r="E293" s="30" t="s">
        <v>308</v>
      </c>
      <c r="F293" s="258" cm="1">
        <f t="array" ref="F293">_xlfn.XLOOKUP(1,($B293=DistributionZone)*($D293=tariffL2)*($F$5=Description),valuesFY)*
_xlfn.XLOOKUP(1,($B293=DistributionZone)*($D293=tariffL2)*($E293=tariffType)*("Usage proportion"=Description),valuesFY)</f>
        <v>0</v>
      </c>
      <c r="G293" s="30" t="s">
        <v>57</v>
      </c>
      <c r="H293" s="482" cm="1">
        <f t="array" ref="H293">IFERROR(_xlfn.XLOOKUP(1,($B293=DistributionZone)*('Network cost'!$C293=CustomerType)*('Network cost'!$E293=tariffType)*('Network cost'!H$5=Desc_FixedOrVar)*('Network cost'!$G293=Description),valuesPY),0)</f>
        <v>0</v>
      </c>
      <c r="I293" s="482" cm="1">
        <f t="array" ref="I293">IFERROR(_xlfn.XLOOKUP(1,($B293=DistributionZone)*('Network cost'!$E293=tariffType)*('Network cost'!I$5=Desc_FixedOrVar)*('Network cost'!$G293=Description),valuesPY),0)</f>
        <v>0</v>
      </c>
      <c r="J293" s="482">
        <f>_xlfn.IFNA(H293+I293*F293/1000,0)</f>
        <v>0</v>
      </c>
      <c r="K293" s="484" t="str">
        <f t="shared" ref="K293:K294" si="77">IFERROR(J293/J295,"")</f>
        <v/>
      </c>
      <c r="L293" s="484"/>
      <c r="M293" s="484" t="str">
        <f>IFERROR(IF(OR(J293=0,J293="",Q293=""),"",Q293/J293-1),0)</f>
        <v/>
      </c>
      <c r="N293" s="563"/>
      <c r="O293" s="482" cm="1">
        <f t="array" ref="O293">IFERROR(_xlfn.XLOOKUP(1,($B293=DistributionZone)*('Network cost'!$C293=CustomerType)*('Network cost'!$E293=tariffType)*('Network cost'!O$5=Desc_FixedOrVar)*('Network cost'!$G293=Description),valuesFY),0)</f>
        <v>0</v>
      </c>
      <c r="P293" s="482" cm="1">
        <f t="array" ref="P293">IFERROR(_xlfn.XLOOKUP(1,($B293=DistributionZone)*('Network cost'!$E293=tariffType)*('Network cost'!P$5=Desc_FixedOrVar)*('Network cost'!$G293=Description),valuesFY),0)</f>
        <v>213.29999999999998</v>
      </c>
      <c r="Q293" s="482">
        <f>O293+P293*$F293/1000</f>
        <v>0</v>
      </c>
      <c r="R293" s="484">
        <f>IFERROR(Q293/Q297,"")</f>
        <v>0</v>
      </c>
      <c r="S293" s="484"/>
      <c r="T293" s="484"/>
      <c r="U293" s="484"/>
      <c r="V293" s="484"/>
      <c r="W293" s="484"/>
      <c r="X293" s="484"/>
      <c r="Y293" s="484"/>
      <c r="Z293" s="484"/>
      <c r="AA293" s="484"/>
      <c r="AB293" s="484"/>
      <c r="AC293" s="484"/>
      <c r="AD293" s="484"/>
      <c r="AE293" s="484"/>
      <c r="AF293" s="484"/>
      <c r="AG293" s="484"/>
      <c r="AH293" s="484"/>
      <c r="AI293" s="484"/>
      <c r="AJ293" s="484"/>
      <c r="AK293" s="484"/>
      <c r="AL293" s="484"/>
      <c r="AM293" s="484"/>
      <c r="AN293" s="484"/>
      <c r="AO293" s="484"/>
      <c r="AP293" s="484"/>
      <c r="AQ293" s="484"/>
    </row>
    <row r="294" spans="2:43" x14ac:dyDescent="0.35">
      <c r="B294" s="30" t="str">
        <f t="shared" si="76"/>
        <v>SAPN</v>
      </c>
      <c r="D294" s="30" t="str">
        <f t="shared" si="76"/>
        <v>controlled load</v>
      </c>
      <c r="E294" s="30" t="s">
        <v>309</v>
      </c>
      <c r="F294" s="258" cm="1">
        <f t="array" ref="F294">_xlfn.XLOOKUP(1,($B294=DistributionZone)*($D294=tariffL2)*($F$5=Description),valuesFY)*
_xlfn.XLOOKUP(1,($B294=DistributionZone)*($D294=tariffL2)*($E294=tariffType)*("Usage proportion"=Description),valuesFY)</f>
        <v>748.72231686541716</v>
      </c>
      <c r="G294" s="30" t="s">
        <v>57</v>
      </c>
      <c r="H294" s="482" cm="1">
        <f t="array" ref="H294">IFERROR(_xlfn.XLOOKUP(1,($B294=DistributionZone)*('Network cost'!$C294=CustomerType)*('Network cost'!$E294=tariffType)*('Network cost'!H$5=Desc_FixedOrVar)*('Network cost'!$G294=Description),valuesPY),0)*_xlfn.XLOOKUP(1,($B294=DistributionZone)*("CL1 Proportion"=Description),valuesPY)</f>
        <v>0</v>
      </c>
      <c r="I294" s="482" cm="1">
        <f t="array" ref="I294">IFERROR(_xlfn.XLOOKUP(1,($B294=DistributionZone)*('Network cost'!$E294=tariffType)*('Network cost'!I$5=Desc_FixedOrVar)*('Network cost'!$G294=Description),valuesPY),0)</f>
        <v>0</v>
      </c>
      <c r="J294" s="482">
        <f t="shared" ref="J294" si="78">H294+I294*F294/1000</f>
        <v>0</v>
      </c>
      <c r="K294" s="484" t="str">
        <f t="shared" si="77"/>
        <v/>
      </c>
      <c r="L294" s="484"/>
      <c r="M294" s="484" t="str">
        <f t="shared" ref="M294" si="79">IF(OR(J294=0,J294="",Q294=""),"",Q294/J294-1)</f>
        <v/>
      </c>
      <c r="N294" s="563"/>
      <c r="O294" s="482" cm="1">
        <f t="array" ref="O294">IFERROR(_xlfn.XLOOKUP(1,($B294=DistributionZone)*('Network cost'!$C294=CustomerType)*('Network cost'!$E294=tariffType)*('Network cost'!O$5=Desc_FixedOrVar)*('Network cost'!$G294=Description),valuesFY),0)</f>
        <v>0</v>
      </c>
      <c r="P294" s="482" cm="1">
        <f t="array" ref="P294">IFERROR(_xlfn.XLOOKUP(1,($B294=DistributionZone)*('Network cost'!$E294=tariffType)*('Network cost'!P$5=Desc_FixedOrVar)*('Network cost'!$G294=Description),valuesFY),0)</f>
        <v>53.5</v>
      </c>
      <c r="Q294" s="482">
        <f>O294+P294*$F294/1000</f>
        <v>40.056643952299822</v>
      </c>
      <c r="R294" s="484">
        <f>IFERROR(Q294/Q296,"")</f>
        <v>0.26313589566083861</v>
      </c>
      <c r="S294" s="484"/>
      <c r="T294" s="484"/>
      <c r="U294" s="484"/>
      <c r="V294" s="484"/>
      <c r="W294" s="484"/>
      <c r="X294" s="484"/>
      <c r="Y294" s="484"/>
      <c r="Z294" s="484"/>
      <c r="AA294" s="484"/>
      <c r="AB294" s="484"/>
      <c r="AC294" s="484"/>
      <c r="AD294" s="484"/>
      <c r="AE294" s="484"/>
      <c r="AF294" s="484"/>
      <c r="AG294" s="484"/>
      <c r="AH294" s="484"/>
      <c r="AI294" s="484"/>
      <c r="AJ294" s="484"/>
      <c r="AK294" s="484"/>
      <c r="AL294" s="484"/>
      <c r="AM294" s="484"/>
      <c r="AN294" s="484"/>
      <c r="AO294" s="484"/>
      <c r="AP294" s="484"/>
      <c r="AQ294" s="484"/>
    </row>
    <row r="295" spans="2:43" x14ac:dyDescent="0.35">
      <c r="B295" s="30" t="str">
        <f t="shared" si="76"/>
        <v>SAPN</v>
      </c>
      <c r="D295" s="30" t="str">
        <f t="shared" si="76"/>
        <v>controlled load</v>
      </c>
      <c r="E295" s="30" t="s">
        <v>14</v>
      </c>
      <c r="F295" s="258" cm="1">
        <f t="array" ref="F295">_xlfn.XLOOKUP(1,($B295=DistributionZone)*($D295=tariffL2)*($F$5=Description),valuesFY)</f>
        <v>1800</v>
      </c>
      <c r="G295" s="570" t="s">
        <v>61</v>
      </c>
      <c r="H295" s="482" cm="1">
        <f t="array" ref="H295">IFERROR(_xlfn.XLOOKUP(1,($B295=DistributionZone)*('Network cost'!$C295=CustomerType)*('Network cost'!$E295=tariffType)*('Network cost'!H$5=Desc_FixedOrVar)*('Network cost'!$G295=Description),valuesPY),0)*_xlfn.XLOOKUP(1,($B295=DistributionZone)*("CL1 Proportion"=Description),valuesPY)</f>
        <v>0</v>
      </c>
      <c r="I295" s="482" cm="1">
        <f t="array" ref="I295">IFERROR(_xlfn.XLOOKUP(1,($B295=DistributionZone)*('Network cost'!$C295=CustomerType)*('Network cost'!$E295=tariffType)*('Network cost'!I$5=Desc_FixedOrVar)*('Network cost'!$G295=Description),valuesPY),0)</f>
        <v>0</v>
      </c>
      <c r="J295" s="482">
        <f>H295+I295*F295/1000</f>
        <v>0</v>
      </c>
      <c r="K295" s="484" t="str">
        <f>IFERROR(J295/J297,"")</f>
        <v/>
      </c>
      <c r="L295" s="567"/>
      <c r="M295" s="484" t="str">
        <f>IF(OR(J295=0,J295="",Q295=""),"",Q295/J295-1)</f>
        <v/>
      </c>
      <c r="N295" s="568"/>
      <c r="O295" s="605" cm="1">
        <f t="array" ref="O295">IFERROR(_xlfn.XLOOKUP(1,($B295=DistributionZone)*('Network cost'!$C295=CustomerType)*('Network cost'!$E295=tariffType)*('Network cost'!O$5=Desc_FixedOrVar)*('Network cost'!$G295=Description),valuesFY),0)</f>
        <v>0</v>
      </c>
      <c r="P295" s="605" cm="1">
        <f t="array" ref="P295">IFERROR(_xlfn.XLOOKUP(1,($B295=DistributionZone)*('Network cost'!$C295=CustomerType)*('Network cost'!$E295=tariffType)*('Network cost'!P$5=Desc_FixedOrVar)*('Network cost'!$G295=Description),valuesFY),0)</f>
        <v>0</v>
      </c>
      <c r="Q295" s="482">
        <f>O295+P295*$F295/1000</f>
        <v>0</v>
      </c>
      <c r="R295" s="484">
        <f>IFERROR(Q295/Q296,"")</f>
        <v>0</v>
      </c>
      <c r="S295" s="484"/>
      <c r="T295" s="484"/>
      <c r="U295" s="484"/>
      <c r="V295" s="484"/>
      <c r="W295" s="484"/>
      <c r="X295" s="484"/>
      <c r="Y295" s="484"/>
      <c r="Z295" s="484"/>
      <c r="AA295" s="484"/>
      <c r="AB295" s="484"/>
      <c r="AC295" s="484"/>
      <c r="AD295" s="484"/>
      <c r="AE295" s="484"/>
      <c r="AF295" s="484"/>
      <c r="AG295" s="484"/>
      <c r="AH295" s="484"/>
      <c r="AI295" s="484"/>
      <c r="AJ295" s="484"/>
      <c r="AK295" s="484"/>
      <c r="AL295" s="484"/>
      <c r="AM295" s="484"/>
      <c r="AN295" s="484"/>
      <c r="AO295" s="484"/>
      <c r="AP295" s="484"/>
      <c r="AQ295" s="484"/>
    </row>
    <row r="296" spans="2:43" x14ac:dyDescent="0.35">
      <c r="B296" s="30" t="str">
        <f t="shared" si="76"/>
        <v>SAPN</v>
      </c>
      <c r="D296" s="30" t="str">
        <f t="shared" si="76"/>
        <v>controlled load</v>
      </c>
      <c r="E296" s="30" t="s">
        <v>371</v>
      </c>
      <c r="F296" s="258">
        <f>F295</f>
        <v>1800</v>
      </c>
      <c r="G296" s="64" t="s">
        <v>55</v>
      </c>
      <c r="H296" s="487">
        <f>SUM(H294:H295)</f>
        <v>0</v>
      </c>
      <c r="I296" s="487">
        <f>SUM(I294:I294)</f>
        <v>0</v>
      </c>
      <c r="J296" s="487">
        <f>H296+I296*F296/1000</f>
        <v>0</v>
      </c>
      <c r="K296" s="564"/>
      <c r="L296" s="565"/>
      <c r="M296" s="564" t="str">
        <f t="shared" ref="M296:M298" si="80">IF(OR(J296=0,J296="",Q296=""),"",Q296/J296-1)</f>
        <v/>
      </c>
      <c r="N296" s="566"/>
      <c r="O296" s="487">
        <f>SUM(O294:O295)</f>
        <v>0</v>
      </c>
      <c r="P296" s="487">
        <f>SUM(P292:P295)</f>
        <v>373.5</v>
      </c>
      <c r="Q296" s="487">
        <f>SUM(Q292:Q295)</f>
        <v>152.22797274275979</v>
      </c>
      <c r="R296" s="484"/>
      <c r="S296" s="484"/>
      <c r="T296" s="484"/>
      <c r="U296" s="484"/>
      <c r="V296" s="484"/>
      <c r="W296" s="484"/>
      <c r="X296" s="484"/>
      <c r="Y296" s="484"/>
      <c r="Z296" s="484"/>
      <c r="AA296" s="484"/>
      <c r="AB296" s="484"/>
      <c r="AC296" s="484"/>
      <c r="AD296" s="484"/>
      <c r="AE296" s="484"/>
      <c r="AF296" s="484"/>
      <c r="AG296" s="484"/>
      <c r="AH296" s="484"/>
      <c r="AI296" s="484"/>
      <c r="AJ296" s="484"/>
      <c r="AK296" s="484"/>
      <c r="AL296" s="484"/>
      <c r="AM296" s="484"/>
      <c r="AN296" s="484"/>
      <c r="AO296" s="484"/>
      <c r="AP296" s="484"/>
      <c r="AQ296" s="484"/>
    </row>
    <row r="297" spans="2:43" ht="13.5" customHeight="1" x14ac:dyDescent="0.35">
      <c r="B297" s="30" t="str">
        <f t="shared" si="76"/>
        <v>SAPN</v>
      </c>
      <c r="D297" s="30" t="str">
        <f t="shared" si="76"/>
        <v>controlled load</v>
      </c>
      <c r="E297" s="30" t="s">
        <v>371</v>
      </c>
      <c r="F297" s="258"/>
      <c r="G297" s="30" t="s">
        <v>38</v>
      </c>
      <c r="H297" s="482"/>
      <c r="I297" s="482"/>
      <c r="J297" s="482">
        <f>J296*GST</f>
        <v>0</v>
      </c>
      <c r="K297" s="484"/>
      <c r="L297" s="567"/>
      <c r="M297" s="484" t="str">
        <f t="shared" si="80"/>
        <v/>
      </c>
      <c r="N297" s="568"/>
      <c r="O297" s="482"/>
      <c r="P297" s="482"/>
      <c r="Q297" s="482">
        <f>Q296*GST</f>
        <v>15.22279727427598</v>
      </c>
      <c r="R297" s="484"/>
      <c r="S297" s="484"/>
      <c r="T297" s="484"/>
      <c r="U297" s="484"/>
      <c r="V297" s="484"/>
      <c r="W297" s="484"/>
      <c r="X297" s="484"/>
      <c r="Y297" s="484"/>
      <c r="Z297" s="484"/>
      <c r="AA297" s="484"/>
      <c r="AB297" s="484"/>
      <c r="AC297" s="484"/>
      <c r="AD297" s="484"/>
      <c r="AE297" s="484"/>
      <c r="AF297" s="484"/>
      <c r="AG297" s="484"/>
      <c r="AH297" s="484"/>
      <c r="AI297" s="484"/>
      <c r="AJ297" s="484"/>
      <c r="AK297" s="484"/>
      <c r="AL297" s="484"/>
      <c r="AM297" s="484"/>
      <c r="AN297" s="484"/>
      <c r="AO297" s="484"/>
      <c r="AP297" s="484"/>
      <c r="AQ297" s="484"/>
    </row>
    <row r="298" spans="2:43" x14ac:dyDescent="0.35">
      <c r="B298" s="30" t="str">
        <f t="shared" si="76"/>
        <v>SAPN</v>
      </c>
      <c r="D298" s="30" t="str">
        <f t="shared" si="76"/>
        <v>controlled load</v>
      </c>
      <c r="E298" s="30" t="s">
        <v>371</v>
      </c>
      <c r="F298" s="258"/>
      <c r="G298" s="64" t="s">
        <v>79</v>
      </c>
      <c r="H298" s="482"/>
      <c r="I298" s="482"/>
      <c r="J298" s="487">
        <f>SUM(J296:J297)</f>
        <v>0</v>
      </c>
      <c r="K298" s="564"/>
      <c r="L298" s="565"/>
      <c r="M298" s="564" t="str">
        <f t="shared" si="80"/>
        <v/>
      </c>
      <c r="N298" s="566"/>
      <c r="O298" s="487"/>
      <c r="P298" s="487"/>
      <c r="Q298" s="487">
        <f>SUM(Q296:Q297)</f>
        <v>167.45077001703578</v>
      </c>
      <c r="R298" s="564"/>
      <c r="S298" s="564"/>
      <c r="T298" s="484"/>
      <c r="U298" s="564"/>
      <c r="V298" s="564"/>
      <c r="W298" s="564"/>
      <c r="X298" s="564"/>
      <c r="Y298" s="564"/>
      <c r="Z298" s="564"/>
      <c r="AA298" s="564"/>
      <c r="AB298" s="564"/>
      <c r="AC298" s="564"/>
      <c r="AD298" s="564"/>
      <c r="AE298" s="564"/>
      <c r="AF298" s="564"/>
      <c r="AG298" s="564"/>
      <c r="AH298" s="564"/>
      <c r="AI298" s="564"/>
      <c r="AJ298" s="564"/>
      <c r="AK298" s="564"/>
      <c r="AL298" s="564"/>
      <c r="AM298" s="564"/>
      <c r="AN298" s="564"/>
      <c r="AO298" s="564"/>
      <c r="AP298" s="564"/>
      <c r="AQ298" s="564"/>
    </row>
    <row r="299" spans="2:43" x14ac:dyDescent="0.35">
      <c r="F299" s="258"/>
      <c r="G299" s="64"/>
      <c r="H299" s="482"/>
      <c r="I299" s="482"/>
      <c r="J299" s="487"/>
      <c r="K299" s="564"/>
      <c r="L299" s="565"/>
      <c r="M299" s="564"/>
      <c r="N299" s="566"/>
      <c r="O299" s="487"/>
      <c r="P299" s="487"/>
      <c r="Q299" s="487"/>
      <c r="R299" s="564"/>
      <c r="S299" s="564"/>
      <c r="T299" s="484"/>
      <c r="U299" s="564"/>
      <c r="V299" s="564"/>
      <c r="W299" s="564"/>
      <c r="X299" s="564"/>
      <c r="Y299" s="564"/>
      <c r="Z299" s="564"/>
      <c r="AA299" s="564"/>
      <c r="AB299" s="564"/>
      <c r="AC299" s="564"/>
      <c r="AD299" s="564"/>
      <c r="AE299" s="564"/>
      <c r="AF299" s="564"/>
      <c r="AG299" s="564"/>
      <c r="AH299" s="564"/>
      <c r="AI299" s="564"/>
      <c r="AJ299" s="564"/>
      <c r="AK299" s="564"/>
      <c r="AL299" s="564"/>
      <c r="AM299" s="564"/>
      <c r="AN299" s="564"/>
      <c r="AO299" s="564"/>
      <c r="AP299" s="564"/>
      <c r="AQ299" s="564"/>
    </row>
    <row r="300" spans="2:43" x14ac:dyDescent="0.35">
      <c r="F300" s="568"/>
      <c r="H300" s="482"/>
      <c r="I300" s="482"/>
      <c r="J300" s="482"/>
      <c r="K300" s="484"/>
      <c r="L300" s="484"/>
      <c r="M300" s="484"/>
      <c r="N300" s="563"/>
      <c r="O300" s="482"/>
      <c r="P300" s="482"/>
      <c r="Q300" s="482"/>
      <c r="R300" s="567"/>
      <c r="S300" s="567"/>
      <c r="T300" s="484"/>
      <c r="U300" s="567"/>
      <c r="V300" s="567"/>
      <c r="W300" s="567"/>
      <c r="X300" s="567"/>
      <c r="Y300" s="567"/>
      <c r="Z300" s="567"/>
      <c r="AA300" s="567"/>
      <c r="AB300" s="567"/>
      <c r="AC300" s="567"/>
      <c r="AD300" s="567"/>
      <c r="AE300" s="567"/>
      <c r="AF300" s="567"/>
      <c r="AG300" s="567"/>
      <c r="AH300" s="567"/>
      <c r="AI300" s="567"/>
      <c r="AJ300" s="567"/>
      <c r="AK300" s="567"/>
      <c r="AL300" s="567"/>
      <c r="AM300" s="567"/>
      <c r="AN300" s="567"/>
      <c r="AO300" s="567"/>
      <c r="AP300" s="567"/>
      <c r="AQ300" s="567"/>
    </row>
    <row r="301" spans="2:43" x14ac:dyDescent="0.35">
      <c r="B301" s="64" t="s">
        <v>5</v>
      </c>
      <c r="C301" s="64" t="s">
        <v>13</v>
      </c>
      <c r="D301" s="64" t="s">
        <v>276</v>
      </c>
      <c r="F301" s="258"/>
      <c r="H301" s="482"/>
      <c r="I301" s="482"/>
      <c r="J301" s="482"/>
      <c r="K301" s="484"/>
      <c r="L301" s="484"/>
      <c r="M301" s="484"/>
      <c r="N301" s="563"/>
      <c r="O301" s="482"/>
      <c r="P301" s="482"/>
      <c r="Q301" s="482"/>
      <c r="R301" s="484"/>
      <c r="S301" s="484"/>
      <c r="T301" s="484"/>
      <c r="U301" s="484"/>
      <c r="V301" s="484"/>
      <c r="W301" s="484"/>
      <c r="X301" s="484"/>
      <c r="Y301" s="484"/>
      <c r="Z301" s="484"/>
      <c r="AA301" s="484"/>
      <c r="AB301" s="484"/>
      <c r="AC301" s="484"/>
      <c r="AD301" s="484"/>
      <c r="AE301" s="484"/>
      <c r="AF301" s="484"/>
      <c r="AG301" s="484"/>
      <c r="AH301" s="484"/>
      <c r="AI301" s="484"/>
      <c r="AJ301" s="484"/>
      <c r="AK301" s="484"/>
      <c r="AL301" s="484"/>
      <c r="AM301" s="484"/>
      <c r="AN301" s="484"/>
      <c r="AO301" s="484"/>
      <c r="AP301" s="484"/>
      <c r="AQ301" s="484"/>
    </row>
    <row r="302" spans="2:43" x14ac:dyDescent="0.35">
      <c r="B302" s="30" t="str">
        <f t="shared" ref="B302:D306" si="81">B301</f>
        <v>SAPN</v>
      </c>
      <c r="C302" s="30" t="str">
        <f t="shared" si="81"/>
        <v>Small business</v>
      </c>
      <c r="D302" s="30" t="str">
        <f t="shared" si="81"/>
        <v>flat rate</v>
      </c>
      <c r="E302" s="30" t="s">
        <v>19</v>
      </c>
      <c r="F302" s="258" cm="1">
        <f t="array" ref="F302">_xlfn.XLOOKUP(1,($B302=DistributionZone)*('Network cost'!$C302=CustomerType)*('Network cost'!$D302=tariffL2)*($F$5=Description),valuesFY)</f>
        <v>10000</v>
      </c>
      <c r="G302" s="30" t="s">
        <v>57</v>
      </c>
      <c r="H302" s="482" cm="1">
        <f t="array" ref="H302">IFERROR(_xlfn.XLOOKUP(1,($B302=DistributionZone)*('Network cost'!$C302=CustomerType)*('Network cost'!$E302=tariffType)*('Network cost'!H$5=Desc_FixedOrVar)*('Network cost'!$G302=Description),valuesPY),0)</f>
        <v>232.22824947221005</v>
      </c>
      <c r="I302" s="482" cm="1">
        <f t="array" ref="I302">IFERROR(_xlfn.XLOOKUP(1,($B302=DistributionZone)*('Network cost'!$C302=CustomerType)*('Network cost'!$E302=tariffType)*('Network cost'!I$5=Desc_FixedOrVar)*('Network cost'!$G302=Description),valuesPY),0)</f>
        <v>183.29999999999998</v>
      </c>
      <c r="J302" s="482">
        <f>H302+I302*F302/1000</f>
        <v>2065.2282494722099</v>
      </c>
      <c r="K302" s="484">
        <f>IFERROR(J302/J304,"")</f>
        <v>0.99551909081537071</v>
      </c>
      <c r="L302" s="484"/>
      <c r="M302" s="484">
        <f>IF(OR(J302=0,J302="",Q302=""),"",Q302/J302-1)</f>
        <v>4.4221300604807112E-2</v>
      </c>
      <c r="N302" s="563"/>
      <c r="O302" s="482" cm="1">
        <f t="array" ref="O302">IFERROR(_xlfn.XLOOKUP(1,($B302=DistributionZone)*('Network cost'!$C302=CustomerType)*('Network cost'!$E302=tariffType)*('Network cost'!O$5=Desc_FixedOrVar)*('Network cost'!$G302=Description),valuesFY),0)</f>
        <v>242.55532870966022</v>
      </c>
      <c r="P302" s="482" cm="1">
        <f t="array" ref="P302">IFERROR(_xlfn.XLOOKUP(1,($B302=DistributionZone)*('Network cost'!$C302=CustomerType)*('Network cost'!$E302=tariffType)*('Network cost'!P$5=Desc_FixedOrVar)*('Network cost'!$G302=Description),valuesFY),0)</f>
        <v>191.4</v>
      </c>
      <c r="Q302" s="482">
        <f>O302+P302*$F302/1000</f>
        <v>2156.55532870966</v>
      </c>
      <c r="R302" s="484">
        <f>IFERROR(Q302/Q304,"")</f>
        <v>0.99558845368910598</v>
      </c>
      <c r="S302" s="484"/>
      <c r="T302" s="484"/>
      <c r="U302" s="484"/>
      <c r="V302" s="484"/>
      <c r="W302" s="484"/>
      <c r="X302" s="484"/>
      <c r="Y302" s="484"/>
      <c r="Z302" s="484"/>
      <c r="AA302" s="484"/>
      <c r="AB302" s="484"/>
      <c r="AC302" s="484"/>
      <c r="AD302" s="484"/>
      <c r="AE302" s="484"/>
      <c r="AF302" s="484"/>
      <c r="AG302" s="484"/>
      <c r="AH302" s="484"/>
      <c r="AI302" s="484"/>
      <c r="AJ302" s="484"/>
      <c r="AK302" s="484"/>
      <c r="AL302" s="484"/>
      <c r="AM302" s="484"/>
      <c r="AN302" s="484"/>
      <c r="AO302" s="484"/>
      <c r="AP302" s="484"/>
      <c r="AQ302" s="484"/>
    </row>
    <row r="303" spans="2:43" x14ac:dyDescent="0.35">
      <c r="B303" s="30" t="str">
        <f t="shared" si="81"/>
        <v>SAPN</v>
      </c>
      <c r="C303" s="30" t="str">
        <f t="shared" si="81"/>
        <v>Small business</v>
      </c>
      <c r="D303" s="30" t="str">
        <f t="shared" si="81"/>
        <v>flat rate</v>
      </c>
      <c r="E303" s="30" t="s">
        <v>19</v>
      </c>
      <c r="F303" s="258" cm="1">
        <f t="array" ref="F303">_xlfn.XLOOKUP(1,($B303=DistributionZone)*('Network cost'!$C303=CustomerType)*('Network cost'!$D303=tariffL2)*($F$5=Description),valuesFY)</f>
        <v>10000</v>
      </c>
      <c r="G303" s="30" t="s">
        <v>61</v>
      </c>
      <c r="H303" s="482" cm="1">
        <f t="array" ref="H303">IFERROR(_xlfn.XLOOKUP(1,($B303=DistributionZone)*('Network cost'!$C303=CustomerType)*('Network cost'!$E303=tariffType)*('Network cost'!H$5=Desc_FixedOrVar)*('Network cost'!$G303=Description),valuesPY),0)</f>
        <v>9.2957536593661754</v>
      </c>
      <c r="I303" s="482" cm="1">
        <f t="array" ref="I303">IFERROR(_xlfn.XLOOKUP(1,($B303=DistributionZone)*('Network cost'!$C303=CustomerType)*('Network cost'!$E303=tariffType)*('Network cost'!I$5=Desc_FixedOrVar)*('Network cost'!$G303=Description),valuesPY),0)</f>
        <v>0</v>
      </c>
      <c r="J303" s="482">
        <f>H303+I303*F303/1000</f>
        <v>9.2957536593661754</v>
      </c>
      <c r="K303" s="484">
        <f>IFERROR(J303/J304,"")</f>
        <v>4.4809091846292771E-3</v>
      </c>
      <c r="L303" s="484"/>
      <c r="M303" s="484">
        <f>IF(OR(J303=0,J303="",Q303=""),"",Q303/J303-1)</f>
        <v>2.7985502861481937E-2</v>
      </c>
      <c r="N303" s="563"/>
      <c r="O303" s="482" cm="1">
        <f t="array" ref="O303">IFERROR(_xlfn.XLOOKUP(1,($B303=DistributionZone)*('Network cost'!$C303=CustomerType)*('Network cost'!$E303=tariffType)*('Network cost'!O$5=Desc_FixedOrVar)*('Network cost'!$G303=Description),valuesFY),0)</f>
        <v>9.5558999999999994</v>
      </c>
      <c r="P303" s="482" cm="1">
        <f t="array" ref="P303">IFERROR(_xlfn.XLOOKUP(1,($B303=DistributionZone)*('Network cost'!$C303=CustomerType)*('Network cost'!$E303=tariffType)*('Network cost'!P$5=Desc_FixedOrVar)*('Network cost'!$G303=Description),valuesFY),0)</f>
        <v>0</v>
      </c>
      <c r="Q303" s="482">
        <f>O303+P303*$F303/1000</f>
        <v>9.5558999999999994</v>
      </c>
      <c r="R303" s="484">
        <f>IFERROR(Q303/Q304,"")</f>
        <v>4.4115463108939205E-3</v>
      </c>
      <c r="S303" s="484"/>
      <c r="T303" s="484"/>
      <c r="U303" s="484"/>
      <c r="V303" s="484"/>
      <c r="W303" s="484"/>
      <c r="X303" s="484"/>
      <c r="Y303" s="484"/>
      <c r="Z303" s="484"/>
      <c r="AA303" s="484"/>
      <c r="AB303" s="484"/>
      <c r="AC303" s="484"/>
      <c r="AD303" s="484"/>
      <c r="AE303" s="484"/>
      <c r="AF303" s="484"/>
      <c r="AG303" s="484"/>
      <c r="AH303" s="484"/>
      <c r="AI303" s="484"/>
      <c r="AJ303" s="484"/>
      <c r="AK303" s="484"/>
      <c r="AL303" s="484"/>
      <c r="AM303" s="484"/>
      <c r="AN303" s="484"/>
      <c r="AO303" s="484"/>
      <c r="AP303" s="484"/>
      <c r="AQ303" s="484"/>
    </row>
    <row r="304" spans="2:43" x14ac:dyDescent="0.35">
      <c r="B304" s="30" t="str">
        <f t="shared" si="81"/>
        <v>SAPN</v>
      </c>
      <c r="C304" s="30" t="str">
        <f t="shared" si="81"/>
        <v>Small business</v>
      </c>
      <c r="D304" s="30" t="str">
        <f t="shared" si="81"/>
        <v>flat rate</v>
      </c>
      <c r="E304" s="30" t="s">
        <v>19</v>
      </c>
      <c r="F304" s="258" cm="1">
        <f t="array" ref="F304">_xlfn.XLOOKUP(1,($B304=DistributionZone)*('Network cost'!$C304=CustomerType)*('Network cost'!$D304=tariffL2)*($F$5=Description),valuesFY)</f>
        <v>10000</v>
      </c>
      <c r="G304" s="64" t="s">
        <v>55</v>
      </c>
      <c r="H304" s="487">
        <f>+H303+H302</f>
        <v>241.52400313157622</v>
      </c>
      <c r="I304" s="487">
        <f>+I303+I302</f>
        <v>183.29999999999998</v>
      </c>
      <c r="J304" s="487">
        <f>H304+I304*F304/1000</f>
        <v>2074.5240031315761</v>
      </c>
      <c r="K304" s="564"/>
      <c r="L304" s="565"/>
      <c r="M304" s="564">
        <f>IF(OR(J304=0,J304="",Q304=""),"",Q304/J304-1)</f>
        <v>4.4148549469579246E-2</v>
      </c>
      <c r="N304" s="566"/>
      <c r="O304" s="487">
        <f>SUM(O302:O303)</f>
        <v>252.11122870966022</v>
      </c>
      <c r="P304" s="487">
        <f>SUM(P302:P303)</f>
        <v>191.4</v>
      </c>
      <c r="Q304" s="487">
        <f>O304+P304*$F304/1000</f>
        <v>2166.1112287096603</v>
      </c>
      <c r="R304" s="484"/>
      <c r="S304" s="484"/>
      <c r="T304" s="484"/>
      <c r="U304" s="484"/>
      <c r="V304" s="484"/>
      <c r="W304" s="484"/>
      <c r="X304" s="484"/>
      <c r="Y304" s="484"/>
      <c r="Z304" s="484"/>
      <c r="AA304" s="484"/>
      <c r="AB304" s="484"/>
      <c r="AC304" s="484"/>
      <c r="AD304" s="484"/>
      <c r="AE304" s="484"/>
      <c r="AF304" s="484"/>
      <c r="AG304" s="484"/>
      <c r="AH304" s="484"/>
      <c r="AI304" s="484"/>
      <c r="AJ304" s="484"/>
      <c r="AK304" s="484"/>
      <c r="AL304" s="484"/>
      <c r="AM304" s="484"/>
      <c r="AN304" s="484"/>
      <c r="AO304" s="484"/>
      <c r="AP304" s="484"/>
      <c r="AQ304" s="484"/>
    </row>
    <row r="305" spans="2:43" x14ac:dyDescent="0.35">
      <c r="B305" s="30" t="str">
        <f t="shared" si="81"/>
        <v>SAPN</v>
      </c>
      <c r="C305" s="30" t="str">
        <f t="shared" si="81"/>
        <v>Small business</v>
      </c>
      <c r="D305" s="30" t="str">
        <f t="shared" si="81"/>
        <v>flat rate</v>
      </c>
      <c r="F305" s="568"/>
      <c r="G305" s="30" t="s">
        <v>38</v>
      </c>
      <c r="H305" s="482"/>
      <c r="I305" s="482"/>
      <c r="J305" s="482">
        <f>J304*GST</f>
        <v>207.45240031315763</v>
      </c>
      <c r="K305" s="484"/>
      <c r="L305" s="567"/>
      <c r="M305" s="484">
        <f>IF(OR(J305=0,J305="",Q305=""),"",Q305/J305-1)</f>
        <v>4.4148549469579246E-2</v>
      </c>
      <c r="N305" s="568"/>
      <c r="O305" s="482"/>
      <c r="P305" s="482"/>
      <c r="Q305" s="482">
        <f>Q304*GST</f>
        <v>216.61112287096603</v>
      </c>
      <c r="R305" s="567"/>
      <c r="S305" s="567"/>
      <c r="T305" s="484"/>
      <c r="U305" s="567"/>
      <c r="V305" s="567"/>
      <c r="W305" s="567"/>
      <c r="X305" s="567"/>
      <c r="Y305" s="567"/>
      <c r="Z305" s="567"/>
      <c r="AA305" s="567"/>
      <c r="AB305" s="567"/>
      <c r="AC305" s="567"/>
      <c r="AD305" s="567"/>
      <c r="AE305" s="567"/>
      <c r="AF305" s="567"/>
      <c r="AG305" s="567"/>
      <c r="AH305" s="567"/>
      <c r="AI305" s="567"/>
      <c r="AJ305" s="567"/>
      <c r="AK305" s="567"/>
      <c r="AL305" s="567"/>
      <c r="AM305" s="567"/>
      <c r="AN305" s="567"/>
      <c r="AO305" s="567"/>
      <c r="AP305" s="567"/>
      <c r="AQ305" s="567"/>
    </row>
    <row r="306" spans="2:43" x14ac:dyDescent="0.35">
      <c r="B306" s="30" t="str">
        <f t="shared" si="81"/>
        <v>SAPN</v>
      </c>
      <c r="C306" s="30" t="str">
        <f t="shared" si="81"/>
        <v>Small business</v>
      </c>
      <c r="D306" s="30" t="str">
        <f t="shared" si="81"/>
        <v>flat rate</v>
      </c>
      <c r="E306" s="30" t="s">
        <v>19</v>
      </c>
      <c r="F306" s="568"/>
      <c r="G306" s="64" t="s">
        <v>79</v>
      </c>
      <c r="H306" s="487"/>
      <c r="I306" s="487"/>
      <c r="J306" s="487">
        <f>SUM(J304:J305)</f>
        <v>2281.9764034447339</v>
      </c>
      <c r="K306" s="564"/>
      <c r="L306" s="565"/>
      <c r="M306" s="564">
        <f>IF(OR(J306=0,J306="",Q306=""),"",Q306/J306-1)</f>
        <v>4.4148549469579246E-2</v>
      </c>
      <c r="N306" s="566"/>
      <c r="O306" s="487"/>
      <c r="P306" s="487"/>
      <c r="Q306" s="487">
        <f>SUM(Q304:Q305)</f>
        <v>2382.7223515806263</v>
      </c>
      <c r="R306" s="567"/>
      <c r="S306" s="567"/>
      <c r="T306" s="484"/>
      <c r="U306" s="567"/>
      <c r="V306" s="567"/>
      <c r="W306" s="567"/>
      <c r="X306" s="567"/>
      <c r="Y306" s="567"/>
      <c r="Z306" s="567"/>
      <c r="AA306" s="567"/>
      <c r="AB306" s="567"/>
      <c r="AC306" s="567"/>
      <c r="AD306" s="567"/>
      <c r="AE306" s="567"/>
      <c r="AF306" s="567"/>
      <c r="AG306" s="567"/>
      <c r="AH306" s="567"/>
      <c r="AI306" s="567"/>
      <c r="AJ306" s="567"/>
      <c r="AK306" s="567"/>
      <c r="AL306" s="567"/>
      <c r="AM306" s="567"/>
      <c r="AN306" s="567"/>
      <c r="AO306" s="567"/>
      <c r="AP306" s="567"/>
      <c r="AQ306" s="567"/>
    </row>
    <row r="307" spans="2:43" s="31" customFormat="1" x14ac:dyDescent="0.35">
      <c r="B307" s="597"/>
      <c r="C307" s="597"/>
      <c r="D307" s="597"/>
      <c r="F307" s="592"/>
      <c r="H307" s="589"/>
      <c r="I307" s="589"/>
      <c r="J307" s="589"/>
      <c r="K307" s="590"/>
      <c r="L307" s="590"/>
      <c r="M307" s="590"/>
      <c r="N307" s="606"/>
      <c r="O307" s="589"/>
      <c r="P307" s="589"/>
      <c r="Q307" s="589"/>
      <c r="R307" s="591"/>
      <c r="S307" s="591"/>
      <c r="T307" s="484"/>
      <c r="U307" s="591"/>
      <c r="V307" s="591"/>
      <c r="W307" s="591"/>
      <c r="X307" s="591"/>
      <c r="Y307" s="591"/>
      <c r="Z307" s="591"/>
      <c r="AA307" s="591"/>
      <c r="AB307" s="591"/>
      <c r="AC307" s="591"/>
      <c r="AD307" s="591"/>
      <c r="AE307" s="591"/>
      <c r="AF307" s="591"/>
      <c r="AG307" s="591"/>
      <c r="AH307" s="591"/>
      <c r="AI307" s="591"/>
      <c r="AJ307" s="591"/>
      <c r="AK307" s="591"/>
      <c r="AL307" s="591"/>
      <c r="AM307" s="591"/>
      <c r="AN307" s="591"/>
      <c r="AO307" s="591"/>
      <c r="AP307" s="591"/>
      <c r="AQ307" s="591"/>
    </row>
    <row r="308" spans="2:43" s="570" customFormat="1" x14ac:dyDescent="0.35">
      <c r="B308" s="571" t="s">
        <v>5</v>
      </c>
      <c r="C308" s="571" t="s">
        <v>13</v>
      </c>
      <c r="D308" s="571" t="s">
        <v>272</v>
      </c>
      <c r="F308" s="485"/>
      <c r="H308" s="574"/>
      <c r="I308" s="574"/>
      <c r="J308" s="574"/>
      <c r="K308" s="575"/>
      <c r="L308" s="575"/>
      <c r="M308" s="575"/>
      <c r="N308" s="576"/>
      <c r="O308" s="574"/>
      <c r="P308" s="574"/>
      <c r="Q308" s="574"/>
      <c r="R308" s="575"/>
      <c r="S308" s="575"/>
      <c r="T308" s="484"/>
      <c r="U308" s="575"/>
      <c r="V308" s="575"/>
      <c r="W308" s="575"/>
      <c r="X308" s="575"/>
      <c r="Y308" s="575"/>
      <c r="Z308" s="575"/>
      <c r="AA308" s="575"/>
      <c r="AB308" s="575"/>
      <c r="AC308" s="575"/>
      <c r="AD308" s="575"/>
      <c r="AE308" s="575"/>
      <c r="AF308" s="575"/>
      <c r="AG308" s="575"/>
      <c r="AH308" s="575"/>
      <c r="AI308" s="575"/>
      <c r="AJ308" s="575"/>
      <c r="AK308" s="575"/>
      <c r="AL308" s="575"/>
      <c r="AM308" s="575"/>
      <c r="AN308" s="575"/>
      <c r="AO308" s="575"/>
      <c r="AP308" s="575"/>
      <c r="AQ308" s="575"/>
    </row>
    <row r="309" spans="2:43" s="570" customFormat="1" x14ac:dyDescent="0.35">
      <c r="B309" s="570" t="str">
        <f>B308</f>
        <v>SAPN</v>
      </c>
      <c r="C309" s="570" t="str">
        <f>C308</f>
        <v>Small business</v>
      </c>
      <c r="D309" s="570" t="str">
        <f>D308</f>
        <v>time of use</v>
      </c>
      <c r="E309" s="570" t="s">
        <v>279</v>
      </c>
      <c r="F309" s="485" cm="1">
        <f t="array" ref="F309">_xlfn.XLOOKUP(1,($B309=DistributionZone)*('Network cost'!$C309=CustomerType)*('Network cost'!$D309=tariffL2)*($F$5=Description),valuesPY)*_xlfn.XLOOKUP(1,($B309=DistributionZone)*($C309=CustomerType)*('Network cost'!$D309=tariffL2)*($E309=tariffType)*("Usage proportion"=Description),valuesFY)</f>
        <v>5197.5109421105981</v>
      </c>
      <c r="G309" s="570" t="s">
        <v>57</v>
      </c>
      <c r="H309" s="574" cm="1">
        <f t="array" ref="H309">IFERROR(_xlfn.XLOOKUP(1,($B309=DistributionZone)*('Network cost'!$C309=CustomerType)*('Network cost'!$E309=tariffType)*('Network cost'!H$5=Desc_FixedOrVar)*('Network cost'!$G309=Description),valuesPY),0)*_xlfn.XLOOKUP(1,($B309=DistributionZone)*('Network cost'!$D309=tariffL2)*($E309=tariffType)*("Usage proportion"=Description),valuesPY)</f>
        <v>0</v>
      </c>
      <c r="I309" s="574" cm="1">
        <f t="array" ref="I309">IFERROR(_xlfn.XLOOKUP(1,($B309=DistributionZone)*('Network cost'!$C309=CustomerType)*('Network cost'!$E309=tariffType)*('Network cost'!I$5=Desc_FixedOrVar)*('Network cost'!$G309=Description),valuesPY),0)</f>
        <v>0</v>
      </c>
      <c r="J309" s="574">
        <f>H309+I309*F309/1000</f>
        <v>0</v>
      </c>
      <c r="K309" s="575" t="str">
        <f>IFERROR(J309/$J$313,"")</f>
        <v/>
      </c>
      <c r="L309" s="575"/>
      <c r="M309" s="575" t="str">
        <f t="shared" ref="M309:M315" si="82">IF(OR(J309=0,J309="",Q309=""),"",Q309/J309-1)</f>
        <v/>
      </c>
      <c r="N309" s="576"/>
      <c r="O309" s="574" cm="1">
        <f t="array" ref="O309">IFERROR(_xlfn.XLOOKUP(1,($B309=DistributionZone)*('Network cost'!$C309=CustomerType)*('Network cost'!$E309=tariffType)*('Network cost'!O$5=Desc_FixedOrVar)*('Network cost'!$G309=Description),valuesFY),0)*_xlfn.XLOOKUP(1,($B309=DistributionZone)*('Network cost'!$D309=tariffL2)*($E309=tariffType)*("Usage proportion"=Description),valuesFY)</f>
        <v>51.533253156666881</v>
      </c>
      <c r="P309" s="574" cm="1">
        <f t="array" ref="P309">IFERROR(_xlfn.XLOOKUP(1,($B309=DistributionZone)*('Network cost'!$C309=CustomerType)*('Network cost'!$E309=tariffType)*('Network cost'!P$5=Desc_FixedOrVar)*('Network cost'!$G309=Description),valuesFY),0)</f>
        <v>107.89999999999999</v>
      </c>
      <c r="Q309" s="574">
        <f>O309+P309*$F309/1000</f>
        <v>612.34468381040028</v>
      </c>
      <c r="R309" s="575">
        <f>IFERROR(Q309/$Q$313,"")</f>
        <v>0.33207001568912226</v>
      </c>
      <c r="S309" s="575"/>
      <c r="T309" s="484"/>
      <c r="U309" s="575"/>
      <c r="V309" s="575"/>
      <c r="W309" s="575"/>
      <c r="X309" s="575"/>
      <c r="Y309" s="575"/>
      <c r="Z309" s="575"/>
      <c r="AA309" s="575"/>
      <c r="AB309" s="575"/>
      <c r="AC309" s="575"/>
      <c r="AD309" s="575"/>
      <c r="AE309" s="575"/>
      <c r="AF309" s="575"/>
      <c r="AG309" s="575"/>
      <c r="AH309" s="575"/>
      <c r="AI309" s="575"/>
      <c r="AJ309" s="575"/>
      <c r="AK309" s="575"/>
      <c r="AL309" s="575"/>
      <c r="AM309" s="575"/>
      <c r="AN309" s="575"/>
      <c r="AO309" s="575"/>
      <c r="AP309" s="575"/>
      <c r="AQ309" s="575"/>
    </row>
    <row r="310" spans="2:43" s="570" customFormat="1" x14ac:dyDescent="0.35">
      <c r="B310" s="570" t="str">
        <f t="shared" ref="B310:B315" si="83">B309</f>
        <v>SAPN</v>
      </c>
      <c r="C310" s="570" t="str">
        <f t="shared" ref="C310:C315" si="84">C309</f>
        <v>Small business</v>
      </c>
      <c r="D310" s="570" t="str">
        <f t="shared" ref="D310:D315" si="85">D309</f>
        <v>time of use</v>
      </c>
      <c r="E310" s="570" t="s">
        <v>278</v>
      </c>
      <c r="F310" s="485" cm="1">
        <f t="array" ref="F310">_xlfn.XLOOKUP(1,($B310=DistributionZone)*('Network cost'!$C310=CustomerType)*('Network cost'!$D310=tariffL2)*($F$5=Description),valuesPY)*_xlfn.XLOOKUP(1,($B310=DistributionZone)*($C310=CustomerType)*('Network cost'!$D310=tariffL2)*($E310=tariffType)*("Usage proportion"=Description),valuesFY)</f>
        <v>818.79677302339985</v>
      </c>
      <c r="G310" s="570" t="s">
        <v>57</v>
      </c>
      <c r="H310" s="574" cm="1">
        <f t="array" ref="H310">IFERROR(_xlfn.XLOOKUP(1,($B310=DistributionZone)*('Network cost'!$C310=CustomerType)*('Network cost'!$E310=tariffType)*('Network cost'!H$5=Desc_FixedOrVar)*('Network cost'!$G310=Description),valuesPY),0)*_xlfn.XLOOKUP(1,($B310=DistributionZone)*('Network cost'!$D310=tariffL2)*($E310=tariffType)*("Usage proportion"=Description),valuesPY)</f>
        <v>0</v>
      </c>
      <c r="I310" s="574" cm="1">
        <f t="array" ref="I310">IFERROR(_xlfn.XLOOKUP(1,($B310=DistributionZone)*('Network cost'!$C310=CustomerType)*('Network cost'!$E310=tariffType)*('Network cost'!I$5=Desc_FixedOrVar)*('Network cost'!$G310=Description),valuesPY),0)</f>
        <v>0</v>
      </c>
      <c r="J310" s="574">
        <f>H310+I310*F310/1000</f>
        <v>0</v>
      </c>
      <c r="K310" s="575" t="str">
        <f>IFERROR(J310/$J$313,"")</f>
        <v/>
      </c>
      <c r="L310" s="575"/>
      <c r="M310" s="575" t="str">
        <f t="shared" si="82"/>
        <v/>
      </c>
      <c r="N310" s="576"/>
      <c r="O310" s="574" cm="1">
        <f t="array" ref="O310">IFERROR(_xlfn.XLOOKUP(1,($B310=DistributionZone)*('Network cost'!$C310=CustomerType)*('Network cost'!$E310=tariffType)*('Network cost'!O$5=Desc_FixedOrVar)*('Network cost'!$G310=Description),valuesFY),0)*_xlfn.XLOOKUP(1,($B310=DistributionZone)*('Network cost'!$D310=tariffL2)*($E310=tariffType)*("Usage proportion"=Description),valuesFY)</f>
        <v>124.59122207719624</v>
      </c>
      <c r="P310" s="574" cm="1">
        <f t="array" ref="P310">IFERROR(_xlfn.XLOOKUP(1,($B310=DistributionZone)*('Network cost'!$C310=CustomerType)*('Network cost'!$E310=tariffType)*('Network cost'!P$5=Desc_FixedOrVar)*('Network cost'!$G310=Description),valuesFY),0)</f>
        <v>287.2</v>
      </c>
      <c r="Q310" s="574">
        <f>O310+P310*$F310/1000</f>
        <v>359.74965528951668</v>
      </c>
      <c r="R310" s="575">
        <f>IFERROR(Q310/$Q$313,"")</f>
        <v>0.19508959060896339</v>
      </c>
      <c r="S310" s="575"/>
      <c r="T310" s="484"/>
      <c r="U310" s="575"/>
      <c r="V310" s="575"/>
      <c r="W310" s="575"/>
      <c r="X310" s="575"/>
      <c r="Y310" s="575"/>
      <c r="Z310" s="575"/>
      <c r="AA310" s="575"/>
      <c r="AB310" s="575"/>
      <c r="AC310" s="575"/>
      <c r="AD310" s="575"/>
      <c r="AE310" s="575"/>
      <c r="AF310" s="575"/>
      <c r="AG310" s="575"/>
      <c r="AH310" s="575"/>
      <c r="AI310" s="575"/>
      <c r="AJ310" s="575"/>
      <c r="AK310" s="575"/>
      <c r="AL310" s="575"/>
      <c r="AM310" s="575"/>
      <c r="AN310" s="575"/>
      <c r="AO310" s="575"/>
      <c r="AP310" s="575"/>
      <c r="AQ310" s="575"/>
    </row>
    <row r="311" spans="2:43" s="570" customFormat="1" x14ac:dyDescent="0.35">
      <c r="B311" s="570" t="str">
        <f t="shared" si="83"/>
        <v>SAPN</v>
      </c>
      <c r="C311" s="570" t="str">
        <f t="shared" si="84"/>
        <v>Small business</v>
      </c>
      <c r="D311" s="570" t="str">
        <f t="shared" si="85"/>
        <v>time of use</v>
      </c>
      <c r="E311" s="570" t="s">
        <v>284</v>
      </c>
      <c r="F311" s="485" cm="1">
        <f t="array" ref="F311">_xlfn.XLOOKUP(1,($B311=DistributionZone)*('Network cost'!$C311=CustomerType)*('Network cost'!$D311=tariffL2)*($F$5=Description),valuesPY)*_xlfn.XLOOKUP(1,($B311=DistributionZone)*($C311=CustomerType)*('Network cost'!$D311=tariffL2)*($E311=tariffType)*("Usage proportion"=Description),valuesFY)</f>
        <v>3983.692284866001</v>
      </c>
      <c r="G311" s="570" t="s">
        <v>57</v>
      </c>
      <c r="H311" s="574" cm="1">
        <f t="array" ref="H311">IFERROR(_xlfn.XLOOKUP(1,($B311=DistributionZone)*('Network cost'!$C311=CustomerType)*('Network cost'!$E311=tariffType)*('Network cost'!H$5=Desc_FixedOrVar)*('Network cost'!$G311=Description),valuesPY),0)*_xlfn.XLOOKUP(1,($B311=DistributionZone)*('Network cost'!$D311=tariffL2)*($E311=tariffType)*("Usage proportion"=Description),valuesPY)</f>
        <v>0</v>
      </c>
      <c r="I311" s="574" cm="1">
        <f t="array" ref="I311">IFERROR(_xlfn.XLOOKUP(1,($B311=DistributionZone)*('Network cost'!$C311=CustomerType)*('Network cost'!$E311=tariffType)*('Network cost'!I$5=Desc_FixedOrVar)*('Network cost'!$G311=Description),valuesPY),0)</f>
        <v>0</v>
      </c>
      <c r="J311" s="574">
        <f>H311+I311*F311/1000</f>
        <v>0</v>
      </c>
      <c r="K311" s="575" t="str">
        <f>IFERROR(J311/$J$313,"")</f>
        <v/>
      </c>
      <c r="L311" s="575"/>
      <c r="M311" s="575" t="str">
        <f t="shared" si="82"/>
        <v/>
      </c>
      <c r="N311" s="576"/>
      <c r="O311" s="574" cm="1">
        <f t="array" ref="O311">IFERROR(_xlfn.XLOOKUP(1,($B311=DistributionZone)*('Network cost'!$C311=CustomerType)*('Network cost'!$E311=tariffType)*('Network cost'!O$5=Desc_FixedOrVar)*('Network cost'!$G311=Description),valuesFY),0)*_xlfn.XLOOKUP(1,($B311=DistributionZone)*('Network cost'!$D311=tariffL2)*($E311=tariffType)*("Usage proportion"=Description),valuesFY)</f>
        <v>66.430853475797122</v>
      </c>
      <c r="P311" s="574" cm="1">
        <f t="array" ref="P311">IFERROR(_xlfn.XLOOKUP(1,($B311=DistributionZone)*('Network cost'!$C311=CustomerType)*('Network cost'!$E311=tariffType)*('Network cost'!P$5=Desc_FixedOrVar)*('Network cost'!$G311=Description),valuesFY),0)</f>
        <v>199.8</v>
      </c>
      <c r="Q311" s="574">
        <f>O311+P311*$F311/1000</f>
        <v>862.37257199202418</v>
      </c>
      <c r="R311" s="575">
        <f>IFERROR(Q311/$Q$313,"")</f>
        <v>0.46765829945529186</v>
      </c>
      <c r="S311" s="575"/>
      <c r="T311" s="484"/>
      <c r="U311" s="575"/>
      <c r="V311" s="575"/>
      <c r="W311" s="575"/>
      <c r="X311" s="575"/>
      <c r="Y311" s="575"/>
      <c r="Z311" s="575"/>
      <c r="AA311" s="575"/>
      <c r="AB311" s="575"/>
      <c r="AC311" s="575"/>
      <c r="AD311" s="575"/>
      <c r="AE311" s="575"/>
      <c r="AF311" s="575"/>
      <c r="AG311" s="575"/>
      <c r="AH311" s="575"/>
      <c r="AI311" s="575"/>
      <c r="AJ311" s="575"/>
      <c r="AK311" s="575"/>
      <c r="AL311" s="575"/>
      <c r="AM311" s="575"/>
      <c r="AN311" s="575"/>
      <c r="AO311" s="575"/>
      <c r="AP311" s="575"/>
      <c r="AQ311" s="575"/>
    </row>
    <row r="312" spans="2:43" s="570" customFormat="1" x14ac:dyDescent="0.35">
      <c r="B312" s="570" t="str">
        <f t="shared" si="83"/>
        <v>SAPN</v>
      </c>
      <c r="C312" s="570" t="str">
        <f t="shared" si="84"/>
        <v>Small business</v>
      </c>
      <c r="D312" s="570" t="str">
        <f t="shared" si="85"/>
        <v>time of use</v>
      </c>
      <c r="E312" s="570" t="s">
        <v>272</v>
      </c>
      <c r="F312" s="485" cm="1">
        <f t="array" ref="F312">_xlfn.XLOOKUP(1,($B312=DistributionZone)*('Network cost'!$C312=CustomerType)*('Network cost'!$D312=tariffL2)*($F$5=Description),valuesFY)</f>
        <v>10000</v>
      </c>
      <c r="G312" s="570" t="s">
        <v>61</v>
      </c>
      <c r="H312" s="574" cm="1">
        <f t="array" ref="H312">IFERROR(_xlfn.XLOOKUP(1,($B312=DistributionZone)*('Network cost'!$C312=CustomerType)*('Network cost'!$E312=tariffType)*('Network cost'!H$5=Desc_FixedOrVar)*('Network cost'!$G312=Description),valuesPY),0)</f>
        <v>0</v>
      </c>
      <c r="I312" s="574" cm="1">
        <f t="array" ref="I312">IFERROR(_xlfn.XLOOKUP(1,($B312=DistributionZone)*('Network cost'!$C312=CustomerType)*('Network cost'!$E312=tariffType)*('Network cost'!I$5=Desc_FixedOrVar)*('Network cost'!$G312=Description),valuesPY),0)</f>
        <v>0</v>
      </c>
      <c r="J312" s="574">
        <f>H312+I312*F312/1000</f>
        <v>0</v>
      </c>
      <c r="K312" s="575" t="str">
        <f>IFERROR(J312/$J$313,"")</f>
        <v/>
      </c>
      <c r="L312" s="575"/>
      <c r="M312" s="575" t="str">
        <f t="shared" si="82"/>
        <v/>
      </c>
      <c r="N312" s="576"/>
      <c r="O312" s="574" cm="1">
        <f t="array" ref="O312">IFERROR(_xlfn.XLOOKUP(1,($B312=DistributionZone)*('Network cost'!$C312=CustomerType)*('Network cost'!$E312=tariffType)*('Network cost'!O$5=Desc_FixedOrVar)*('Network cost'!$G312=Description),valuesFY),0)</f>
        <v>9.5558999999999994</v>
      </c>
      <c r="P312" s="574" cm="1">
        <f t="array" ref="P312">IFERROR(_xlfn.XLOOKUP(1,($B312=DistributionZone)*('Network cost'!$C312=CustomerType)*('Network cost'!$E312=tariffType)*('Network cost'!P$5=Desc_FixedOrVar)*('Network cost'!$G312=Description),valuesFY),0)</f>
        <v>0</v>
      </c>
      <c r="Q312" s="574">
        <f>O312+P312*$F312/1000</f>
        <v>9.5558999999999994</v>
      </c>
      <c r="R312" s="575">
        <f>IFERROR(Q312/$Q$313,"")</f>
        <v>5.1820942466223917E-3</v>
      </c>
      <c r="S312" s="575"/>
      <c r="T312" s="484"/>
      <c r="U312" s="575"/>
      <c r="V312" s="575"/>
      <c r="W312" s="575"/>
      <c r="X312" s="575"/>
      <c r="Y312" s="575"/>
      <c r="Z312" s="575"/>
      <c r="AA312" s="575"/>
      <c r="AB312" s="575"/>
      <c r="AC312" s="575"/>
      <c r="AD312" s="575"/>
      <c r="AE312" s="575"/>
      <c r="AF312" s="575"/>
      <c r="AG312" s="575"/>
      <c r="AH312" s="575"/>
      <c r="AI312" s="575"/>
      <c r="AJ312" s="575"/>
      <c r="AK312" s="575"/>
      <c r="AL312" s="575"/>
      <c r="AM312" s="575"/>
      <c r="AN312" s="575"/>
      <c r="AO312" s="575"/>
      <c r="AP312" s="575"/>
      <c r="AQ312" s="575"/>
    </row>
    <row r="313" spans="2:43" s="570" customFormat="1" x14ac:dyDescent="0.35">
      <c r="B313" s="570" t="str">
        <f t="shared" si="83"/>
        <v>SAPN</v>
      </c>
      <c r="C313" s="570" t="str">
        <f t="shared" si="84"/>
        <v>Small business</v>
      </c>
      <c r="D313" s="570" t="str">
        <f t="shared" si="85"/>
        <v>time of use</v>
      </c>
      <c r="E313" s="570" t="s">
        <v>272</v>
      </c>
      <c r="F313" s="485" cm="1">
        <f t="array" ref="F313">_xlfn.XLOOKUP(1,($B313=DistributionZone)*('Network cost'!$C313=CustomerType)*('Network cost'!$D313=tariffL2)*($F$5=Description),valuesFY)</f>
        <v>10000</v>
      </c>
      <c r="G313" s="571" t="s">
        <v>55</v>
      </c>
      <c r="H313" s="577">
        <f>SUM(H309:H312)</f>
        <v>0</v>
      </c>
      <c r="I313" s="577">
        <f>SUM(I309:I312)</f>
        <v>0</v>
      </c>
      <c r="J313" s="577">
        <f>SUM(J309:J312)</f>
        <v>0</v>
      </c>
      <c r="K313" s="578"/>
      <c r="L313" s="579"/>
      <c r="M313" s="578" t="str">
        <f t="shared" si="82"/>
        <v/>
      </c>
      <c r="N313" s="580"/>
      <c r="O313" s="577">
        <f>SUM(O309:O312)</f>
        <v>252.11122870966022</v>
      </c>
      <c r="P313" s="577">
        <f>SUM(P309:P312)</f>
        <v>594.9</v>
      </c>
      <c r="Q313" s="577">
        <f>SUM(Q309:Q312)</f>
        <v>1844.0228110919413</v>
      </c>
      <c r="R313" s="575"/>
      <c r="S313" s="575"/>
      <c r="T313" s="484"/>
      <c r="U313" s="575"/>
      <c r="V313" s="575"/>
      <c r="W313" s="575"/>
      <c r="X313" s="575"/>
      <c r="Y313" s="575"/>
      <c r="Z313" s="575"/>
      <c r="AA313" s="575"/>
      <c r="AB313" s="575"/>
      <c r="AC313" s="575"/>
      <c r="AD313" s="575"/>
      <c r="AE313" s="575"/>
      <c r="AF313" s="575"/>
      <c r="AG313" s="575"/>
      <c r="AH313" s="575"/>
      <c r="AI313" s="575"/>
      <c r="AJ313" s="575"/>
      <c r="AK313" s="575"/>
      <c r="AL313" s="575"/>
      <c r="AM313" s="575"/>
      <c r="AN313" s="575"/>
      <c r="AO313" s="575"/>
      <c r="AP313" s="575"/>
      <c r="AQ313" s="575"/>
    </row>
    <row r="314" spans="2:43" s="570" customFormat="1" x14ac:dyDescent="0.35">
      <c r="B314" s="570" t="str">
        <f t="shared" si="83"/>
        <v>SAPN</v>
      </c>
      <c r="C314" s="570" t="str">
        <f t="shared" si="84"/>
        <v>Small business</v>
      </c>
      <c r="D314" s="570" t="str">
        <f t="shared" si="85"/>
        <v>time of use</v>
      </c>
      <c r="F314" s="582"/>
      <c r="G314" s="570" t="s">
        <v>38</v>
      </c>
      <c r="H314" s="574"/>
      <c r="I314" s="574"/>
      <c r="J314" s="574">
        <f>J313*GST</f>
        <v>0</v>
      </c>
      <c r="K314" s="575"/>
      <c r="L314" s="581"/>
      <c r="M314" s="575" t="str">
        <f t="shared" si="82"/>
        <v/>
      </c>
      <c r="N314" s="582"/>
      <c r="O314" s="574"/>
      <c r="P314" s="574"/>
      <c r="Q314" s="574">
        <f>Q313*GST</f>
        <v>184.40228110919415</v>
      </c>
      <c r="R314" s="581"/>
      <c r="S314" s="581"/>
      <c r="T314" s="484"/>
      <c r="U314" s="581"/>
      <c r="V314" s="581"/>
      <c r="W314" s="581"/>
      <c r="X314" s="581"/>
      <c r="Y314" s="581"/>
      <c r="Z314" s="581"/>
      <c r="AA314" s="581"/>
      <c r="AB314" s="581"/>
      <c r="AC314" s="581"/>
      <c r="AD314" s="581"/>
      <c r="AE314" s="581"/>
      <c r="AF314" s="581"/>
      <c r="AG314" s="581"/>
      <c r="AH314" s="581"/>
      <c r="AI314" s="581"/>
      <c r="AJ314" s="581"/>
      <c r="AK314" s="581"/>
      <c r="AL314" s="581"/>
      <c r="AM314" s="581"/>
      <c r="AN314" s="581"/>
      <c r="AO314" s="581"/>
      <c r="AP314" s="581"/>
      <c r="AQ314" s="581"/>
    </row>
    <row r="315" spans="2:43" s="570" customFormat="1" x14ac:dyDescent="0.35">
      <c r="B315" s="570" t="str">
        <f t="shared" si="83"/>
        <v>SAPN</v>
      </c>
      <c r="C315" s="570" t="str">
        <f t="shared" si="84"/>
        <v>Small business</v>
      </c>
      <c r="D315" s="570" t="str">
        <f t="shared" si="85"/>
        <v>time of use</v>
      </c>
      <c r="E315" s="570" t="s">
        <v>272</v>
      </c>
      <c r="F315" s="582"/>
      <c r="G315" s="571" t="s">
        <v>79</v>
      </c>
      <c r="H315" s="577"/>
      <c r="I315" s="577"/>
      <c r="J315" s="577">
        <f>SUM(J313:J314)</f>
        <v>0</v>
      </c>
      <c r="K315" s="578"/>
      <c r="L315" s="579"/>
      <c r="M315" s="578" t="str">
        <f t="shared" si="82"/>
        <v/>
      </c>
      <c r="N315" s="580"/>
      <c r="O315" s="577"/>
      <c r="P315" s="577"/>
      <c r="Q315" s="577">
        <f>SUM(Q313:Q314)</f>
        <v>2028.4250922011354</v>
      </c>
      <c r="R315" s="581"/>
      <c r="S315" s="581"/>
      <c r="T315" s="484"/>
      <c r="U315" s="581"/>
      <c r="V315" s="581"/>
      <c r="W315" s="581"/>
      <c r="X315" s="581"/>
      <c r="Y315" s="581"/>
      <c r="Z315" s="581"/>
      <c r="AA315" s="581"/>
      <c r="AB315" s="581"/>
      <c r="AC315" s="581"/>
      <c r="AD315" s="581"/>
      <c r="AE315" s="581"/>
      <c r="AF315" s="581"/>
      <c r="AG315" s="581"/>
      <c r="AH315" s="581"/>
      <c r="AI315" s="581"/>
      <c r="AJ315" s="581"/>
      <c r="AK315" s="581"/>
      <c r="AL315" s="581"/>
      <c r="AM315" s="581"/>
      <c r="AN315" s="581"/>
      <c r="AO315" s="581"/>
      <c r="AP315" s="581"/>
      <c r="AQ315" s="581"/>
    </row>
    <row r="316" spans="2:43" x14ac:dyDescent="0.35">
      <c r="B316" s="570"/>
      <c r="C316" s="570"/>
      <c r="D316" s="570"/>
      <c r="F316" s="30"/>
      <c r="H316" s="30"/>
      <c r="I316" s="30"/>
      <c r="J316" s="30"/>
      <c r="K316" s="30"/>
      <c r="L316" s="30"/>
      <c r="M316" s="30"/>
      <c r="N316" s="30"/>
      <c r="O316" s="30"/>
      <c r="P316" s="30"/>
      <c r="Q316" s="65"/>
      <c r="R316" s="30"/>
      <c r="S316" s="30"/>
      <c r="T316" s="484"/>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row>
    <row r="317" spans="2:43" s="749" customFormat="1" x14ac:dyDescent="0.35">
      <c r="B317" s="748" t="s">
        <v>5</v>
      </c>
      <c r="C317" s="748" t="s">
        <v>13</v>
      </c>
      <c r="D317" s="748" t="s">
        <v>276</v>
      </c>
      <c r="F317" s="750"/>
      <c r="H317" s="751"/>
      <c r="I317" s="751"/>
      <c r="J317" s="751"/>
      <c r="K317" s="752"/>
      <c r="L317" s="752"/>
      <c r="M317" s="752"/>
      <c r="N317" s="753"/>
      <c r="O317" s="751"/>
      <c r="P317" s="751"/>
      <c r="Q317" s="751"/>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52"/>
    </row>
    <row r="318" spans="2:43" s="749" customFormat="1" x14ac:dyDescent="0.35">
      <c r="B318" s="749" t="str">
        <f t="shared" ref="B318:D318" si="86">B317</f>
        <v>SAPN</v>
      </c>
      <c r="C318" s="749" t="str">
        <f t="shared" si="86"/>
        <v>Small business</v>
      </c>
      <c r="D318" s="749" t="str">
        <f t="shared" si="86"/>
        <v>flat rate</v>
      </c>
      <c r="E318" s="749" t="s">
        <v>19</v>
      </c>
      <c r="F318" s="750" cm="1">
        <f t="array" ref="F318">_xlfn.XLOOKUP(1,($B318=DistributionZone)*('Network cost'!$C318=CustomerType)*('Network cost'!$D318=tariffL2)*($F$5=Description),valuesFY)</f>
        <v>10000</v>
      </c>
      <c r="G318" s="749" t="s">
        <v>57</v>
      </c>
      <c r="H318" s="751" cm="1">
        <f t="array" ref="H318">IFERROR(_xlfn.XLOOKUP(1,($B318=DistributionZone)*('Network cost'!$C318=CustomerType)*('Network cost'!$E318=tariffType)*('Network cost'!H$5=Desc_FixedOrVar)*('Network cost'!$G318=Description),valuesPY),0)</f>
        <v>232.22824947221005</v>
      </c>
      <c r="I318" s="751" cm="1">
        <f t="array" ref="I318">IFERROR(_xlfn.XLOOKUP(1,($B318=DistributionZone)*('Network cost'!$C318=CustomerType)*('Network cost'!$E318=tariffType)*('Network cost'!I$5=Desc_FixedOrVar)*('Network cost'!$G318=Description),valuesPY),0)</f>
        <v>183.29999999999998</v>
      </c>
      <c r="J318" s="751">
        <f>H318+I318*F318/1000</f>
        <v>2065.2282494722099</v>
      </c>
      <c r="K318" s="752">
        <f>IFERROR(J318/J320,"")</f>
        <v>0.99551909081537071</v>
      </c>
      <c r="L318" s="752"/>
      <c r="M318" s="752">
        <f>IF(OR(J318=0,J318="",Q318=""),"",Q318/J318-1)</f>
        <v>1.0019787148341619E-2</v>
      </c>
      <c r="N318" s="753"/>
      <c r="O318" s="751">
        <f>SUM((O302*Sap_SB_flat_proportion),(O309*Sap_SB_tou_proportion),(O310*Sap_SB_tou_proportion),(O311*Sap_SB_tou_proportion))</f>
        <v>242.55532870966024</v>
      </c>
      <c r="P318" s="751">
        <f>SUM((P302*Sap_SB_flat_proportion),(P309*Sap_SB_tou_proportion*F309/F312),(P310*Sap_SB_tou_proportion*F310/F312),(P311*Sap_SB_tou_proportion*F311/F312))</f>
        <v>184.33660682350032</v>
      </c>
      <c r="Q318" s="751">
        <f>O318+P318*$F318/1000</f>
        <v>2085.9213969446637</v>
      </c>
      <c r="R318" s="752">
        <f>IFERROR(Q318/Q320,"")</f>
        <v>0.99543975016387298</v>
      </c>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2"/>
      <c r="AN318" s="752"/>
      <c r="AO318" s="752"/>
      <c r="AP318" s="752"/>
      <c r="AQ318" s="752"/>
    </row>
    <row r="319" spans="2:43" s="749" customFormat="1" x14ac:dyDescent="0.35">
      <c r="B319" s="749" t="str">
        <f t="shared" ref="B319:D319" si="87">B318</f>
        <v>SAPN</v>
      </c>
      <c r="C319" s="749" t="str">
        <f t="shared" si="87"/>
        <v>Small business</v>
      </c>
      <c r="D319" s="749" t="str">
        <f t="shared" si="87"/>
        <v>flat rate</v>
      </c>
      <c r="E319" s="749" t="s">
        <v>19</v>
      </c>
      <c r="F319" s="750" cm="1">
        <f t="array" ref="F319">_xlfn.XLOOKUP(1,($B319=DistributionZone)*('Network cost'!$C319=CustomerType)*('Network cost'!$D319=tariffL2)*($F$5=Description),valuesFY)</f>
        <v>10000</v>
      </c>
      <c r="G319" s="749" t="s">
        <v>61</v>
      </c>
      <c r="H319" s="751" cm="1">
        <f t="array" ref="H319">IFERROR(_xlfn.XLOOKUP(1,($B319=DistributionZone)*('Network cost'!$C319=CustomerType)*('Network cost'!$E319=tariffType)*('Network cost'!H$5=Desc_FixedOrVar)*('Network cost'!$G319=Description),valuesPY),0)</f>
        <v>9.2957536593661754</v>
      </c>
      <c r="I319" s="751" cm="1">
        <f t="array" ref="I319">IFERROR(_xlfn.XLOOKUP(1,($B319=DistributionZone)*('Network cost'!$C319=CustomerType)*('Network cost'!$E319=tariffType)*('Network cost'!I$5=Desc_FixedOrVar)*('Network cost'!$G319=Description),valuesPY),0)</f>
        <v>0</v>
      </c>
      <c r="J319" s="751">
        <f>H319+I319*F319/1000</f>
        <v>9.2957536593661754</v>
      </c>
      <c r="K319" s="752">
        <f>IFERROR(J319/J320,"")</f>
        <v>4.4809091846292771E-3</v>
      </c>
      <c r="L319" s="752"/>
      <c r="M319" s="752">
        <f>IF(OR(J319=0,J319="",Q319=""),"",Q319/J319-1)</f>
        <v>2.7985502861481715E-2</v>
      </c>
      <c r="N319" s="753"/>
      <c r="O319" s="751">
        <f>SUM((O303*Ene_SB_flat_proportion),(O312*Ene_SB_tou_proportion))</f>
        <v>9.5558999999999976</v>
      </c>
      <c r="P319" s="751">
        <f>SUM((P303*Ene_SB_flat_proportion),(P312*Ene_SB_tou_proportion))</f>
        <v>0</v>
      </c>
      <c r="Q319" s="751">
        <f>O319+P319*$F$69/1000</f>
        <v>9.5558999999999976</v>
      </c>
      <c r="R319" s="752">
        <f>IFERROR(Q319/Q320,"")</f>
        <v>4.5602498361271178E-3</v>
      </c>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52"/>
    </row>
    <row r="320" spans="2:43" s="749" customFormat="1" x14ac:dyDescent="0.35">
      <c r="B320" s="749" t="str">
        <f t="shared" ref="B320:D320" si="88">B319</f>
        <v>SAPN</v>
      </c>
      <c r="C320" s="749" t="str">
        <f t="shared" si="88"/>
        <v>Small business</v>
      </c>
      <c r="D320" s="749" t="str">
        <f t="shared" si="88"/>
        <v>flat rate</v>
      </c>
      <c r="E320" s="749" t="s">
        <v>396</v>
      </c>
      <c r="F320" s="750" cm="1">
        <f t="array" ref="F320">_xlfn.XLOOKUP(1,($B320=DistributionZone)*('Network cost'!$C320=CustomerType)*('Network cost'!$D320=tariffL2)*($F$5=Description),valuesFY)</f>
        <v>10000</v>
      </c>
      <c r="G320" s="748" t="s">
        <v>55</v>
      </c>
      <c r="H320" s="754">
        <f>SUM(H318:H319)</f>
        <v>241.52400313157622</v>
      </c>
      <c r="I320" s="754">
        <f t="shared" ref="I320:J320" si="89">SUM(I318:I319)</f>
        <v>183.29999999999998</v>
      </c>
      <c r="J320" s="754">
        <f t="shared" si="89"/>
        <v>2074.5240031315761</v>
      </c>
      <c r="K320" s="747"/>
      <c r="L320" s="755"/>
      <c r="M320" s="747">
        <f>IF(OR(J320=0,J320="",Q320=""),"",Q320/J320-1)</f>
        <v>1.0100289888888891E-2</v>
      </c>
      <c r="N320" s="756"/>
      <c r="O320" s="754">
        <f>SUM(O318:O319)</f>
        <v>252.11122870966025</v>
      </c>
      <c r="P320" s="754">
        <f t="shared" ref="P320" si="90">SUM(P318:P319)</f>
        <v>184.33660682350032</v>
      </c>
      <c r="Q320" s="754">
        <f>SUM(Q318:Q319)</f>
        <v>2095.4772969446635</v>
      </c>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52"/>
    </row>
    <row r="321" spans="2:43" s="749" customFormat="1" x14ac:dyDescent="0.35">
      <c r="B321" s="749" t="str">
        <f t="shared" ref="B321:D321" si="91">B320</f>
        <v>SAPN</v>
      </c>
      <c r="C321" s="749" t="str">
        <f t="shared" si="91"/>
        <v>Small business</v>
      </c>
      <c r="D321" s="749" t="str">
        <f t="shared" si="91"/>
        <v>flat rate</v>
      </c>
      <c r="F321" s="758"/>
      <c r="G321" s="749" t="s">
        <v>38</v>
      </c>
      <c r="H321" s="751"/>
      <c r="I321" s="751"/>
      <c r="J321" s="751">
        <f>J320*GST</f>
        <v>207.45240031315763</v>
      </c>
      <c r="K321" s="752"/>
      <c r="L321" s="757"/>
      <c r="M321" s="752">
        <f>IF(OR(J321=0,J321="",Q321=""),"",Q321/J321-1)</f>
        <v>1.0100289888889113E-2</v>
      </c>
      <c r="N321" s="758"/>
      <c r="O321" s="751"/>
      <c r="P321" s="751"/>
      <c r="Q321" s="751">
        <f>Q320*GST</f>
        <v>209.54772969446637</v>
      </c>
      <c r="R321" s="757"/>
      <c r="S321" s="757"/>
      <c r="T321" s="752"/>
      <c r="U321" s="757"/>
      <c r="V321" s="757"/>
      <c r="W321" s="757"/>
      <c r="X321" s="757"/>
      <c r="Y321" s="757"/>
      <c r="Z321" s="757"/>
      <c r="AA321" s="757"/>
      <c r="AB321" s="757"/>
      <c r="AC321" s="757"/>
      <c r="AD321" s="757"/>
      <c r="AE321" s="757"/>
      <c r="AF321" s="757"/>
      <c r="AG321" s="757"/>
      <c r="AH321" s="757"/>
      <c r="AI321" s="757"/>
      <c r="AJ321" s="757"/>
      <c r="AK321" s="757"/>
      <c r="AL321" s="757"/>
      <c r="AM321" s="757"/>
      <c r="AN321" s="757"/>
      <c r="AO321" s="757"/>
      <c r="AP321" s="757"/>
      <c r="AQ321" s="757"/>
    </row>
    <row r="322" spans="2:43" s="749" customFormat="1" x14ac:dyDescent="0.35">
      <c r="B322" s="749" t="str">
        <f t="shared" ref="B322:D322" si="92">B321</f>
        <v>SAPN</v>
      </c>
      <c r="C322" s="749" t="str">
        <f t="shared" si="92"/>
        <v>Small business</v>
      </c>
      <c r="D322" s="749" t="str">
        <f t="shared" si="92"/>
        <v>flat rate</v>
      </c>
      <c r="E322" s="749" t="s">
        <v>396</v>
      </c>
      <c r="F322" s="758"/>
      <c r="G322" s="748" t="s">
        <v>79</v>
      </c>
      <c r="H322" s="754"/>
      <c r="I322" s="754"/>
      <c r="J322" s="754">
        <f>SUM(J320:J321)</f>
        <v>2281.9764034447339</v>
      </c>
      <c r="K322" s="747"/>
      <c r="L322" s="755"/>
      <c r="M322" s="747">
        <f>IF(OR(J322=0,J322="",Q322=""),"",Q322/J322-1)</f>
        <v>1.0100289888888891E-2</v>
      </c>
      <c r="N322" s="756"/>
      <c r="O322" s="754"/>
      <c r="P322" s="754"/>
      <c r="Q322" s="754">
        <f>SUM(Q320:Q321)</f>
        <v>2305.0250266391299</v>
      </c>
      <c r="R322" s="757"/>
      <c r="S322" s="757"/>
      <c r="T322" s="752"/>
      <c r="U322" s="757"/>
      <c r="V322" s="757"/>
      <c r="W322" s="757"/>
      <c r="X322" s="757"/>
      <c r="Y322" s="757"/>
      <c r="Z322" s="757"/>
      <c r="AA322" s="757"/>
      <c r="AB322" s="757"/>
      <c r="AC322" s="757"/>
      <c r="AD322" s="757"/>
      <c r="AE322" s="757"/>
      <c r="AF322" s="757"/>
      <c r="AG322" s="757"/>
      <c r="AH322" s="757"/>
      <c r="AI322" s="757"/>
      <c r="AJ322" s="757"/>
      <c r="AK322" s="757"/>
      <c r="AL322" s="757"/>
      <c r="AM322" s="757"/>
      <c r="AN322" s="757"/>
      <c r="AO322" s="757"/>
      <c r="AP322" s="757"/>
      <c r="AQ322" s="757"/>
    </row>
    <row r="323" spans="2:43" s="749" customFormat="1" x14ac:dyDescent="0.35">
      <c r="F323" s="758"/>
      <c r="H323" s="751"/>
      <c r="I323" s="751"/>
      <c r="J323" s="751"/>
      <c r="K323" s="752"/>
      <c r="L323" s="752"/>
      <c r="M323" s="752"/>
      <c r="N323" s="753"/>
      <c r="O323" s="751"/>
      <c r="P323" s="751"/>
      <c r="Q323" s="751"/>
      <c r="R323" s="757"/>
      <c r="S323" s="757"/>
      <c r="T323" s="752"/>
      <c r="U323" s="757"/>
      <c r="V323" s="757"/>
      <c r="W323" s="757"/>
      <c r="X323" s="757"/>
      <c r="Y323" s="757"/>
      <c r="Z323" s="757"/>
      <c r="AA323" s="757"/>
      <c r="AB323" s="757"/>
      <c r="AC323" s="757"/>
      <c r="AD323" s="757"/>
      <c r="AE323" s="757"/>
      <c r="AF323" s="757"/>
      <c r="AG323" s="757"/>
      <c r="AH323" s="757"/>
      <c r="AI323" s="757"/>
      <c r="AJ323" s="757"/>
      <c r="AK323" s="757"/>
      <c r="AL323" s="757"/>
      <c r="AM323" s="757"/>
      <c r="AN323" s="757"/>
      <c r="AO323" s="757"/>
      <c r="AP323" s="757"/>
      <c r="AQ323" s="757"/>
    </row>
    <row r="324" spans="2:43" x14ac:dyDescent="0.35">
      <c r="F324" s="258"/>
      <c r="H324" s="482"/>
      <c r="I324" s="482"/>
      <c r="J324" s="482"/>
      <c r="K324" s="484"/>
      <c r="L324" s="484"/>
      <c r="M324" s="484"/>
      <c r="N324" s="563"/>
      <c r="O324" s="605"/>
      <c r="P324" s="605"/>
      <c r="Q324" s="482"/>
      <c r="R324" s="484"/>
      <c r="S324" s="484"/>
      <c r="T324" s="484"/>
      <c r="U324" s="484"/>
      <c r="V324" s="484"/>
      <c r="W324" s="484"/>
      <c r="X324" s="484"/>
      <c r="Y324" s="484"/>
      <c r="Z324" s="484"/>
      <c r="AA324" s="484"/>
      <c r="AB324" s="484"/>
      <c r="AC324" s="484"/>
      <c r="AD324" s="484"/>
      <c r="AE324" s="484"/>
      <c r="AF324" s="484"/>
      <c r="AG324" s="484"/>
      <c r="AH324" s="484"/>
      <c r="AI324" s="484"/>
      <c r="AJ324" s="484"/>
      <c r="AK324" s="484"/>
      <c r="AL324" s="484"/>
      <c r="AM324" s="484"/>
      <c r="AN324" s="484"/>
      <c r="AO324" s="484"/>
      <c r="AP324" s="484"/>
      <c r="AQ324" s="484"/>
    </row>
    <row r="325" spans="2:43" x14ac:dyDescent="0.35">
      <c r="F325" s="258"/>
      <c r="G325" s="64"/>
      <c r="H325" s="487"/>
      <c r="I325" s="487"/>
      <c r="J325" s="487"/>
      <c r="K325" s="564"/>
      <c r="L325" s="564"/>
      <c r="M325" s="564"/>
      <c r="N325" s="604"/>
      <c r="O325" s="487"/>
      <c r="P325" s="487"/>
      <c r="Q325" s="487"/>
      <c r="R325" s="484"/>
      <c r="S325" s="484"/>
      <c r="T325" s="484"/>
      <c r="U325" s="484"/>
      <c r="V325" s="484"/>
      <c r="W325" s="484"/>
      <c r="X325" s="484"/>
      <c r="Y325" s="484"/>
      <c r="Z325" s="484"/>
      <c r="AA325" s="484"/>
      <c r="AB325" s="484"/>
      <c r="AC325" s="484"/>
      <c r="AD325" s="484"/>
      <c r="AE325" s="484"/>
      <c r="AF325" s="484"/>
      <c r="AG325" s="484"/>
      <c r="AH325" s="484"/>
      <c r="AI325" s="484"/>
      <c r="AJ325" s="484"/>
      <c r="AK325" s="484"/>
      <c r="AL325" s="484"/>
      <c r="AM325" s="484"/>
      <c r="AN325" s="484"/>
      <c r="AO325" s="484"/>
      <c r="AP325" s="484"/>
      <c r="AQ325" s="484"/>
    </row>
    <row r="326" spans="2:43" x14ac:dyDescent="0.35">
      <c r="F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row>
    <row r="327" spans="2:43" x14ac:dyDescent="0.35">
      <c r="F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row>
    <row r="328" spans="2:43" x14ac:dyDescent="0.35">
      <c r="F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row>
    <row r="329" spans="2:43" x14ac:dyDescent="0.35">
      <c r="F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row>
    <row r="330" spans="2:43" x14ac:dyDescent="0.35">
      <c r="F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row>
    <row r="331" spans="2:43" x14ac:dyDescent="0.35">
      <c r="F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row>
    <row r="332" spans="2:43" x14ac:dyDescent="0.35">
      <c r="F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row>
    <row r="333" spans="2:43" x14ac:dyDescent="0.35">
      <c r="F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row>
    <row r="334" spans="2:43" x14ac:dyDescent="0.35">
      <c r="F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row>
    <row r="335" spans="2:43" x14ac:dyDescent="0.35">
      <c r="F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row>
    <row r="336" spans="2:43" x14ac:dyDescent="0.35">
      <c r="F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row>
    <row r="337" spans="6:43" x14ac:dyDescent="0.35">
      <c r="F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row>
    <row r="338" spans="6:43" x14ac:dyDescent="0.35">
      <c r="F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row>
    <row r="339" spans="6:43" x14ac:dyDescent="0.35">
      <c r="F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row>
    <row r="340" spans="6:43" x14ac:dyDescent="0.35">
      <c r="F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row>
    <row r="341" spans="6:43" x14ac:dyDescent="0.35">
      <c r="F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row>
    <row r="342" spans="6:43" x14ac:dyDescent="0.35">
      <c r="F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row>
    <row r="343" spans="6:43" x14ac:dyDescent="0.35">
      <c r="F343" s="30"/>
      <c r="H343" s="30"/>
      <c r="I343" s="30"/>
      <c r="J343" s="30"/>
      <c r="K343" s="30"/>
      <c r="L343" s="30"/>
      <c r="M343" s="30"/>
      <c r="N343" s="30"/>
      <c r="O343" s="30"/>
      <c r="P343" s="30"/>
      <c r="Q343" s="30"/>
      <c r="R343" s="30"/>
      <c r="S343" s="30"/>
      <c r="T343" s="30"/>
      <c r="U343" s="30"/>
      <c r="V343" s="30"/>
      <c r="W343" s="30"/>
      <c r="X343" s="30"/>
      <c r="Y343" s="30"/>
      <c r="Z343" s="30"/>
    </row>
    <row r="344" spans="6:43" x14ac:dyDescent="0.35">
      <c r="F344" s="30"/>
      <c r="H344" s="30"/>
      <c r="I344" s="30"/>
      <c r="J344" s="30"/>
      <c r="K344" s="30"/>
      <c r="L344" s="30"/>
      <c r="M344" s="30"/>
      <c r="N344" s="30"/>
      <c r="O344" s="30"/>
      <c r="P344" s="30"/>
      <c r="Q344" s="30"/>
      <c r="R344" s="30"/>
      <c r="S344" s="30"/>
      <c r="T344" s="30"/>
      <c r="U344" s="30"/>
      <c r="V344" s="30"/>
      <c r="W344" s="30"/>
      <c r="X344" s="30"/>
      <c r="Y344" s="30"/>
      <c r="Z344" s="30"/>
    </row>
    <row r="345" spans="6:43" x14ac:dyDescent="0.35">
      <c r="F345" s="30"/>
      <c r="H345" s="30"/>
      <c r="I345" s="30"/>
      <c r="J345" s="30"/>
      <c r="K345" s="30"/>
      <c r="L345" s="30"/>
      <c r="M345" s="30"/>
      <c r="N345" s="30"/>
      <c r="O345" s="30"/>
      <c r="P345" s="30"/>
      <c r="Q345" s="30"/>
      <c r="R345" s="30"/>
      <c r="S345" s="30"/>
      <c r="T345" s="30"/>
      <c r="U345" s="30"/>
      <c r="V345" s="30"/>
      <c r="W345" s="30"/>
      <c r="X345" s="30"/>
      <c r="Y345" s="30"/>
      <c r="Z345" s="30"/>
    </row>
    <row r="346" spans="6:43" x14ac:dyDescent="0.35">
      <c r="F346" s="30"/>
      <c r="H346" s="30"/>
      <c r="I346" s="30"/>
      <c r="J346" s="30"/>
      <c r="K346" s="30"/>
      <c r="L346" s="30"/>
      <c r="M346" s="30"/>
      <c r="N346" s="30"/>
      <c r="O346" s="30"/>
      <c r="P346" s="30"/>
      <c r="Q346" s="30"/>
      <c r="R346" s="30"/>
      <c r="S346" s="30"/>
      <c r="T346" s="30"/>
      <c r="U346" s="30"/>
      <c r="V346" s="30"/>
      <c r="W346" s="30"/>
      <c r="X346" s="30"/>
      <c r="Y346" s="30"/>
      <c r="Z346" s="30"/>
    </row>
    <row r="347" spans="6:43" x14ac:dyDescent="0.35">
      <c r="F347" s="30"/>
      <c r="H347" s="30"/>
      <c r="I347" s="30"/>
      <c r="J347" s="30"/>
      <c r="K347" s="30"/>
      <c r="L347" s="30"/>
      <c r="M347" s="30"/>
      <c r="N347" s="30"/>
      <c r="O347" s="30"/>
      <c r="P347" s="30"/>
      <c r="Q347" s="30"/>
      <c r="R347" s="30"/>
      <c r="S347" s="30"/>
      <c r="T347" s="30"/>
      <c r="U347" s="30"/>
      <c r="V347" s="30"/>
      <c r="W347" s="30"/>
      <c r="X347" s="30"/>
      <c r="Y347" s="30"/>
      <c r="Z347" s="30"/>
    </row>
    <row r="348" spans="6:43" x14ac:dyDescent="0.35">
      <c r="F348" s="30"/>
      <c r="H348" s="30"/>
      <c r="I348" s="30"/>
      <c r="J348" s="30"/>
      <c r="K348" s="30"/>
      <c r="L348" s="30"/>
      <c r="M348" s="30"/>
      <c r="N348" s="30"/>
      <c r="O348" s="30"/>
      <c r="P348" s="30"/>
      <c r="Q348" s="30"/>
      <c r="R348" s="30"/>
      <c r="S348" s="30"/>
      <c r="T348" s="30"/>
      <c r="U348" s="30"/>
      <c r="V348" s="30"/>
      <c r="W348" s="30"/>
      <c r="X348" s="30"/>
      <c r="Y348" s="30"/>
      <c r="Z348" s="30"/>
    </row>
    <row r="349" spans="6:43" x14ac:dyDescent="0.35">
      <c r="F349" s="30"/>
      <c r="H349" s="30"/>
      <c r="I349" s="30"/>
      <c r="J349" s="30"/>
      <c r="K349" s="30"/>
      <c r="L349" s="30"/>
      <c r="M349" s="30"/>
      <c r="N349" s="30"/>
      <c r="O349" s="30"/>
      <c r="P349" s="30"/>
      <c r="Q349" s="30"/>
      <c r="R349" s="30"/>
      <c r="S349" s="30"/>
      <c r="T349" s="30"/>
      <c r="U349" s="30"/>
      <c r="V349" s="30"/>
      <c r="W349" s="30"/>
      <c r="X349" s="30"/>
      <c r="Y349" s="30"/>
      <c r="Z349" s="30"/>
    </row>
    <row r="350" spans="6:43" x14ac:dyDescent="0.35">
      <c r="F350" s="30"/>
      <c r="H350" s="30"/>
      <c r="I350" s="30"/>
      <c r="J350" s="30"/>
      <c r="K350" s="30"/>
      <c r="L350" s="30"/>
      <c r="M350" s="30"/>
      <c r="N350" s="30"/>
      <c r="O350" s="30"/>
      <c r="P350" s="30"/>
      <c r="Q350" s="30"/>
      <c r="R350" s="30"/>
      <c r="S350" s="30"/>
      <c r="T350" s="30"/>
      <c r="U350" s="30"/>
      <c r="V350" s="30"/>
      <c r="W350" s="30"/>
      <c r="X350" s="30"/>
      <c r="Y350" s="30"/>
      <c r="Z350" s="30"/>
    </row>
    <row r="351" spans="6:43" x14ac:dyDescent="0.35">
      <c r="F351" s="30"/>
      <c r="H351" s="30"/>
      <c r="I351" s="30"/>
      <c r="J351" s="30"/>
      <c r="K351" s="30"/>
      <c r="L351" s="30"/>
      <c r="M351" s="30"/>
      <c r="N351" s="30"/>
      <c r="O351" s="30"/>
      <c r="P351" s="30"/>
      <c r="Q351" s="30"/>
      <c r="R351" s="30"/>
      <c r="S351" s="30"/>
      <c r="T351" s="30"/>
      <c r="U351" s="30"/>
      <c r="V351" s="30"/>
      <c r="W351" s="30"/>
      <c r="X351" s="30"/>
      <c r="Y351" s="30"/>
      <c r="Z351" s="30"/>
    </row>
    <row r="352" spans="6:43" x14ac:dyDescent="0.35">
      <c r="F352" s="30"/>
      <c r="H352" s="30"/>
      <c r="I352" s="30"/>
      <c r="J352" s="30"/>
      <c r="K352" s="30"/>
      <c r="L352" s="30"/>
      <c r="M352" s="30"/>
      <c r="N352" s="30"/>
      <c r="O352" s="30"/>
      <c r="P352" s="30"/>
      <c r="Q352" s="30"/>
      <c r="R352" s="30"/>
      <c r="S352" s="30"/>
      <c r="T352" s="30"/>
      <c r="U352" s="30"/>
      <c r="V352" s="30"/>
      <c r="W352" s="30"/>
      <c r="X352" s="30"/>
      <c r="Y352" s="30"/>
      <c r="Z352" s="30"/>
    </row>
    <row r="353" spans="6:26" x14ac:dyDescent="0.35">
      <c r="F353" s="30"/>
      <c r="H353" s="30"/>
      <c r="I353" s="30"/>
      <c r="J353" s="30"/>
      <c r="K353" s="30"/>
      <c r="L353" s="30"/>
      <c r="M353" s="30"/>
      <c r="N353" s="30"/>
      <c r="O353" s="30"/>
      <c r="P353" s="30"/>
      <c r="Q353" s="30"/>
      <c r="R353" s="30"/>
      <c r="S353" s="30"/>
      <c r="T353" s="30"/>
      <c r="U353" s="30"/>
      <c r="V353" s="30"/>
      <c r="W353" s="30"/>
      <c r="X353" s="30"/>
      <c r="Y353" s="30"/>
      <c r="Z353" s="30"/>
    </row>
    <row r="354" spans="6:26" x14ac:dyDescent="0.35">
      <c r="F354" s="30"/>
      <c r="H354" s="30"/>
      <c r="I354" s="30"/>
      <c r="J354" s="30"/>
      <c r="K354" s="30"/>
      <c r="L354" s="30"/>
      <c r="M354" s="30"/>
      <c r="N354" s="30"/>
      <c r="O354" s="30"/>
      <c r="P354" s="30"/>
      <c r="Q354" s="30"/>
      <c r="R354" s="30"/>
      <c r="S354" s="30"/>
      <c r="T354" s="30"/>
      <c r="U354" s="30"/>
      <c r="V354" s="30"/>
      <c r="W354" s="30"/>
      <c r="X354" s="30"/>
      <c r="Y354" s="30"/>
      <c r="Z354" s="30"/>
    </row>
    <row r="355" spans="6:26" x14ac:dyDescent="0.35">
      <c r="F355" s="30"/>
      <c r="H355" s="30"/>
      <c r="I355" s="30"/>
      <c r="J355" s="30"/>
      <c r="K355" s="30"/>
      <c r="L355" s="30"/>
      <c r="M355" s="30"/>
      <c r="N355" s="30"/>
      <c r="O355" s="30"/>
      <c r="P355" s="30"/>
      <c r="Q355" s="30"/>
      <c r="R355" s="30"/>
      <c r="S355" s="30"/>
      <c r="T355" s="30"/>
      <c r="U355" s="30"/>
      <c r="V355" s="30"/>
      <c r="W355" s="30"/>
      <c r="X355" s="30"/>
      <c r="Y355" s="30"/>
      <c r="Z355" s="30"/>
    </row>
    <row r="356" spans="6:26" x14ac:dyDescent="0.35">
      <c r="F356" s="30"/>
      <c r="H356" s="30"/>
      <c r="I356" s="30"/>
      <c r="J356" s="30"/>
      <c r="K356" s="30"/>
      <c r="L356" s="30"/>
      <c r="M356" s="30"/>
      <c r="N356" s="30"/>
      <c r="O356" s="30"/>
      <c r="P356" s="30"/>
      <c r="Q356" s="30"/>
      <c r="R356" s="30"/>
      <c r="S356" s="30"/>
      <c r="T356" s="30"/>
      <c r="U356" s="30"/>
      <c r="V356" s="30"/>
      <c r="W356" s="30"/>
      <c r="X356" s="30"/>
      <c r="Y356" s="30"/>
      <c r="Z356" s="30"/>
    </row>
    <row r="357" spans="6:26" x14ac:dyDescent="0.35">
      <c r="F357" s="30"/>
      <c r="H357" s="30"/>
      <c r="I357" s="30"/>
      <c r="J357" s="30"/>
      <c r="K357" s="30"/>
      <c r="L357" s="30"/>
      <c r="M357" s="30"/>
      <c r="N357" s="30"/>
      <c r="O357" s="30"/>
      <c r="P357" s="30"/>
      <c r="Q357" s="30"/>
      <c r="R357" s="30"/>
      <c r="S357" s="30"/>
      <c r="T357" s="30"/>
      <c r="U357" s="30"/>
      <c r="V357" s="30"/>
      <c r="W357" s="30"/>
      <c r="X357" s="30"/>
      <c r="Y357" s="30"/>
      <c r="Z357" s="30"/>
    </row>
  </sheetData>
  <sheetProtection algorithmName="SHA-256" hashValue="ZhAFY9Jl4KPHZ7fuJ3MVVEPychqDwgjowkuGFyorn2c=" saltValue="X5J2rr00GprUHzY5UA4ZGQ==" spinCount="100000" sheet="1" autoFilter="0"/>
  <mergeCells count="3">
    <mergeCell ref="O3:R3"/>
    <mergeCell ref="H3:K3"/>
    <mergeCell ref="A1:B1"/>
  </mergeCells>
  <phoneticPr fontId="13" type="noConversion"/>
  <conditionalFormatting sqref="B88">
    <cfRule type="expression" dxfId="712" priority="94">
      <formula>MOD(ROW(),2)=0</formula>
    </cfRule>
  </conditionalFormatting>
  <conditionalFormatting sqref="B19:C19 B123:D123 B212:D212 B249:D249 B272:D272 B311:D311">
    <cfRule type="expression" dxfId="711" priority="3820">
      <formula>AND(B19=B17,MOD(ROW(),2)=0)</formula>
    </cfRule>
  </conditionalFormatting>
  <conditionalFormatting sqref="B88:C88">
    <cfRule type="expression" dxfId="710" priority="96">
      <formula>AND(B88=B87,MOD(ROW(),2)=0)</formula>
    </cfRule>
    <cfRule type="expression" dxfId="709" priority="95">
      <formula>AND(B88=B87,MOD(ROW(),2)=1)</formula>
    </cfRule>
  </conditionalFormatting>
  <conditionalFormatting sqref="B130:C130">
    <cfRule type="expression" dxfId="708" priority="84">
      <formula>AND(B130=B129,MOD(ROW(),2)=1)</formula>
    </cfRule>
    <cfRule type="expression" dxfId="707" priority="85">
      <formula>AND(B130=B129,MOD(ROW(),2)=0)</formula>
    </cfRule>
  </conditionalFormatting>
  <conditionalFormatting sqref="B137:C137">
    <cfRule type="expression" dxfId="706" priority="8">
      <formula>AND(B137=B136,MOD(ROW(),2)=1)</formula>
    </cfRule>
    <cfRule type="expression" dxfId="705" priority="9">
      <formula>AND(B137=B136,MOD(ROW(),2)=0)</formula>
    </cfRule>
  </conditionalFormatting>
  <conditionalFormatting sqref="B154:C154">
    <cfRule type="expression" dxfId="704" priority="7513">
      <formula>AND(B154=B152,MOD(ROW(),2)=1)</formula>
    </cfRule>
    <cfRule type="expression" dxfId="703" priority="7514">
      <formula>AND(B154=B152,MOD(ROW(),2)=0)</formula>
    </cfRule>
  </conditionalFormatting>
  <conditionalFormatting sqref="B163:C163">
    <cfRule type="expression" dxfId="702" priority="66">
      <formula>AND(B163=B162,MOD(ROW(),2)=0)</formula>
    </cfRule>
    <cfRule type="expression" dxfId="701" priority="65">
      <formula>AND(B163=B162,MOD(ROW(),2)=1)</formula>
    </cfRule>
  </conditionalFormatting>
  <conditionalFormatting sqref="B278:C278">
    <cfRule type="expression" dxfId="700" priority="35">
      <formula>AND(B278=B277,MOD(ROW(),2)=0)</formula>
    </cfRule>
    <cfRule type="expression" dxfId="699" priority="34">
      <formula>AND(B278=B277,MOD(ROW(),2)=1)</formula>
    </cfRule>
  </conditionalFormatting>
  <conditionalFormatting sqref="B7:D16 B17:C18 D17:D21 B20:C21 B22:D23 B25:D32 B35:D58 B68:D84 B86:D87 B89:D94 B96:D105 C106:D106 B107:D112 C113:D113 B114:D119 B121:D128 B145:D153 B155:D157 B171:D189 B191:D193 B203:D216 B218:D221 B223:D228 B230:D253 B263:D276">
    <cfRule type="expression" dxfId="698" priority="1586">
      <formula>AND(B7=B6,MOD(ROW(),2)=0)</formula>
    </cfRule>
  </conditionalFormatting>
  <conditionalFormatting sqref="B24:D24">
    <cfRule type="expression" dxfId="697" priority="4819">
      <formula>AND(B24=B14,MOD(ROW(),2)=0)</formula>
    </cfRule>
    <cfRule type="expression" dxfId="696" priority="4818">
      <formula>AND(B24=B14,MOD(ROW(),2)=1)</formula>
    </cfRule>
  </conditionalFormatting>
  <conditionalFormatting sqref="B33:D33 B67:D67 B202:D202 B229:D229 B262:D262">
    <cfRule type="expression" dxfId="695" priority="7498">
      <formula>AND(B33=B25,MOD(ROW(),2)=1)</formula>
    </cfRule>
    <cfRule type="expression" dxfId="694" priority="7496">
      <formula>AND(B33=B25,MOD(ROW(),2)=0)</formula>
    </cfRule>
  </conditionalFormatting>
  <conditionalFormatting sqref="B59:D59">
    <cfRule type="expression" dxfId="693" priority="4903">
      <formula>AND(B59=B50,MOD(ROW(),2)=0)</formula>
    </cfRule>
    <cfRule type="expression" dxfId="692" priority="4902">
      <formula>AND(B59=B50,MOD(ROW(),2)=1)</formula>
    </cfRule>
  </conditionalFormatting>
  <conditionalFormatting sqref="B60:D66">
    <cfRule type="expression" dxfId="691" priority="109">
      <formula>AND(B60=B59,MOD(ROW(),2)=1)</formula>
    </cfRule>
    <cfRule type="expression" dxfId="690" priority="110">
      <formula>AND(B60=B59,MOD(ROW(),2)=0)</formula>
    </cfRule>
  </conditionalFormatting>
  <conditionalFormatting sqref="B75:D80 D76:D82">
    <cfRule type="expression" dxfId="689" priority="310">
      <formula>MOD(ROW(),2)=0</formula>
    </cfRule>
  </conditionalFormatting>
  <conditionalFormatting sqref="B85:D85">
    <cfRule type="expression" dxfId="688" priority="4909">
      <formula>AND(B85=B73,MOD(ROW(),2)=0)</formula>
    </cfRule>
    <cfRule type="expression" dxfId="687" priority="4908">
      <formula>AND(B85=B73,MOD(ROW(),2)=1)</formula>
    </cfRule>
  </conditionalFormatting>
  <conditionalFormatting sqref="B109:D109">
    <cfRule type="expression" dxfId="686" priority="4815">
      <formula>AND(B109=#REF!,MOD(ROW(),2)=0)</formula>
    </cfRule>
    <cfRule type="expression" dxfId="685" priority="4814">
      <formula>AND(B109=#REF!,MOD(ROW(),2)=1)</formula>
    </cfRule>
  </conditionalFormatting>
  <conditionalFormatting sqref="B116:D116">
    <cfRule type="expression" dxfId="684" priority="6">
      <formula>AND(B116=#REF!,MOD(ROW(),2)=0)</formula>
    </cfRule>
    <cfRule type="expression" dxfId="683" priority="5">
      <formula>AND(B116=#REF!,MOD(ROW(),2)=1)</formula>
    </cfRule>
  </conditionalFormatting>
  <conditionalFormatting sqref="B120:D120 D222">
    <cfRule type="expression" dxfId="682" priority="53">
      <formula>AND(B120=B112,MOD(ROW(),2)=0)</formula>
    </cfRule>
  </conditionalFormatting>
  <conditionalFormatting sqref="B120:D120">
    <cfRule type="expression" dxfId="681" priority="7509">
      <formula>AND(B120=B112,MOD(ROW(),2)=1)</formula>
    </cfRule>
  </conditionalFormatting>
  <conditionalFormatting sqref="B123:D123 B212:D212 B249:D249 B272:D272 B311:D311 B19:C19">
    <cfRule type="expression" dxfId="680" priority="3819">
      <formula>AND(B19=B17,MOD(ROW(),2)=1)</formula>
    </cfRule>
  </conditionalFormatting>
  <conditionalFormatting sqref="B123:D125 B159:D162 B286:D289">
    <cfRule type="expression" dxfId="679" priority="258">
      <formula>AND(B123=B122,MOD(ROW(),2)=0)</formula>
    </cfRule>
  </conditionalFormatting>
  <conditionalFormatting sqref="B124:D124">
    <cfRule type="expression" dxfId="678" priority="4968">
      <formula>AND(B124=B121,MOD(ROW(),2)=1)</formula>
    </cfRule>
    <cfRule type="expression" dxfId="677" priority="4969">
      <formula>AND(B124=B121,MOD(ROW(),2)=0)</formula>
    </cfRule>
  </conditionalFormatting>
  <conditionalFormatting sqref="B125:D125">
    <cfRule type="expression" dxfId="676" priority="5267">
      <formula>AND(B125=B121,MOD(ROW(),2)=1)</formula>
    </cfRule>
    <cfRule type="expression" dxfId="675" priority="5266">
      <formula>AND(B125=B121,MOD(ROW(),2)=0)</formula>
    </cfRule>
  </conditionalFormatting>
  <conditionalFormatting sqref="B126:D126">
    <cfRule type="expression" dxfId="674" priority="284">
      <formula>AND(B126=#REF!,MOD(ROW(),2)=0)</formula>
    </cfRule>
    <cfRule type="expression" dxfId="673" priority="283">
      <formula>AND(B126=#REF!,MOD(ROW(),2)=1)</formula>
    </cfRule>
  </conditionalFormatting>
  <conditionalFormatting sqref="B129:D129">
    <cfRule type="expression" dxfId="672" priority="5240">
      <formula>AND(B129=B111,MOD(ROW(),2)=0)</formula>
    </cfRule>
    <cfRule type="expression" dxfId="671" priority="5243">
      <formula>AND(B129=B111,MOD(ROW(),2)=1)</formula>
    </cfRule>
  </conditionalFormatting>
  <conditionalFormatting sqref="B131:D136 B138:D143">
    <cfRule type="expression" dxfId="670" priority="92">
      <formula>AND(B131=B130,MOD(ROW(),2)=1)</formula>
    </cfRule>
    <cfRule type="expression" dxfId="669" priority="93">
      <formula>AND(B131=B130,MOD(ROW(),2)=0)</formula>
    </cfRule>
  </conditionalFormatting>
  <conditionalFormatting sqref="B144:D144">
    <cfRule type="expression" dxfId="668" priority="7503">
      <formula>AND(B144=B129,MOD(ROW(),2)=0)</formula>
    </cfRule>
    <cfRule type="expression" dxfId="667" priority="7504">
      <formula>AND(B144=B129,MOD(ROW(),2)=1)</formula>
    </cfRule>
  </conditionalFormatting>
  <conditionalFormatting sqref="B158:D158">
    <cfRule type="expression" dxfId="666" priority="4966">
      <formula>AND(B158=B149,MOD(ROW(),2)=1)</formula>
    </cfRule>
    <cfRule type="expression" dxfId="665" priority="4967">
      <formula>AND(B158=B149,MOD(ROW(),2)=0)</formula>
    </cfRule>
  </conditionalFormatting>
  <conditionalFormatting sqref="B164:D169">
    <cfRule type="expression" dxfId="664" priority="76">
      <formula>AND(B164=B163,MOD(ROW(),2)=1)</formula>
    </cfRule>
    <cfRule type="expression" dxfId="663" priority="77">
      <formula>AND(B164=B163,MOD(ROW(),2)=0)</formula>
    </cfRule>
  </conditionalFormatting>
  <conditionalFormatting sqref="B170:D170 B285:D285">
    <cfRule type="expression" dxfId="662" priority="7501">
      <formula>AND(B170=B162,MOD(ROW(),2)=1)</formula>
    </cfRule>
    <cfRule type="expression" dxfId="661" priority="7502">
      <formula>AND(B170=B162,MOD(ROW(),2)=0)</formula>
    </cfRule>
  </conditionalFormatting>
  <conditionalFormatting sqref="B183:D183 B190:D191">
    <cfRule type="expression" dxfId="660" priority="5754">
      <formula>AND(B183=#REF!,MOD(ROW(),2)=0)</formula>
    </cfRule>
    <cfRule type="expression" dxfId="659" priority="5757">
      <formula>AND(B183=#REF!,MOD(ROW(),2)=1)</formula>
    </cfRule>
  </conditionalFormatting>
  <conditionalFormatting sqref="B194:D194">
    <cfRule type="expression" dxfId="658" priority="5246">
      <formula>AND(B194=B185,MOD(ROW(),2)=1)</formula>
    </cfRule>
    <cfRule type="expression" dxfId="657" priority="5247">
      <formula>AND(B194=B185,MOD(ROW(),2)=0)</formula>
    </cfRule>
  </conditionalFormatting>
  <conditionalFormatting sqref="B195:D201">
    <cfRule type="expression" dxfId="656" priority="56">
      <formula>AND(B195=B194,MOD(ROW(),2)=1)</formula>
    </cfRule>
    <cfRule type="expression" dxfId="655" priority="57">
      <formula>AND(B195=B194,MOD(ROW(),2)=0)</formula>
    </cfRule>
  </conditionalFormatting>
  <conditionalFormatting sqref="B198:D198">
    <cfRule type="expression" dxfId="654" priority="62">
      <formula>AND(B198=#REF!,MOD(ROW(),2)=0)</formula>
    </cfRule>
    <cfRule type="expression" dxfId="653" priority="63">
      <formula>AND(B198=#REF!,MOD(ROW(),2)=1)</formula>
    </cfRule>
  </conditionalFormatting>
  <conditionalFormatting sqref="B203:D216 B121:D128 B223:D228 B114:D119 B7:D16 B17:C18 D17:D21 B20:C21 B22:D23 B25:D32 B35:D58 B68:D84 B86:D87 B89:D94 B96:D105 C106:D106 B107:D112 C113:D113 B145:D153 B155:D157 B171:D189 B191:D193 B218:D221 B230:D253 B263:D276">
    <cfRule type="expression" dxfId="652" priority="1585">
      <formula>AND(B7=B6,MOD(ROW(),2)=1)</formula>
    </cfRule>
  </conditionalFormatting>
  <conditionalFormatting sqref="B206:D206">
    <cfRule type="expression" dxfId="651" priority="1893">
      <formula>AND(B206=#REF!,MOD(ROW(),2)=0)</formula>
    </cfRule>
    <cfRule type="expression" dxfId="650" priority="1892">
      <formula>AND(B206=#REF!,MOD(ROW(),2)=1)</formula>
    </cfRule>
  </conditionalFormatting>
  <conditionalFormatting sqref="B213:D213">
    <cfRule type="expression" dxfId="649" priority="4978">
      <formula>AND(B213=B210,MOD(ROW(),2)=0)</formula>
    </cfRule>
    <cfRule type="expression" dxfId="648" priority="4975">
      <formula>AND(B213=B210,MOD(ROW(),2)=1)</formula>
    </cfRule>
  </conditionalFormatting>
  <conditionalFormatting sqref="B215:D215">
    <cfRule type="expression" dxfId="647" priority="303">
      <formula>AND(B215=#REF!,MOD(ROW(),2)=0)</formula>
    </cfRule>
    <cfRule type="expression" dxfId="646" priority="302">
      <formula>AND(B215=#REF!,MOD(ROW(),2)=1)</formula>
    </cfRule>
  </conditionalFormatting>
  <conditionalFormatting sqref="B217:D217">
    <cfRule type="expression" dxfId="645" priority="4974">
      <formula>AND(B217=B207,MOD(ROW(),2)=0)</formula>
    </cfRule>
    <cfRule type="expression" dxfId="644" priority="4973">
      <formula>AND(B217=B207,MOD(ROW(),2)=1)</formula>
    </cfRule>
  </conditionalFormatting>
  <conditionalFormatting sqref="B226:D226">
    <cfRule type="expression" dxfId="643" priority="52">
      <formula>AND(B226=#REF!,MOD(ROW(),2)=0)</formula>
    </cfRule>
    <cfRule type="expression" dxfId="642" priority="51">
      <formula>AND(B226=#REF!,MOD(ROW(),2)=1)</formula>
    </cfRule>
  </conditionalFormatting>
  <conditionalFormatting sqref="B250:D250">
    <cfRule type="expression" dxfId="641" priority="5259">
      <formula>AND(B250=B247,MOD(ROW(),2)=0)</formula>
    </cfRule>
    <cfRule type="expression" dxfId="640" priority="5256">
      <formula>AND(B250=B247,MOD(ROW(),2)=1)</formula>
    </cfRule>
  </conditionalFormatting>
  <conditionalFormatting sqref="B254:D254">
    <cfRule type="expression" dxfId="639" priority="5254">
      <formula>AND(B254=B244,MOD(ROW(),2)=0)</formula>
    </cfRule>
    <cfRule type="expression" dxfId="638" priority="5255">
      <formula>AND(B254=B244,MOD(ROW(),2)=1)</formula>
    </cfRule>
  </conditionalFormatting>
  <conditionalFormatting sqref="B255:D261">
    <cfRule type="expression" dxfId="637" priority="43">
      <formula>AND(B255=B254,MOD(ROW(),2)=1)</formula>
    </cfRule>
    <cfRule type="expression" dxfId="636" priority="44">
      <formula>AND(B255=B254,MOD(ROW(),2)=0)</formula>
    </cfRule>
  </conditionalFormatting>
  <conditionalFormatting sqref="B273:D273">
    <cfRule type="expression" dxfId="635" priority="4984">
      <formula>AND(B273=B270,MOD(ROW(),2)=1)</formula>
    </cfRule>
    <cfRule type="expression" dxfId="634" priority="4987">
      <formula>AND(B273=B270,MOD(ROW(),2)=0)</formula>
    </cfRule>
  </conditionalFormatting>
  <conditionalFormatting sqref="B277:D277">
    <cfRule type="expression" dxfId="633" priority="4982">
      <formula>AND(B277=B267,MOD(ROW(),2)=1)</formula>
    </cfRule>
    <cfRule type="expression" dxfId="632" priority="4983">
      <formula>AND(B277=B267,MOD(ROW(),2)=0)</formula>
    </cfRule>
  </conditionalFormatting>
  <conditionalFormatting sqref="B279:D284">
    <cfRule type="expression" dxfId="631" priority="38">
      <formula>AND(B279=B278,MOD(ROW(),2)=1)</formula>
    </cfRule>
    <cfRule type="expression" dxfId="630" priority="39">
      <formula>AND(B279=B278,MOD(ROW(),2)=0)</formula>
    </cfRule>
  </conditionalFormatting>
  <conditionalFormatting sqref="B286:D288">
    <cfRule type="expression" dxfId="629" priority="212">
      <formula>AND(B286=B275,MOD(ROW(),2)=1)</formula>
    </cfRule>
    <cfRule type="expression" dxfId="628" priority="213">
      <formula>AND(B286=B275,MOD(ROW(),2)=0)</formula>
    </cfRule>
  </conditionalFormatting>
  <conditionalFormatting sqref="B286:D289 B123:D125 B159:D162">
    <cfRule type="expression" dxfId="627" priority="257">
      <formula>AND(B123=B122,MOD(ROW(),2)=1)</formula>
    </cfRule>
  </conditionalFormatting>
  <conditionalFormatting sqref="B287:D290">
    <cfRule type="expression" dxfId="626" priority="217">
      <formula>AND(B287=B286,MOD(ROW(),2)=0)</formula>
    </cfRule>
    <cfRule type="expression" dxfId="625" priority="216">
      <formula>AND(B287=B286,MOD(ROW(),2)=1)</formula>
    </cfRule>
  </conditionalFormatting>
  <conditionalFormatting sqref="B289:D289">
    <cfRule type="expression" dxfId="624" priority="7126">
      <formula>AND(B289=B285,MOD(ROW(),2)=0)</formula>
    </cfRule>
    <cfRule type="expression" dxfId="623" priority="7123">
      <formula>AND(B289=B285,MOD(ROW(),2)=1)</formula>
    </cfRule>
  </conditionalFormatting>
  <conditionalFormatting sqref="B289:D290">
    <cfRule type="expression" dxfId="622" priority="151">
      <formula>AND(B289=B285,MOD(ROW(),2)=0)</formula>
    </cfRule>
    <cfRule type="expression" dxfId="621" priority="150">
      <formula>AND(B289=B285,MOD(ROW(),2)=1)</formula>
    </cfRule>
  </conditionalFormatting>
  <conditionalFormatting sqref="B290:D290">
    <cfRule type="expression" dxfId="620" priority="225">
      <formula>AND(B290=B287,MOD(ROW(),2)=0)</formula>
    </cfRule>
    <cfRule type="expression" dxfId="619" priority="224">
      <formula>AND(B290=B287,MOD(ROW(),2)=1)</formula>
    </cfRule>
  </conditionalFormatting>
  <conditionalFormatting sqref="B291:D298">
    <cfRule type="expression" dxfId="618" priority="164">
      <formula>MOD(ROW(),2)=0</formula>
    </cfRule>
  </conditionalFormatting>
  <conditionalFormatting sqref="B291:D315">
    <cfRule type="expression" dxfId="617" priority="156">
      <formula>AND(B291=B290,MOD(ROW(),2)=1)</formula>
    </cfRule>
    <cfRule type="expression" dxfId="616" priority="157">
      <formula>AND(B291=B290,MOD(ROW(),2)=0)</formula>
    </cfRule>
  </conditionalFormatting>
  <conditionalFormatting sqref="B292:D298">
    <cfRule type="expression" dxfId="615" priority="144">
      <formula>AND(B292=B288,MOD(ROW(),2)=1)</formula>
    </cfRule>
    <cfRule type="expression" dxfId="614" priority="146">
      <formula>AND(B292=B291,MOD(ROW(),2)=1)</formula>
    </cfRule>
    <cfRule type="expression" dxfId="613" priority="159">
      <formula>AND(B292=B288,MOD(ROW(),2)=0)</formula>
    </cfRule>
    <cfRule type="expression" dxfId="612" priority="149">
      <formula>AND(B292=B288,MOD(ROW(),2)=0)</formula>
    </cfRule>
    <cfRule type="expression" dxfId="611" priority="154">
      <formula>AND(B292=B288,MOD(ROW(),2)=1)</formula>
    </cfRule>
    <cfRule type="expression" dxfId="610" priority="158">
      <formula>AND(B292=B288,MOD(ROW(),2)=1)</formula>
    </cfRule>
    <cfRule type="expression" dxfId="609" priority="155">
      <formula>AND(B292=B288,MOD(ROW(),2)=0)</formula>
    </cfRule>
    <cfRule type="expression" dxfId="608" priority="148">
      <formula>AND(B292=B288,MOD(ROW(),2)=1)</formula>
    </cfRule>
    <cfRule type="expression" dxfId="607" priority="147">
      <formula>AND(B292=B291,MOD(ROW(),2)=0)</formula>
    </cfRule>
    <cfRule type="expression" dxfId="606" priority="145">
      <formula>AND(B292=B288,MOD(ROW(),2)=0)</formula>
    </cfRule>
  </conditionalFormatting>
  <conditionalFormatting sqref="B301:D323">
    <cfRule type="expression" dxfId="605" priority="132">
      <formula>MOD(ROW(),2)=0</formula>
    </cfRule>
  </conditionalFormatting>
  <conditionalFormatting sqref="B312:D312">
    <cfRule type="expression" dxfId="604" priority="142">
      <formula>AND(B312=B309,MOD(ROW(),2)=1)</formula>
    </cfRule>
    <cfRule type="expression" dxfId="603" priority="143">
      <formula>AND(B312=B309,MOD(ROW(),2)=0)</formula>
    </cfRule>
  </conditionalFormatting>
  <conditionalFormatting sqref="B316:D316">
    <cfRule type="expression" dxfId="602" priority="140">
      <formula>AND(B316=B306,MOD(ROW(),2)=1)</formula>
    </cfRule>
    <cfRule type="expression" dxfId="601" priority="141">
      <formula>AND(B316=B306,MOD(ROW(),2)=0)</formula>
    </cfRule>
  </conditionalFormatting>
  <conditionalFormatting sqref="B317:D323">
    <cfRule type="expression" dxfId="600" priority="28">
      <formula>AND(B317=B316,MOD(ROW(),2)=0)</formula>
    </cfRule>
    <cfRule type="expression" dxfId="599" priority="27">
      <formula>AND(B317=B316,MOD(ROW(),2)=1)</formula>
    </cfRule>
  </conditionalFormatting>
  <conditionalFormatting sqref="B324:D324">
    <cfRule type="expression" dxfId="598" priority="175">
      <formula>AND(B324=B323,MOD(ROW(),2)=1)</formula>
    </cfRule>
    <cfRule type="expression" dxfId="597" priority="176">
      <formula>AND(B324=B323,MOD(ROW(),2)=0)</formula>
    </cfRule>
    <cfRule type="expression" dxfId="596" priority="181">
      <formula>AND(B324=B321,MOD(ROW(),2)=1)</formula>
    </cfRule>
    <cfRule type="expression" dxfId="595" priority="182">
      <formula>AND(B324=B321,MOD(ROW(),2)=0)</formula>
    </cfRule>
  </conditionalFormatting>
  <conditionalFormatting sqref="B324:D325">
    <cfRule type="expression" dxfId="594" priority="167">
      <formula>AND(B324=B320,MOD(ROW(),2)=1)</formula>
    </cfRule>
    <cfRule type="expression" dxfId="593" priority="168">
      <formula>AND(B324=B320,MOD(ROW(),2)=0)</formula>
    </cfRule>
  </conditionalFormatting>
  <conditionalFormatting sqref="B325:D325">
    <cfRule type="expression" dxfId="592" priority="177">
      <formula>AND(B325=B321,MOD(ROW(),2)=1)</formula>
    </cfRule>
    <cfRule type="expression" dxfId="591" priority="178">
      <formula>AND(B325=B321,MOD(ROW(),2)=0)</formula>
    </cfRule>
    <cfRule type="expression" dxfId="590" priority="179">
      <formula>AND(B325=B324,MOD(ROW(),2)=1)</formula>
    </cfRule>
    <cfRule type="expression" dxfId="589" priority="180">
      <formula>AND(B325=B324,MOD(ROW(),2)=0)</formula>
    </cfRule>
  </conditionalFormatting>
  <conditionalFormatting sqref="B9:E10 D10:D13">
    <cfRule type="expression" dxfId="588" priority="436">
      <formula>MOD(ROW(),2)=0</formula>
    </cfRule>
  </conditionalFormatting>
  <conditionalFormatting sqref="B28:E29 B30:D32">
    <cfRule type="expression" dxfId="587" priority="115">
      <formula>MOD(ROW(),2)=0</formula>
    </cfRule>
  </conditionalFormatting>
  <conditionalFormatting sqref="B188:G188">
    <cfRule type="expression" dxfId="586" priority="265">
      <formula>MOD(ROW(),2)=0</formula>
    </cfRule>
  </conditionalFormatting>
  <conditionalFormatting sqref="B285:G290 E291:G295">
    <cfRule type="expression" dxfId="585" priority="239">
      <formula>MOD(ROW(),2)=0</formula>
    </cfRule>
  </conditionalFormatting>
  <conditionalFormatting sqref="B75:I77">
    <cfRule type="expression" dxfId="584" priority="363">
      <formula>MOD(ROW(),2)=0</formula>
    </cfRule>
  </conditionalFormatting>
  <conditionalFormatting sqref="B145:I146 D146:D149">
    <cfRule type="expression" dxfId="583" priority="426">
      <formula>MOD(ROW(),2)=0</formula>
    </cfRule>
  </conditionalFormatting>
  <conditionalFormatting sqref="B152:I152">
    <cfRule type="expression" dxfId="582" priority="294">
      <formula>MOD(ROW(),2)=0</formula>
    </cfRule>
  </conditionalFormatting>
  <conditionalFormatting sqref="B181:I182 D182:D185">
    <cfRule type="expression" dxfId="581" priority="422">
      <formula>MOD(ROW(),2)=0</formula>
    </cfRule>
  </conditionalFormatting>
  <conditionalFormatting sqref="B196:L197 M196:S199 B198:D200">
    <cfRule type="expression" dxfId="580" priority="58">
      <formula>MOD(ROW(),2)=0</formula>
    </cfRule>
  </conditionalFormatting>
  <conditionalFormatting sqref="B270:Q277 H285:Q289 H291:Q291">
    <cfRule type="expression" dxfId="579" priority="214">
      <formula>MOD(ROW(),2)=0</formula>
    </cfRule>
  </conditionalFormatting>
  <conditionalFormatting sqref="B33:S33 T33:W38 E34:S34 B35:S74 B81:S94">
    <cfRule type="expression" dxfId="578" priority="241">
      <formula>MOD(ROW(),2)=0</formula>
    </cfRule>
  </conditionalFormatting>
  <conditionalFormatting sqref="B127:S144">
    <cfRule type="expression" dxfId="577" priority="1">
      <formula>MOD(ROW(),2)=0</formula>
    </cfRule>
  </conditionalFormatting>
  <conditionalFormatting sqref="B150:S151">
    <cfRule type="expression" dxfId="576" priority="304">
      <formula>MOD(ROW(),2)=0</formula>
    </cfRule>
  </conditionalFormatting>
  <conditionalFormatting sqref="B158:S169">
    <cfRule type="expression" dxfId="575" priority="20">
      <formula>MOD(ROW(),2)=0</formula>
    </cfRule>
  </conditionalFormatting>
  <conditionalFormatting sqref="B185:S187">
    <cfRule type="expression" dxfId="574" priority="22">
      <formula>MOD(ROW(),2)=0</formula>
    </cfRule>
  </conditionalFormatting>
  <conditionalFormatting sqref="B192:S195 B201:S221">
    <cfRule type="expression" dxfId="573" priority="61">
      <formula>MOD(ROW(),2)=0</formula>
    </cfRule>
  </conditionalFormatting>
  <conditionalFormatting sqref="B223:S268">
    <cfRule type="expression" dxfId="572" priority="16">
      <formula>MOD(ROW(),2)=0</formula>
    </cfRule>
  </conditionalFormatting>
  <conditionalFormatting sqref="B278:S284">
    <cfRule type="expression" dxfId="571" priority="18">
      <formula>MOD(ROW(),2)=0</formula>
    </cfRule>
  </conditionalFormatting>
  <conditionalFormatting sqref="B324:S325">
    <cfRule type="expression" dxfId="570" priority="169">
      <formula>MOD(ROW(),2)=0</formula>
    </cfRule>
  </conditionalFormatting>
  <conditionalFormatting sqref="B7:W8 E11 B11:D14 E147:I147 B147:D149 E148:L149 E156:L157 B170:D178 E177:L177 B178:L178 B179:S180 E183:I183 E184:L184 R270:R272 R273:S277 R285:S315">
    <cfRule type="expression" dxfId="569" priority="3190">
      <formula>MOD(ROW(),2)=0</formula>
    </cfRule>
  </conditionalFormatting>
  <conditionalFormatting sqref="B15:W16 E17:W17 B17:D21">
    <cfRule type="expression" dxfId="568" priority="243">
      <formula>MOD(ROW(),2)=0</formula>
    </cfRule>
  </conditionalFormatting>
  <conditionalFormatting sqref="B22:W27">
    <cfRule type="expression" dxfId="567" priority="117">
      <formula>MOD(ROW(),2)=0</formula>
    </cfRule>
  </conditionalFormatting>
  <conditionalFormatting sqref="C95">
    <cfRule type="expression" dxfId="566" priority="126">
      <formula>AND(C95=C87,MOD(ROW(),2)=1)</formula>
    </cfRule>
    <cfRule type="expression" dxfId="565" priority="125">
      <formula>MOD(ROW(),2)=0</formula>
    </cfRule>
    <cfRule type="expression" dxfId="564" priority="127">
      <formula>AND(C95=C87,MOD(ROW(),2)=0)</formula>
    </cfRule>
  </conditionalFormatting>
  <conditionalFormatting sqref="D88">
    <cfRule type="expression" dxfId="563" priority="106">
      <formula>AND(D88=D80,MOD(ROW(),2)=0)</formula>
    </cfRule>
    <cfRule type="expression" dxfId="562" priority="107">
      <formula>AND(D88=D80,MOD(ROW(),2)=1)</formula>
    </cfRule>
  </conditionalFormatting>
  <conditionalFormatting sqref="D130">
    <cfRule type="expression" dxfId="561" priority="91">
      <formula>AND(D130=D122,MOD(ROW(),2)=1)</formula>
    </cfRule>
    <cfRule type="expression" dxfId="560" priority="90">
      <formula>AND(D130=D122,MOD(ROW(),2)=0)</formula>
    </cfRule>
  </conditionalFormatting>
  <conditionalFormatting sqref="D137">
    <cfRule type="expression" dxfId="559" priority="11">
      <formula>AND(D137=D129,MOD(ROW(),2)=0)</formula>
    </cfRule>
    <cfRule type="expression" dxfId="558" priority="12">
      <formula>AND(D137=D129,MOD(ROW(),2)=1)</formula>
    </cfRule>
  </conditionalFormatting>
  <conditionalFormatting sqref="D154">
    <cfRule type="expression" dxfId="557" priority="7516">
      <formula>AND(D154=#REF!,MOD(ROW(),2)=1)</formula>
    </cfRule>
    <cfRule type="expression" dxfId="556" priority="7511">
      <formula>AND(D154=#REF!,MOD(ROW(),2)=0)</formula>
    </cfRule>
  </conditionalFormatting>
  <conditionalFormatting sqref="D163">
    <cfRule type="expression" dxfId="555" priority="80">
      <formula>AND(D163=D155,MOD(ROW(),2)=1)</formula>
    </cfRule>
    <cfRule type="expression" dxfId="554" priority="79">
      <formula>AND(D163=D155,MOD(ROW(),2)=0)</formula>
    </cfRule>
  </conditionalFormatting>
  <conditionalFormatting sqref="D278">
    <cfRule type="expression" dxfId="553" priority="41">
      <formula>AND(D278=D270,MOD(ROW(),2)=1)</formula>
    </cfRule>
    <cfRule type="expression" dxfId="552" priority="40">
      <formula>AND(D278=D270,MOD(ROW(),2)=0)</formula>
    </cfRule>
  </conditionalFormatting>
  <conditionalFormatting sqref="D222:S222 B269:R269 S269:S272">
    <cfRule type="expression" dxfId="551" priority="247">
      <formula>MOD(ROW(),2)=0</formula>
    </cfRule>
  </conditionalFormatting>
  <conditionalFormatting sqref="E30">
    <cfRule type="expression" dxfId="550" priority="21">
      <formula>MOD(ROW(),2)=0</formula>
    </cfRule>
  </conditionalFormatting>
  <conditionalFormatting sqref="E78:I80">
    <cfRule type="expression" dxfId="549" priority="309">
      <formula>MOD(ROW(),2)=0</formula>
    </cfRule>
  </conditionalFormatting>
  <conditionalFormatting sqref="E191:I191">
    <cfRule type="expression" dxfId="548" priority="252">
      <formula>MOD(ROW(),2)=0</formula>
    </cfRule>
  </conditionalFormatting>
  <conditionalFormatting sqref="E296:I296">
    <cfRule type="expression" dxfId="547" priority="477">
      <formula>MOD(ROW(),2)=0</formula>
    </cfRule>
  </conditionalFormatting>
  <conditionalFormatting sqref="E198:L199">
    <cfRule type="expression" dxfId="546" priority="15">
      <formula>MOD(ROW(),2)=0</formula>
    </cfRule>
  </conditionalFormatting>
  <conditionalFormatting sqref="E18:N19">
    <cfRule type="expression" dxfId="545" priority="295">
      <formula>MOD(ROW(),2)=0</formula>
    </cfRule>
  </conditionalFormatting>
  <conditionalFormatting sqref="E297:Q298 B299:Q300 E301:Q315">
    <cfRule type="expression" dxfId="544" priority="233">
      <formula>MOD(ROW(),2)=0</formula>
    </cfRule>
  </conditionalFormatting>
  <conditionalFormatting sqref="E113:S118">
    <cfRule type="expression" dxfId="543" priority="3">
      <formula>MOD(ROW(),2)=0</formula>
    </cfRule>
  </conditionalFormatting>
  <conditionalFormatting sqref="E126:S126">
    <cfRule type="expression" dxfId="542" priority="253">
      <formula>MOD(ROW(),2)=0</formula>
    </cfRule>
  </conditionalFormatting>
  <conditionalFormatting sqref="E170:S176">
    <cfRule type="expression" dxfId="541" priority="398">
      <formula>MOD(ROW(),2)=0</formula>
    </cfRule>
  </conditionalFormatting>
  <conditionalFormatting sqref="E200:S200">
    <cfRule type="expression" dxfId="540" priority="45">
      <formula>MOD(ROW(),2)=0</formula>
    </cfRule>
  </conditionalFormatting>
  <conditionalFormatting sqref="E317:S323">
    <cfRule type="expression" dxfId="539" priority="19">
      <formula>MOD(ROW(),2)=0</formula>
    </cfRule>
  </conditionalFormatting>
  <conditionalFormatting sqref="E121:T124">
    <cfRule type="expression" dxfId="538" priority="82">
      <formula>MOD(ROW(),2)=0</formula>
    </cfRule>
  </conditionalFormatting>
  <conditionalFormatting sqref="E20:W21">
    <cfRule type="expression" dxfId="537" priority="381">
      <formula>MOD(ROW(),2)=0</formula>
    </cfRule>
  </conditionalFormatting>
  <conditionalFormatting sqref="E31:W32">
    <cfRule type="expression" dxfId="536" priority="116">
      <formula>MOD(ROW(),2)=0</formula>
    </cfRule>
  </conditionalFormatting>
  <conditionalFormatting sqref="F9:L11">
    <cfRule type="expression" dxfId="535" priority="334">
      <formula>MOD(ROW(),2)=0</formula>
    </cfRule>
  </conditionalFormatting>
  <conditionalFormatting sqref="F28:W30">
    <cfRule type="expression" dxfId="534" priority="112">
      <formula>MOD(ROW(),2)=0</formula>
    </cfRule>
  </conditionalFormatting>
  <conditionalFormatting sqref="H288:I295">
    <cfRule type="expression" dxfId="533" priority="209">
      <formula>MOD(ROW(),2)=0</formula>
    </cfRule>
  </conditionalFormatting>
  <conditionalFormatting sqref="J75:L80">
    <cfRule type="expression" dxfId="532" priority="365">
      <formula>MOD(ROW(),2)=0</formula>
    </cfRule>
  </conditionalFormatting>
  <conditionalFormatting sqref="J145:L147">
    <cfRule type="expression" dxfId="531" priority="1789">
      <formula>MOD(ROW(),2)=0</formula>
    </cfRule>
  </conditionalFormatting>
  <conditionalFormatting sqref="J288:Q296">
    <cfRule type="expression" dxfId="530" priority="210">
      <formula>MOD(ROW(),2)=0</formula>
    </cfRule>
  </conditionalFormatting>
  <conditionalFormatting sqref="M9:N9 P9:W9 M10:W11 E12:W14">
    <cfRule type="expression" dxfId="529" priority="3003">
      <formula>MOD(ROW(),2)=0</formula>
    </cfRule>
  </conditionalFormatting>
  <conditionalFormatting sqref="M79:N80 Q80:S80">
    <cfRule type="expression" dxfId="528" priority="364">
      <formula>MOD(ROW(),2)=0</formula>
    </cfRule>
  </conditionalFormatting>
  <conditionalFormatting sqref="M75:S75 M76:Q78 R76:S79 Q79">
    <cfRule type="expression" dxfId="527" priority="346">
      <formula>MOD(ROW(),2)=0</formula>
    </cfRule>
  </conditionalFormatting>
  <conditionalFormatting sqref="M145:S149">
    <cfRule type="expression" dxfId="526" priority="81">
      <formula>MOD(ROW(),2)=0</formula>
    </cfRule>
  </conditionalFormatting>
  <conditionalFormatting sqref="M177:S178">
    <cfRule type="expression" dxfId="525" priority="1766">
      <formula>MOD(ROW(),2)=0</formula>
    </cfRule>
  </conditionalFormatting>
  <conditionalFormatting sqref="O9:P10">
    <cfRule type="expression" dxfId="524" priority="412">
      <formula>MOD(ROW(),2)=0</formula>
    </cfRule>
  </conditionalFormatting>
  <conditionalFormatting sqref="O17:P19">
    <cfRule type="expression" dxfId="523" priority="369">
      <formula>MOD(ROW(),2)=0</formula>
    </cfRule>
  </conditionalFormatting>
  <conditionalFormatting sqref="O28:P29">
    <cfRule type="expression" dxfId="522" priority="114">
      <formula>MOD(ROW(),2)=0</formula>
    </cfRule>
  </conditionalFormatting>
  <conditionalFormatting sqref="O76:P80">
    <cfRule type="expression" dxfId="521" priority="361">
      <formula>MOD(ROW(),2)=0</formula>
    </cfRule>
  </conditionalFormatting>
  <conditionalFormatting sqref="P25">
    <cfRule type="expression" dxfId="520" priority="411">
      <formula>MOD(ROW(),2)=0</formula>
    </cfRule>
  </conditionalFormatting>
  <conditionalFormatting sqref="P46">
    <cfRule type="expression" dxfId="519" priority="409">
      <formula>MOD(ROW(),2)=0</formula>
    </cfRule>
  </conditionalFormatting>
  <conditionalFormatting sqref="P61">
    <cfRule type="expression" dxfId="518" priority="108">
      <formula>MOD(ROW(),2)=0</formula>
    </cfRule>
  </conditionalFormatting>
  <conditionalFormatting sqref="P68">
    <cfRule type="expression" dxfId="517" priority="407">
      <formula>MOD(ROW(),2)=0</formula>
    </cfRule>
  </conditionalFormatting>
  <conditionalFormatting sqref="P86">
    <cfRule type="expression" dxfId="516" priority="405">
      <formula>MOD(ROW(),2)=0</formula>
    </cfRule>
  </conditionalFormatting>
  <conditionalFormatting sqref="P107">
    <cfRule type="expression" dxfId="515" priority="403">
      <formula>MOD(ROW(),2)=0</formula>
    </cfRule>
  </conditionalFormatting>
  <conditionalFormatting sqref="P114">
    <cfRule type="expression" dxfId="514" priority="4">
      <formula>MOD(ROW(),2)=0</formula>
    </cfRule>
  </conditionalFormatting>
  <conditionalFormatting sqref="P145">
    <cfRule type="expression" dxfId="513" priority="401">
      <formula>MOD(ROW(),2)=0</formula>
    </cfRule>
  </conditionalFormatting>
  <conditionalFormatting sqref="P152:P153">
    <cfRule type="expression" dxfId="512" priority="305">
      <formula>MOD(ROW(),2)=0</formula>
    </cfRule>
  </conditionalFormatting>
  <conditionalFormatting sqref="P160">
    <cfRule type="expression" dxfId="511" priority="399">
      <formula>MOD(ROW(),2)=0</formula>
    </cfRule>
  </conditionalFormatting>
  <conditionalFormatting sqref="P164">
    <cfRule type="expression" dxfId="510" priority="74">
      <formula>MOD(ROW(),2)=0</formula>
    </cfRule>
  </conditionalFormatting>
  <conditionalFormatting sqref="P181">
    <cfRule type="expression" dxfId="509" priority="397">
      <formula>MOD(ROW(),2)=0</formula>
    </cfRule>
  </conditionalFormatting>
  <conditionalFormatting sqref="P188:P189">
    <cfRule type="expression" dxfId="508" priority="276">
      <formula>MOD(ROW(),2)=0</formula>
    </cfRule>
  </conditionalFormatting>
  <conditionalFormatting sqref="P196">
    <cfRule type="expression" dxfId="507" priority="59">
      <formula>MOD(ROW(),2)=0</formula>
    </cfRule>
  </conditionalFormatting>
  <conditionalFormatting sqref="P203">
    <cfRule type="expression" dxfId="506" priority="395">
      <formula>MOD(ROW(),2)=0</formula>
    </cfRule>
  </conditionalFormatting>
  <conditionalFormatting sqref="P210:P212">
    <cfRule type="expression" dxfId="505" priority="301">
      <formula>MOD(ROW(),2)=0</formula>
    </cfRule>
  </conditionalFormatting>
  <conditionalFormatting sqref="P219">
    <cfRule type="expression" dxfId="504" priority="393">
      <formula>MOD(ROW(),2)=0</formula>
    </cfRule>
  </conditionalFormatting>
  <conditionalFormatting sqref="P223">
    <cfRule type="expression" dxfId="503" priority="50">
      <formula>MOD(ROW(),2)=0</formula>
    </cfRule>
  </conditionalFormatting>
  <conditionalFormatting sqref="P240">
    <cfRule type="expression" dxfId="502" priority="391">
      <formula>MOD(ROW(),2)=0</formula>
    </cfRule>
  </conditionalFormatting>
  <conditionalFormatting sqref="P247:P249">
    <cfRule type="expression" dxfId="501" priority="275">
      <formula>MOD(ROW(),2)=0</formula>
    </cfRule>
  </conditionalFormatting>
  <conditionalFormatting sqref="P256">
    <cfRule type="expression" dxfId="500" priority="42">
      <formula>MOD(ROW(),2)=0</formula>
    </cfRule>
  </conditionalFormatting>
  <conditionalFormatting sqref="P263">
    <cfRule type="expression" dxfId="499" priority="389">
      <formula>MOD(ROW(),2)=0</formula>
    </cfRule>
  </conditionalFormatting>
  <conditionalFormatting sqref="P270:P272">
    <cfRule type="expression" dxfId="498" priority="299">
      <formula>MOD(ROW(),2)=0</formula>
    </cfRule>
  </conditionalFormatting>
  <conditionalFormatting sqref="P279">
    <cfRule type="expression" dxfId="497" priority="37">
      <formula>MOD(ROW(),2)=0</formula>
    </cfRule>
  </conditionalFormatting>
  <conditionalFormatting sqref="P288:P289">
    <cfRule type="expression" dxfId="496" priority="211">
      <formula>MOD(ROW(),2)=0</formula>
    </cfRule>
  </conditionalFormatting>
  <conditionalFormatting sqref="P302">
    <cfRule type="expression" dxfId="495" priority="385">
      <formula>MOD(ROW(),2)=0</formula>
    </cfRule>
  </conditionalFormatting>
  <conditionalFormatting sqref="P318">
    <cfRule type="expression" dxfId="494" priority="31">
      <formula>MOD(ROW(),2)=0</formula>
    </cfRule>
  </conditionalFormatting>
  <conditionalFormatting sqref="P89:Q89">
    <cfRule type="expression" dxfId="493" priority="105">
      <formula>MOD(ROW(),2)=0</formula>
    </cfRule>
  </conditionalFormatting>
  <conditionalFormatting sqref="P131:Q131">
    <cfRule type="expression" dxfId="492" priority="89">
      <formula>MOD(ROW(),2)=0</formula>
    </cfRule>
  </conditionalFormatting>
  <conditionalFormatting sqref="P138:Q138">
    <cfRule type="expression" dxfId="491" priority="10">
      <formula>MOD(ROW(),2)=0</formula>
    </cfRule>
  </conditionalFormatting>
  <conditionalFormatting sqref="Q18:W19">
    <cfRule type="expression" dxfId="490" priority="124">
      <formula>MOD(ROW(),2)=0</formula>
    </cfRule>
  </conditionalFormatting>
  <conditionalFormatting sqref="T64:T120">
    <cfRule type="expression" dxfId="489" priority="119">
      <formula>MOD(ROW(),2)=0</formula>
    </cfRule>
  </conditionalFormatting>
  <conditionalFormatting sqref="T39:AQ63">
    <cfRule type="expression" dxfId="488" priority="13">
      <formula>MOD(ROW(),2)=0</formula>
    </cfRule>
  </conditionalFormatting>
  <conditionalFormatting sqref="U64:AQ315 B74:B77 E95:S95 B96:S105 C106:S106 B107:S112 C113:D113 B114:D118 B119:S120 B121:D126 D122:D128 B125:S125 T125:T325 J152:L155 M152:S157 E153:I155 B153:D157 J181:L183 M181:S184 B183:D184 H188:I190 J188:S191 E189:G190 B189:D191 D189:D193">
    <cfRule type="expression" dxfId="487" priority="349">
      <formula>MOD(ROW(),2)=0</formula>
    </cfRule>
  </conditionalFormatting>
  <conditionalFormatting sqref="U317:AQ325">
    <cfRule type="expression" dxfId="486" priority="30">
      <formula>MOD(ROW(),2)=0</formula>
    </cfRule>
  </conditionalFormatting>
  <conditionalFormatting sqref="X7:AQ38">
    <cfRule type="expression" dxfId="485" priority="14">
      <formula>MOD(ROW(),2)=0</formula>
    </cfRule>
  </conditionalFormatting>
  <hyperlinks>
    <hyperlink ref="A1" location="Index!A1" display="&lt;&lt;Back to Index" xr:uid="{00000000-0004-0000-1100-000000000000}"/>
  </hyperlinks>
  <pageMargins left="0.7" right="0.7" top="0.75" bottom="0.75" header="0.3" footer="0.3"/>
  <pageSetup paperSize="9" orientation="portrait" r:id="rId1"/>
  <headerFooter>
    <oddHeader>&amp;C&amp;"Calibri"&amp;10&amp;KFF0000 OFFICIAL SENSITIVE&amp;1#_x000D_</oddHeader>
  </headerFooter>
  <ignoredErrors>
    <ignoredError sqref="R24 R304:R306 L262:R262 F217:G218 F277:G277 F85:G85 G145:G147 R36:R37 L301:R301 F12:J12 F144:I144 F158:I159 F262:I262 F42:J42 K11:L13 L9:L10 K40:L43 N35:N37 G35:G41 F49:G50 G68:G70 G9:G11 I14:K14 L158:R159 L179:Q180 L144:Q144 F67:R67 J73:Q73 K68:N69 L105:Q105 L145:N146 L171 L217 Q204:R204 K240:N241 J305:N305 Q303:R303 L99:N101 G96:G102 J103:K106 F103:G106 J158:K158 G170:G176 F177:K180 F194:R194 G203:G205 J217:K218 G229:G235 F236:G239 J300:K301 J254:K254 G263:G265 R183 R242 R265 K302:N303 R302 L96:N97 L98:M98 L170:N170 L172:N175 K229:N234 F300:G301 G181:G183 N9:N13 N40:N43 Q43 J49:N50 Q49 J71:N72 L103:N104 Q110 Q148:R148 L177:N178 Q184:R184 Q206 Q236:R237 Q243:R243 Q266:R266 Q305 K96:K101 K107:N108 K170:K175 K181:N182 K203:N204 K263:N264 R144:R147 R40:R42 F24:I24 K24:L24 K144:K146 K159 K262 J85:O85 L106:O106 J277:P277 L300:P300 R300 F202:H202 R202:R203 J238:P239 R238:R239 N171 L218:O218 F44:R45 R217:R218 Q107 R170:R180 Q181:Q182 Q218 Q240:R241 Q263:R264 R10:R14 F71:G73 G46:G48 F148:N149 R205:R207 J206:N207 F206:G207 J266:N267 F266:G267 F111:G111 N217:Q217 G107:G110 F243:G244 G240:G242 F305:G305 G302:G304 J110:N111 F184:N185 J243:N244 K236:N237 F43 H43:J43 F13 Q14 H13:I13 K35:L37 R229:R235 F38 M176 Q288 R149 R185 R244 R267 F59:R59 F129:R129 F254:I254 L254:R254"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70C0"/>
  </sheetPr>
  <dimension ref="A1:AJ430"/>
  <sheetViews>
    <sheetView zoomScale="85" zoomScaleNormal="85" workbookViewId="0">
      <pane xSplit="7" ySplit="6" topLeftCell="J7" activePane="bottomRight" state="frozen"/>
      <selection pane="topRight" activeCell="H1" sqref="H1"/>
      <selection pane="bottomLeft" activeCell="A7" sqref="A7"/>
      <selection pane="bottomRight" activeCell="B2" sqref="B2"/>
    </sheetView>
  </sheetViews>
  <sheetFormatPr defaultColWidth="8.81640625" defaultRowHeight="14" x14ac:dyDescent="0.35"/>
  <cols>
    <col min="1" max="1" width="1.81640625" style="30" customWidth="1"/>
    <col min="2" max="3" width="15.81640625" style="30" customWidth="1"/>
    <col min="4" max="4" width="18.1796875" style="30" customWidth="1"/>
    <col min="5" max="5" width="19.453125" style="30" bestFit="1" customWidth="1"/>
    <col min="6" max="6" width="10.81640625" style="65" customWidth="1"/>
    <col min="7" max="7" width="10.81640625" style="30" customWidth="1"/>
    <col min="8" max="10" width="10.81640625" style="458" customWidth="1"/>
    <col min="11" max="11" width="11.81640625" style="65" bestFit="1" customWidth="1"/>
    <col min="12" max="12" width="0.81640625" style="65" customWidth="1"/>
    <col min="13" max="13" width="10.81640625" style="65" customWidth="1"/>
    <col min="14" max="14" width="0.81640625" style="65" customWidth="1"/>
    <col min="15" max="17" width="10.81640625" style="458" customWidth="1"/>
    <col min="18" max="18" width="11.81640625" style="65" bestFit="1" customWidth="1"/>
    <col min="19" max="19" width="11.81640625" style="65" customWidth="1"/>
    <col min="20" max="20" width="11.81640625" style="639" customWidth="1"/>
    <col min="21" max="36" width="11.81640625" style="65" customWidth="1"/>
    <col min="37" max="16384" width="8.81640625" style="30"/>
  </cols>
  <sheetData>
    <row r="1" spans="1:36" ht="10.4" customHeight="1" x14ac:dyDescent="0.35">
      <c r="A1" s="815" t="s">
        <v>18</v>
      </c>
      <c r="B1" s="816"/>
    </row>
    <row r="2" spans="1:36" s="62" customFormat="1" ht="22.5" customHeight="1" x14ac:dyDescent="0.35">
      <c r="A2" s="61" t="s">
        <v>81</v>
      </c>
      <c r="F2" s="331"/>
      <c r="H2" s="459"/>
      <c r="I2" s="459"/>
      <c r="J2" s="459"/>
      <c r="K2" s="331"/>
      <c r="L2" s="331"/>
      <c r="M2" s="331"/>
      <c r="N2" s="331"/>
      <c r="O2" s="459"/>
      <c r="P2" s="459"/>
      <c r="Q2" s="459"/>
      <c r="R2" s="331"/>
      <c r="S2" s="331"/>
      <c r="T2" s="640"/>
      <c r="U2" s="331"/>
      <c r="V2" s="331"/>
      <c r="W2" s="331"/>
      <c r="X2" s="331"/>
      <c r="Y2" s="331"/>
      <c r="Z2" s="331"/>
      <c r="AA2" s="331"/>
      <c r="AB2" s="331"/>
      <c r="AC2" s="331"/>
      <c r="AD2" s="331"/>
      <c r="AE2" s="331"/>
      <c r="AF2" s="331"/>
      <c r="AG2" s="331"/>
      <c r="AH2" s="331"/>
      <c r="AI2" s="331"/>
      <c r="AJ2" s="331"/>
    </row>
    <row r="3" spans="1:36" s="129" customFormat="1" x14ac:dyDescent="0.3">
      <c r="B3" s="461"/>
      <c r="C3" s="461"/>
      <c r="D3" s="461"/>
      <c r="E3" s="461"/>
      <c r="F3" s="462"/>
      <c r="G3" s="461"/>
      <c r="H3" s="894" t="str">
        <f>PY</f>
        <v>2025-26</v>
      </c>
      <c r="I3" s="894"/>
      <c r="J3" s="894"/>
      <c r="K3" s="894"/>
      <c r="L3" s="463"/>
      <c r="M3" s="562" t="str">
        <f>FY</f>
        <v>2026-27</v>
      </c>
      <c r="N3" s="463"/>
      <c r="O3" s="894" t="str">
        <f>FY</f>
        <v>2026-27</v>
      </c>
      <c r="P3" s="894"/>
      <c r="Q3" s="894"/>
      <c r="R3" s="894"/>
      <c r="S3" s="463"/>
      <c r="T3" s="641"/>
      <c r="U3" s="463"/>
      <c r="V3" s="463"/>
      <c r="W3" s="463"/>
      <c r="X3" s="463"/>
      <c r="Y3" s="463"/>
      <c r="Z3" s="463"/>
      <c r="AA3" s="463"/>
      <c r="AB3" s="463"/>
      <c r="AC3" s="463"/>
      <c r="AD3" s="463"/>
      <c r="AE3" s="463"/>
      <c r="AF3" s="463"/>
      <c r="AG3" s="463"/>
      <c r="AH3" s="463"/>
      <c r="AI3" s="463"/>
      <c r="AJ3" s="463"/>
    </row>
    <row r="4" spans="1:36" s="129" customFormat="1" ht="15" customHeight="1" x14ac:dyDescent="0.3">
      <c r="B4" s="461"/>
      <c r="C4" s="461"/>
      <c r="D4" s="461"/>
      <c r="E4" s="461"/>
      <c r="F4" s="464" t="str">
        <f>$H$3</f>
        <v>2025-26</v>
      </c>
      <c r="G4" s="461"/>
      <c r="H4" s="466" t="str">
        <f>$H$3</f>
        <v>2025-26</v>
      </c>
      <c r="I4" s="466" t="str">
        <f>$H$3</f>
        <v>2025-26</v>
      </c>
      <c r="J4" s="466" t="str">
        <f>$H$3</f>
        <v>2025-26</v>
      </c>
      <c r="K4" s="464" t="str">
        <f>$H$3</f>
        <v>2025-26</v>
      </c>
      <c r="L4" s="464"/>
      <c r="M4" s="464" t="str">
        <f>FY</f>
        <v>2026-27</v>
      </c>
      <c r="N4" s="464"/>
      <c r="O4" s="466" t="str">
        <f>$O$3</f>
        <v>2026-27</v>
      </c>
      <c r="P4" s="466" t="str">
        <f>$O$3</f>
        <v>2026-27</v>
      </c>
      <c r="Q4" s="466" t="str">
        <f>$O$3</f>
        <v>2026-27</v>
      </c>
      <c r="R4" s="464" t="str">
        <f>$O$3</f>
        <v>2026-27</v>
      </c>
      <c r="S4" s="464"/>
      <c r="T4" s="641"/>
      <c r="U4" s="464"/>
      <c r="V4" s="464"/>
      <c r="W4" s="464"/>
      <c r="X4" s="464"/>
      <c r="Y4" s="464"/>
      <c r="Z4" s="464"/>
      <c r="AA4" s="464"/>
      <c r="AB4" s="464"/>
      <c r="AC4" s="464"/>
      <c r="AD4" s="464"/>
      <c r="AE4" s="464"/>
      <c r="AF4" s="464"/>
      <c r="AG4" s="464"/>
      <c r="AH4" s="464"/>
      <c r="AI4" s="464"/>
      <c r="AJ4" s="464"/>
    </row>
    <row r="5" spans="1:36" s="64" customFormat="1" x14ac:dyDescent="0.35">
      <c r="B5" s="361" t="s">
        <v>1</v>
      </c>
      <c r="C5" s="361" t="s">
        <v>10</v>
      </c>
      <c r="D5" s="361" t="s">
        <v>22</v>
      </c>
      <c r="E5" s="361" t="s">
        <v>11</v>
      </c>
      <c r="F5" s="363" t="s">
        <v>24</v>
      </c>
      <c r="G5" s="361" t="s">
        <v>32</v>
      </c>
      <c r="H5" s="468" t="s">
        <v>46</v>
      </c>
      <c r="I5" s="468" t="s">
        <v>47</v>
      </c>
      <c r="J5" s="468" t="s">
        <v>21</v>
      </c>
      <c r="K5" s="471" t="s">
        <v>23</v>
      </c>
      <c r="L5" s="471"/>
      <c r="M5" s="471" t="s">
        <v>20</v>
      </c>
      <c r="N5" s="471"/>
      <c r="O5" s="468" t="s">
        <v>46</v>
      </c>
      <c r="P5" s="468" t="s">
        <v>47</v>
      </c>
      <c r="Q5" s="468" t="s">
        <v>21</v>
      </c>
      <c r="R5" s="471" t="s">
        <v>23</v>
      </c>
      <c r="S5" s="471"/>
      <c r="T5" s="642"/>
      <c r="U5" s="471"/>
      <c r="V5" s="471"/>
      <c r="W5" s="471"/>
      <c r="X5" s="471"/>
      <c r="Y5" s="471"/>
      <c r="Z5" s="471"/>
      <c r="AA5" s="471"/>
      <c r="AB5" s="471"/>
      <c r="AC5" s="471"/>
      <c r="AD5" s="471"/>
      <c r="AE5" s="471"/>
      <c r="AF5" s="471"/>
      <c r="AG5" s="471"/>
      <c r="AH5" s="471"/>
      <c r="AI5" s="471"/>
      <c r="AJ5" s="471"/>
    </row>
    <row r="6" spans="1:36" s="472" customFormat="1" x14ac:dyDescent="0.35">
      <c r="B6" s="473"/>
      <c r="C6" s="473"/>
      <c r="D6" s="473"/>
      <c r="E6" s="473"/>
      <c r="F6" s="474" t="s">
        <v>53</v>
      </c>
      <c r="G6" s="473"/>
      <c r="H6" s="475" t="s">
        <v>68</v>
      </c>
      <c r="I6" s="475" t="s">
        <v>44</v>
      </c>
      <c r="J6" s="475" t="s">
        <v>45</v>
      </c>
      <c r="K6" s="478" t="s">
        <v>27</v>
      </c>
      <c r="L6" s="478"/>
      <c r="M6" s="478" t="s">
        <v>27</v>
      </c>
      <c r="N6" s="478"/>
      <c r="O6" s="475" t="s">
        <v>68</v>
      </c>
      <c r="P6" s="475" t="s">
        <v>44</v>
      </c>
      <c r="Q6" s="475" t="s">
        <v>45</v>
      </c>
      <c r="R6" s="478" t="s">
        <v>27</v>
      </c>
      <c r="S6" s="478"/>
      <c r="T6" s="643"/>
      <c r="U6" s="478"/>
      <c r="V6" s="478"/>
      <c r="W6" s="478"/>
      <c r="X6" s="478"/>
      <c r="Y6" s="478"/>
      <c r="Z6" s="478"/>
      <c r="AA6" s="478"/>
      <c r="AB6" s="478"/>
      <c r="AC6" s="478"/>
      <c r="AD6" s="478"/>
      <c r="AE6" s="478"/>
      <c r="AF6" s="478"/>
      <c r="AG6" s="478"/>
      <c r="AH6" s="478"/>
      <c r="AI6" s="478"/>
      <c r="AJ6" s="478"/>
    </row>
    <row r="7" spans="1:36" x14ac:dyDescent="0.35">
      <c r="F7" s="256"/>
      <c r="H7" s="482"/>
      <c r="I7" s="482"/>
      <c r="J7" s="482"/>
      <c r="K7" s="484"/>
      <c r="L7" s="563"/>
      <c r="M7" s="484"/>
      <c r="N7" s="563"/>
      <c r="O7" s="482"/>
      <c r="P7" s="482"/>
      <c r="Q7" s="482"/>
      <c r="R7" s="484"/>
      <c r="S7" s="484"/>
      <c r="T7" s="644"/>
      <c r="U7" s="484"/>
      <c r="V7" s="484"/>
      <c r="W7" s="484"/>
      <c r="X7" s="484"/>
      <c r="Y7" s="484"/>
      <c r="Z7" s="484"/>
      <c r="AA7" s="484"/>
      <c r="AB7" s="484"/>
      <c r="AC7" s="484"/>
      <c r="AD7" s="484"/>
      <c r="AE7" s="484"/>
      <c r="AF7" s="484"/>
      <c r="AG7" s="484"/>
      <c r="AH7" s="484"/>
      <c r="AI7" s="484"/>
      <c r="AJ7" s="484"/>
    </row>
    <row r="8" spans="1:36" x14ac:dyDescent="0.35">
      <c r="B8" s="64" t="s">
        <v>2</v>
      </c>
      <c r="C8" s="64" t="s">
        <v>6</v>
      </c>
      <c r="D8" s="64" t="s">
        <v>276</v>
      </c>
      <c r="F8" s="256"/>
      <c r="H8" s="482"/>
      <c r="I8" s="482"/>
      <c r="J8" s="482"/>
      <c r="K8" s="484"/>
      <c r="L8" s="563"/>
      <c r="M8" s="484"/>
      <c r="N8" s="563"/>
      <c r="O8" s="482"/>
      <c r="P8" s="482"/>
      <c r="Q8" s="482"/>
      <c r="R8" s="484"/>
      <c r="S8" s="484"/>
      <c r="T8" s="644"/>
      <c r="U8" s="484"/>
      <c r="V8" s="484"/>
      <c r="W8" s="484"/>
      <c r="X8" s="484"/>
      <c r="Y8" s="484"/>
      <c r="Z8" s="484"/>
      <c r="AA8" s="484"/>
      <c r="AB8" s="484"/>
      <c r="AC8" s="484"/>
      <c r="AD8" s="484"/>
      <c r="AE8" s="484"/>
      <c r="AF8" s="484"/>
      <c r="AG8" s="484"/>
      <c r="AH8" s="484"/>
      <c r="AI8" s="484"/>
      <c r="AJ8" s="484"/>
    </row>
    <row r="9" spans="1:36" x14ac:dyDescent="0.35">
      <c r="B9" s="30" t="str">
        <f t="shared" ref="B9:D16" si="0">B8</f>
        <v>Ausgrid</v>
      </c>
      <c r="C9" s="30" t="str">
        <f t="shared" si="0"/>
        <v>Residential</v>
      </c>
      <c r="D9" s="30" t="str">
        <f t="shared" si="0"/>
        <v>flat rate</v>
      </c>
      <c r="E9" s="30" t="s">
        <v>19</v>
      </c>
      <c r="F9" s="258" cm="1">
        <f t="array" ref="F9">IFERROR(_xlfn.XLOOKUP(1,($B9=DistributionZone)*($C9=CustomerType)*($E9=tariffType)*(F$5=Description),valuesFY),0)</f>
        <v>3900</v>
      </c>
      <c r="G9" s="30" t="s">
        <v>73</v>
      </c>
      <c r="H9" s="482"/>
      <c r="I9" s="482" cm="1">
        <f t="array" ref="I9">_xlfn.XLOOKUP(1,($B9=DistributionZone)*($G9=Description)*($I$5=Desc_FixedOrVar),valuesPY,0)</f>
        <v>6.1170426505850894</v>
      </c>
      <c r="J9" s="482">
        <f>IF(AND(H9="",I9=""),"",H9+I9*F9/1000)</f>
        <v>23.856466337281852</v>
      </c>
      <c r="K9" s="484">
        <f>IFERROR(J9/J14,"")</f>
        <v>0.38404111658146578</v>
      </c>
      <c r="L9" s="563"/>
      <c r="M9" s="484">
        <f t="shared" ref="M9:M14" si="1">IF(OR(J9=0,Q9=""),"",Q9/J9-1)</f>
        <v>-0.48482055209325359</v>
      </c>
      <c r="N9" s="563"/>
      <c r="O9" s="482"/>
      <c r="P9" s="482" cm="1">
        <f t="array" ref="P9">_xlfn.XLOOKUP(1,($B9=DistributionZone)*($G9=Description)*($I$5=Desc_FixedOrVar),valuesFY,0)</f>
        <v>3.1513746555504474</v>
      </c>
      <c r="Q9" s="482">
        <f t="shared" ref="Q9:Q14" si="2">IF(AND(O9="",P9=""),"",O9+P9*$F9/1000)</f>
        <v>12.290361156646744</v>
      </c>
      <c r="R9" s="484">
        <f>IFERROR(Q9/Q14,"")</f>
        <v>0.28417703464641214</v>
      </c>
      <c r="S9" s="484"/>
      <c r="T9" s="645"/>
      <c r="U9" s="484"/>
      <c r="V9" s="484"/>
      <c r="W9" s="484"/>
      <c r="X9" s="484"/>
      <c r="Y9" s="484"/>
      <c r="Z9" s="484"/>
      <c r="AA9" s="484"/>
      <c r="AB9" s="484"/>
      <c r="AC9" s="484"/>
      <c r="AD9" s="484"/>
      <c r="AE9" s="484"/>
      <c r="AF9" s="484"/>
      <c r="AG9" s="484"/>
      <c r="AH9" s="484"/>
      <c r="AI9" s="484"/>
      <c r="AJ9" s="484"/>
    </row>
    <row r="10" spans="1:36" x14ac:dyDescent="0.35">
      <c r="B10" s="30" t="str">
        <f t="shared" si="0"/>
        <v>Ausgrid</v>
      </c>
      <c r="C10" s="30" t="str">
        <f t="shared" si="0"/>
        <v>Residential</v>
      </c>
      <c r="D10" s="30" t="str">
        <f t="shared" si="0"/>
        <v>flat rate</v>
      </c>
      <c r="E10" s="30" t="s">
        <v>19</v>
      </c>
      <c r="F10" s="258">
        <f>F9</f>
        <v>3900</v>
      </c>
      <c r="G10" s="30" t="s">
        <v>74</v>
      </c>
      <c r="H10" s="482"/>
      <c r="I10" s="482" cm="1">
        <f t="array" ref="I10">_xlfn.XLOOKUP(1,($B10=DistributionZone)*($G10=Description)*($I$5=Desc_FixedOrVar),valuesPY,0)</f>
        <v>5.1359999999999992</v>
      </c>
      <c r="J10" s="482">
        <f>IF(AND(H10="",I10=""),"",H10+I10*F10/1000)</f>
        <v>20.030399999999997</v>
      </c>
      <c r="K10" s="484">
        <f>IFERROR(J10/J14,"")</f>
        <v>0.32244914535192037</v>
      </c>
      <c r="L10" s="563"/>
      <c r="M10" s="484">
        <f t="shared" si="1"/>
        <v>-0.12694704049844241</v>
      </c>
      <c r="N10" s="563"/>
      <c r="O10" s="482"/>
      <c r="P10" s="482" cm="1">
        <f t="array" ref="P10">_xlfn.XLOOKUP(1,($B10=DistributionZone)*($G10=Description)*($I$5=Desc_FixedOrVar),valuesFY,0)</f>
        <v>4.484</v>
      </c>
      <c r="Q10" s="482">
        <f t="shared" si="2"/>
        <v>17.487599999999997</v>
      </c>
      <c r="R10" s="484">
        <f>IFERROR(Q10/Q14,"")</f>
        <v>0.40434729685669185</v>
      </c>
      <c r="S10" s="484"/>
      <c r="T10" s="644"/>
      <c r="U10" s="484"/>
      <c r="V10" s="484"/>
      <c r="W10" s="484"/>
      <c r="X10" s="484"/>
      <c r="Y10" s="484"/>
      <c r="Z10" s="484"/>
      <c r="AA10" s="484"/>
      <c r="AB10" s="484"/>
      <c r="AC10" s="484"/>
      <c r="AD10" s="484"/>
      <c r="AE10" s="484"/>
      <c r="AF10" s="484"/>
      <c r="AG10" s="484"/>
      <c r="AH10" s="484"/>
      <c r="AI10" s="484"/>
      <c r="AJ10" s="484"/>
    </row>
    <row r="11" spans="1:36" x14ac:dyDescent="0.35">
      <c r="B11" s="30" t="str">
        <f t="shared" si="0"/>
        <v>Ausgrid</v>
      </c>
      <c r="C11" s="30" t="str">
        <f t="shared" si="0"/>
        <v>Residential</v>
      </c>
      <c r="D11" s="30" t="str">
        <f t="shared" si="0"/>
        <v>flat rate</v>
      </c>
      <c r="E11" s="30" t="s">
        <v>19</v>
      </c>
      <c r="F11" s="258">
        <f>F10</f>
        <v>3900</v>
      </c>
      <c r="G11" s="30" t="s">
        <v>75</v>
      </c>
      <c r="H11" s="482"/>
      <c r="I11" s="482" cm="1">
        <f t="array" ref="I11">_xlfn.XLOOKUP(1,($B11=DistributionZone)*($G11=Description)*($I$5=Desc_FixedOrVar),valuesPY,0)</f>
        <v>2.1292191637289464</v>
      </c>
      <c r="J11" s="482">
        <f>IF(AND(H11="",I11=""),"",H11+I11*F11/1000)</f>
        <v>8.30395473854289</v>
      </c>
      <c r="K11" s="484">
        <f>IFERROR(J11/J14,"")</f>
        <v>0.1336769664352277</v>
      </c>
      <c r="L11" s="563"/>
      <c r="M11" s="484">
        <f t="shared" si="1"/>
        <v>0.30545066908580987</v>
      </c>
      <c r="N11" s="563"/>
      <c r="O11" s="482"/>
      <c r="P11" s="482" cm="1">
        <f t="array" ref="P11">_xlfn.XLOOKUP(1,($B11=DistributionZone)*($G11=Description)*($I$5=Desc_FixedOrVar),valuesFY,0)</f>
        <v>2.7795905819202815</v>
      </c>
      <c r="Q11" s="482">
        <f t="shared" si="2"/>
        <v>10.840403269489098</v>
      </c>
      <c r="R11" s="484">
        <f>IFERROR(Q11/Q14,"")</f>
        <v>0.25065119049236956</v>
      </c>
      <c r="S11" s="484"/>
      <c r="T11" s="644"/>
      <c r="U11" s="484"/>
      <c r="V11" s="484"/>
      <c r="W11" s="484"/>
      <c r="X11" s="484"/>
      <c r="Y11" s="484"/>
      <c r="Z11" s="484"/>
      <c r="AA11" s="484"/>
      <c r="AB11" s="484"/>
      <c r="AC11" s="484"/>
      <c r="AD11" s="484"/>
      <c r="AE11" s="484"/>
      <c r="AF11" s="484"/>
      <c r="AG11" s="484"/>
      <c r="AH11" s="484"/>
      <c r="AI11" s="484"/>
      <c r="AJ11" s="484"/>
    </row>
    <row r="12" spans="1:36" x14ac:dyDescent="0.35">
      <c r="B12" s="30" t="str">
        <f t="shared" si="0"/>
        <v>Ausgrid</v>
      </c>
      <c r="C12" s="30" t="str">
        <f t="shared" si="0"/>
        <v>Residential</v>
      </c>
      <c r="D12" s="30" t="str">
        <f t="shared" si="0"/>
        <v>flat rate</v>
      </c>
      <c r="E12" s="30" t="s">
        <v>19</v>
      </c>
      <c r="F12" s="258">
        <f>F11</f>
        <v>3900</v>
      </c>
      <c r="G12" s="30" t="s">
        <v>155</v>
      </c>
      <c r="H12" s="482"/>
      <c r="I12" s="482" cm="1">
        <f t="array" ref="I12">_xlfn.XLOOKUP(1,($B12=DistributionZone)*($G12=Description)*($I$5=Desc_FixedOrVar),valuesPY,0)</f>
        <v>1.8634456011480964</v>
      </c>
      <c r="J12" s="482">
        <f>IF(AND(H12="",I12=""),"",H12+I12*F12/1000)</f>
        <v>7.267437844477576</v>
      </c>
      <c r="K12" s="484">
        <f>IFERROR(J12/J14,"")</f>
        <v>0.11699112957554503</v>
      </c>
      <c r="L12" s="563"/>
      <c r="M12" s="484">
        <f t="shared" si="1"/>
        <v>-0.8994584724775363</v>
      </c>
      <c r="N12" s="563"/>
      <c r="O12" s="482"/>
      <c r="P12" s="482" cm="1">
        <f t="array" ref="P12">_xlfn.XLOOKUP(1,($B12=DistributionZone)*($G12=Description)*($I$5=Desc_FixedOrVar),valuesFY,0)</f>
        <v>0.18735366719444529</v>
      </c>
      <c r="Q12" s="482">
        <f t="shared" si="2"/>
        <v>0.73067930205833675</v>
      </c>
      <c r="R12" s="484">
        <f>IFERROR(Q12/Q14,"")</f>
        <v>1.6894725442966604E-2</v>
      </c>
      <c r="S12" s="484"/>
      <c r="T12" s="644"/>
      <c r="U12" s="484"/>
      <c r="V12" s="484"/>
      <c r="W12" s="484"/>
      <c r="X12" s="484"/>
      <c r="Y12" s="484"/>
      <c r="Z12" s="484"/>
      <c r="AA12" s="484"/>
      <c r="AB12" s="484"/>
      <c r="AC12" s="484"/>
      <c r="AD12" s="484"/>
      <c r="AE12" s="484"/>
      <c r="AF12" s="484"/>
      <c r="AG12" s="484"/>
      <c r="AH12" s="484"/>
      <c r="AI12" s="484"/>
      <c r="AJ12" s="484"/>
    </row>
    <row r="13" spans="1:36" s="65" customFormat="1" x14ac:dyDescent="0.35">
      <c r="A13" s="30"/>
      <c r="B13" s="30" t="str">
        <f t="shared" si="0"/>
        <v>Ausgrid</v>
      </c>
      <c r="C13" s="30" t="str">
        <f t="shared" si="0"/>
        <v>Residential</v>
      </c>
      <c r="D13" s="30" t="str">
        <f t="shared" si="0"/>
        <v>flat rate</v>
      </c>
      <c r="E13" s="30" t="s">
        <v>19</v>
      </c>
      <c r="F13" s="258">
        <f>F12</f>
        <v>3900</v>
      </c>
      <c r="G13" s="30" t="s">
        <v>72</v>
      </c>
      <c r="H13" s="482"/>
      <c r="I13" s="482" cm="1">
        <f t="array" ref="I13">_xlfn.XLOOKUP(1,($B13=DistributionZone)*($G13=Description)*($I$5=Desc_FixedOrVar),valuesPY,0)*SUM(I9:I12)</f>
        <v>0.68238566226824471</v>
      </c>
      <c r="J13" s="482">
        <f>IF(AND(H13="",I13=""),"",H13+I13*F13/1000)</f>
        <v>2.6613040828461543</v>
      </c>
      <c r="K13" s="484">
        <f>IFERROR(J13/J14,"")</f>
        <v>4.2841642055841067E-2</v>
      </c>
      <c r="L13" s="563"/>
      <c r="M13" s="484">
        <f t="shared" si="1"/>
        <v>-0.28609582188743266</v>
      </c>
      <c r="N13" s="563"/>
      <c r="O13" s="482"/>
      <c r="P13" s="482" cm="1">
        <f t="array" ref="P13">_xlfn.XLOOKUP(1,($B13=DistributionZone)*($G13=Description)*($I$5=Desc_FixedOrVar),valuesFY,0)*SUM(P9:P12)</f>
        <v>0.48715797537741123</v>
      </c>
      <c r="Q13" s="482">
        <f t="shared" si="2"/>
        <v>1.8999161039719037</v>
      </c>
      <c r="R13" s="484">
        <f>IFERROR(Q13/Q14,"")</f>
        <v>4.3929752561560016E-2</v>
      </c>
      <c r="S13" s="484"/>
      <c r="T13" s="644"/>
      <c r="U13" s="484"/>
      <c r="V13" s="484"/>
      <c r="W13" s="484"/>
      <c r="X13" s="484"/>
      <c r="Y13" s="484"/>
      <c r="Z13" s="484"/>
      <c r="AA13" s="484"/>
      <c r="AB13" s="484"/>
      <c r="AC13" s="484"/>
      <c r="AD13" s="484"/>
      <c r="AE13" s="484"/>
      <c r="AF13" s="484"/>
      <c r="AG13" s="484"/>
      <c r="AH13" s="484"/>
      <c r="AI13" s="484"/>
      <c r="AJ13" s="484"/>
    </row>
    <row r="14" spans="1:36" s="65" customFormat="1" x14ac:dyDescent="0.35">
      <c r="A14" s="30"/>
      <c r="B14" s="30" t="str">
        <f t="shared" si="0"/>
        <v>Ausgrid</v>
      </c>
      <c r="C14" s="30" t="str">
        <f t="shared" si="0"/>
        <v>Residential</v>
      </c>
      <c r="D14" s="30" t="str">
        <f t="shared" si="0"/>
        <v>flat rate</v>
      </c>
      <c r="E14" s="30" t="s">
        <v>19</v>
      </c>
      <c r="F14" s="258">
        <f>F13</f>
        <v>3900</v>
      </c>
      <c r="G14" s="64" t="s">
        <v>55</v>
      </c>
      <c r="H14" s="487">
        <f>SUM(H9:H13)</f>
        <v>0</v>
      </c>
      <c r="I14" s="487">
        <f>SUM(I9:I13)</f>
        <v>15.928093077730377</v>
      </c>
      <c r="J14" s="487">
        <f>SUM(J9:J13)</f>
        <v>62.119563003148471</v>
      </c>
      <c r="K14" s="564"/>
      <c r="L14" s="566"/>
      <c r="M14" s="564">
        <f t="shared" si="1"/>
        <v>-0.30377874953862705</v>
      </c>
      <c r="N14" s="566"/>
      <c r="O14" s="487">
        <f>SUM(O9:O13)</f>
        <v>0</v>
      </c>
      <c r="P14" s="487">
        <f>SUM(P9:P13)</f>
        <v>11.089476880042584</v>
      </c>
      <c r="Q14" s="487">
        <f t="shared" si="2"/>
        <v>43.248959832166072</v>
      </c>
      <c r="R14" s="484"/>
      <c r="S14" s="484"/>
      <c r="T14" s="644"/>
      <c r="U14" s="484"/>
      <c r="V14" s="484"/>
      <c r="W14" s="484"/>
      <c r="X14" s="484"/>
      <c r="Y14" s="484"/>
      <c r="Z14" s="484"/>
      <c r="AA14" s="484"/>
      <c r="AB14" s="484"/>
      <c r="AC14" s="484"/>
      <c r="AD14" s="484"/>
      <c r="AE14" s="484"/>
      <c r="AF14" s="484"/>
      <c r="AG14" s="484"/>
      <c r="AH14" s="484"/>
      <c r="AI14" s="484"/>
      <c r="AJ14" s="484"/>
    </row>
    <row r="15" spans="1:36" s="65" customFormat="1" x14ac:dyDescent="0.35">
      <c r="A15" s="30"/>
      <c r="B15" s="30" t="str">
        <f t="shared" si="0"/>
        <v>Ausgrid</v>
      </c>
      <c r="C15" s="30" t="str">
        <f t="shared" si="0"/>
        <v>Residential</v>
      </c>
      <c r="D15" s="30" t="str">
        <f t="shared" si="0"/>
        <v>flat rate</v>
      </c>
      <c r="E15" s="30"/>
      <c r="F15" s="258"/>
      <c r="G15" s="30" t="s">
        <v>38</v>
      </c>
      <c r="H15" s="482"/>
      <c r="I15" s="487"/>
      <c r="J15" s="482">
        <f>J14*GST</f>
        <v>6.2119563003148475</v>
      </c>
      <c r="K15" s="484"/>
      <c r="L15" s="568"/>
      <c r="M15" s="484"/>
      <c r="N15" s="568"/>
      <c r="O15" s="482"/>
      <c r="P15" s="482"/>
      <c r="Q15" s="482">
        <f>Q14*GST</f>
        <v>4.3248959832166074</v>
      </c>
      <c r="R15" s="564"/>
      <c r="S15" s="564"/>
      <c r="T15" s="646"/>
      <c r="U15" s="564"/>
      <c r="V15" s="564"/>
      <c r="W15" s="564"/>
      <c r="X15" s="564"/>
      <c r="Y15" s="564"/>
      <c r="Z15" s="564"/>
      <c r="AA15" s="564"/>
      <c r="AB15" s="564"/>
      <c r="AC15" s="564"/>
      <c r="AD15" s="564"/>
      <c r="AE15" s="564"/>
      <c r="AF15" s="564"/>
      <c r="AG15" s="564"/>
      <c r="AH15" s="564"/>
      <c r="AI15" s="564"/>
      <c r="AJ15" s="564"/>
    </row>
    <row r="16" spans="1:36" s="65" customFormat="1" x14ac:dyDescent="0.35">
      <c r="A16" s="30"/>
      <c r="B16" s="30" t="str">
        <f t="shared" si="0"/>
        <v>Ausgrid</v>
      </c>
      <c r="C16" s="30" t="str">
        <f t="shared" si="0"/>
        <v>Residential</v>
      </c>
      <c r="D16" s="30" t="str">
        <f t="shared" si="0"/>
        <v>flat rate</v>
      </c>
      <c r="E16" s="30" t="s">
        <v>19</v>
      </c>
      <c r="F16" s="258"/>
      <c r="G16" s="64" t="s">
        <v>79</v>
      </c>
      <c r="H16" s="487"/>
      <c r="I16" s="487"/>
      <c r="J16" s="487">
        <f>SUM(J14:J15)</f>
        <v>68.331519303463324</v>
      </c>
      <c r="K16" s="564"/>
      <c r="L16" s="566"/>
      <c r="M16" s="564">
        <f>IF(OR(J16=0,Q16=""),"",Q16/J16-1)</f>
        <v>-0.30377874953862705</v>
      </c>
      <c r="N16" s="566"/>
      <c r="O16" s="487"/>
      <c r="P16" s="487"/>
      <c r="Q16" s="647">
        <f>SUM(Q14:Q15)</f>
        <v>47.573855815382679</v>
      </c>
      <c r="R16" s="564"/>
      <c r="S16" s="564"/>
      <c r="T16" s="646"/>
      <c r="U16" s="564"/>
      <c r="V16" s="564"/>
      <c r="W16" s="564"/>
      <c r="X16" s="564"/>
      <c r="Y16" s="564"/>
      <c r="Z16" s="564"/>
      <c r="AA16" s="564"/>
      <c r="AB16" s="564"/>
      <c r="AC16" s="564"/>
      <c r="AD16" s="564"/>
      <c r="AE16" s="564"/>
      <c r="AF16" s="564"/>
      <c r="AG16" s="564"/>
      <c r="AH16" s="564"/>
      <c r="AI16" s="564"/>
      <c r="AJ16" s="564"/>
    </row>
    <row r="17" spans="1:36" x14ac:dyDescent="0.35">
      <c r="B17" s="64"/>
      <c r="C17" s="64"/>
      <c r="D17" s="64"/>
      <c r="F17" s="256"/>
      <c r="H17" s="482"/>
      <c r="I17" s="482"/>
      <c r="J17" s="482"/>
      <c r="K17" s="484"/>
      <c r="L17" s="563"/>
      <c r="M17" s="484"/>
      <c r="N17" s="563"/>
      <c r="O17" s="482"/>
      <c r="P17" s="482"/>
      <c r="Q17" s="482"/>
      <c r="R17" s="484"/>
      <c r="S17" s="484"/>
      <c r="T17" s="644"/>
      <c r="U17" s="484"/>
      <c r="V17" s="484"/>
      <c r="W17" s="484"/>
      <c r="X17" s="484"/>
      <c r="Y17" s="484"/>
      <c r="Z17" s="484"/>
      <c r="AA17" s="484"/>
      <c r="AB17" s="484"/>
      <c r="AC17" s="484"/>
      <c r="AD17" s="484"/>
      <c r="AE17" s="484"/>
      <c r="AF17" s="484"/>
      <c r="AG17" s="484"/>
      <c r="AH17" s="484"/>
      <c r="AI17" s="484"/>
      <c r="AJ17" s="484"/>
    </row>
    <row r="18" spans="1:36" s="570" customFormat="1" x14ac:dyDescent="0.35">
      <c r="B18" s="64" t="s">
        <v>2</v>
      </c>
      <c r="C18" s="64" t="s">
        <v>6</v>
      </c>
      <c r="D18" s="64" t="s">
        <v>272</v>
      </c>
      <c r="F18" s="648"/>
      <c r="H18" s="574"/>
      <c r="I18" s="574"/>
      <c r="J18" s="574"/>
      <c r="K18" s="575"/>
      <c r="L18" s="576"/>
      <c r="M18" s="575"/>
      <c r="N18" s="576"/>
      <c r="O18" s="574"/>
      <c r="P18" s="574"/>
      <c r="Q18" s="574"/>
      <c r="R18" s="575"/>
      <c r="S18" s="575"/>
      <c r="T18" s="649"/>
      <c r="U18" s="575"/>
      <c r="V18" s="575"/>
      <c r="W18" s="575"/>
      <c r="X18" s="575"/>
      <c r="Y18" s="575"/>
      <c r="Z18" s="575"/>
      <c r="AA18" s="575"/>
      <c r="AB18" s="575"/>
      <c r="AC18" s="575"/>
      <c r="AD18" s="575"/>
      <c r="AE18" s="575"/>
      <c r="AF18" s="575"/>
      <c r="AG18" s="575"/>
      <c r="AH18" s="575"/>
      <c r="AI18" s="575"/>
      <c r="AJ18" s="575"/>
    </row>
    <row r="19" spans="1:36" s="570" customFormat="1" x14ac:dyDescent="0.35">
      <c r="B19" s="30" t="str">
        <f t="shared" ref="B19:C19" si="3">B18</f>
        <v>Ausgrid</v>
      </c>
      <c r="C19" s="30" t="str">
        <f t="shared" si="3"/>
        <v>Residential</v>
      </c>
      <c r="D19" s="30" t="str">
        <f>D18</f>
        <v>time of use</v>
      </c>
      <c r="E19" s="570" t="s">
        <v>279</v>
      </c>
      <c r="F19" s="485" cm="1">
        <f t="array" ref="F19">_xlfn.XLOOKUP(1,($B19=DistributionZone)*($C19=CustomerType)*($D19=tariffL2)*($F$5=Description),valuesPY)*_xlfn.XLOOKUP(1,($B19=DistributionZone)*($C19=CustomerType)*($D19=tariffL2)*($E19=tariffType)*("Usage proportion"=Description),valuesFY)</f>
        <v>3037.4321036753113</v>
      </c>
      <c r="G19" s="570" t="s">
        <v>73</v>
      </c>
      <c r="H19" s="574"/>
      <c r="I19" s="574" cm="1">
        <f t="array" ref="I19">_xlfn.XLOOKUP(1,($B19=DistributionZone)*($G19=Description)*($I$5=Desc_FixedOrVar),valuesPY,0)</f>
        <v>6.1170426505850894</v>
      </c>
      <c r="J19" s="574">
        <f>IF(AND(H19="",I19=""),"",H19+I19*F19/1000)</f>
        <v>18.580101726438272</v>
      </c>
      <c r="K19" s="575" t="str">
        <f>IFERROR(J19/J24,"")</f>
        <v/>
      </c>
      <c r="L19" s="576"/>
      <c r="M19" s="575">
        <f t="shared" ref="M19:M24" si="4">IF(OR(J19=0,Q19=""),"",Q19/J19-1)</f>
        <v>-0.48482055209325359</v>
      </c>
      <c r="N19" s="576"/>
      <c r="O19" s="574"/>
      <c r="P19" s="574" cm="1">
        <f t="array" ref="P19">_xlfn.XLOOKUP(1,($B19=DistributionZone)*($G19=Description)*($I$5=Desc_FixedOrVar),valuesFY,0)</f>
        <v>3.1513746555504474</v>
      </c>
      <c r="Q19" s="574">
        <f t="shared" ref="Q19:Q24" si="5">IF(AND(O19="",P19=""),"",O19+P19*$F19/1000)</f>
        <v>9.572086549477655</v>
      </c>
      <c r="R19" s="575">
        <f>IFERROR(Q19/Q24,"")</f>
        <v>0.28417703464641209</v>
      </c>
      <c r="S19" s="575"/>
      <c r="T19" s="634"/>
      <c r="U19" s="575"/>
      <c r="V19" s="575"/>
      <c r="W19" s="575"/>
      <c r="X19" s="575"/>
      <c r="Y19" s="575"/>
      <c r="Z19" s="575"/>
      <c r="AA19" s="575"/>
      <c r="AB19" s="575"/>
      <c r="AC19" s="575"/>
      <c r="AD19" s="575"/>
      <c r="AE19" s="575"/>
      <c r="AF19" s="575"/>
      <c r="AG19" s="575"/>
      <c r="AH19" s="575"/>
      <c r="AI19" s="575"/>
      <c r="AJ19" s="575"/>
    </row>
    <row r="20" spans="1:36" s="570" customFormat="1" x14ac:dyDescent="0.35">
      <c r="B20" s="30" t="str">
        <f t="shared" ref="B20:E20" si="6">B19</f>
        <v>Ausgrid</v>
      </c>
      <c r="C20" s="30" t="str">
        <f t="shared" si="6"/>
        <v>Residential</v>
      </c>
      <c r="D20" s="30" t="str">
        <f t="shared" si="6"/>
        <v>time of use</v>
      </c>
      <c r="E20" s="570" t="str">
        <f t="shared" si="6"/>
        <v>time of use (Off-peak)</v>
      </c>
      <c r="F20" s="485">
        <f>F19</f>
        <v>3037.4321036753113</v>
      </c>
      <c r="G20" s="570" t="s">
        <v>74</v>
      </c>
      <c r="H20" s="574"/>
      <c r="I20" s="574" cm="1">
        <f t="array" ref="I20">_xlfn.XLOOKUP(1,($B20=DistributionZone)*($G20=Description)*($I$5=Desc_FixedOrVar),valuesPY,0)</f>
        <v>5.1359999999999992</v>
      </c>
      <c r="J20" s="574">
        <f>IF(AND(H20="",I20=""),"",H20+I20*F20/1000)</f>
        <v>15.600251284476396</v>
      </c>
      <c r="K20" s="575" t="str">
        <f>IFERROR(J20/J24,"")</f>
        <v/>
      </c>
      <c r="L20" s="576"/>
      <c r="M20" s="575">
        <f t="shared" si="4"/>
        <v>-0.1269470404984423</v>
      </c>
      <c r="N20" s="576"/>
      <c r="O20" s="574"/>
      <c r="P20" s="574" cm="1">
        <f t="array" ref="P20">_xlfn.XLOOKUP(1,($B20=DistributionZone)*($G20=Description)*($I$5=Desc_FixedOrVar),valuesFY,0)</f>
        <v>4.484</v>
      </c>
      <c r="Q20" s="574">
        <f t="shared" si="5"/>
        <v>13.619845552880095</v>
      </c>
      <c r="R20" s="575">
        <f>IFERROR(Q20/Q24,"")</f>
        <v>0.4043472968566918</v>
      </c>
      <c r="S20" s="575"/>
      <c r="T20" s="649"/>
      <c r="U20" s="575"/>
      <c r="V20" s="575"/>
      <c r="W20" s="575"/>
      <c r="X20" s="575"/>
      <c r="Y20" s="575"/>
      <c r="Z20" s="575"/>
      <c r="AA20" s="575"/>
      <c r="AB20" s="575"/>
      <c r="AC20" s="575"/>
      <c r="AD20" s="575"/>
      <c r="AE20" s="575"/>
      <c r="AF20" s="575"/>
      <c r="AG20" s="575"/>
      <c r="AH20" s="575"/>
      <c r="AI20" s="575"/>
      <c r="AJ20" s="575"/>
    </row>
    <row r="21" spans="1:36" s="570" customFormat="1" x14ac:dyDescent="0.35">
      <c r="B21" s="30" t="str">
        <f t="shared" ref="B21:E21" si="7">B20</f>
        <v>Ausgrid</v>
      </c>
      <c r="C21" s="30" t="str">
        <f t="shared" si="7"/>
        <v>Residential</v>
      </c>
      <c r="D21" s="30" t="str">
        <f t="shared" si="7"/>
        <v>time of use</v>
      </c>
      <c r="E21" s="570" t="str">
        <f t="shared" si="7"/>
        <v>time of use (Off-peak)</v>
      </c>
      <c r="F21" s="485">
        <f>F20</f>
        <v>3037.4321036753113</v>
      </c>
      <c r="G21" s="570" t="s">
        <v>75</v>
      </c>
      <c r="H21" s="574"/>
      <c r="I21" s="574" cm="1">
        <f t="array" ref="I21">_xlfn.XLOOKUP(1,($B21=DistributionZone)*($G21=Description)*($I$5=Desc_FixedOrVar),valuesPY,0)</f>
        <v>2.1292191637289464</v>
      </c>
      <c r="J21" s="574">
        <f>IF(AND(H21="",I21=""),"",H21+I21*F21/1000)</f>
        <v>6.467358643671</v>
      </c>
      <c r="K21" s="575" t="str">
        <f>IFERROR(J21/J24,"")</f>
        <v/>
      </c>
      <c r="L21" s="576"/>
      <c r="M21" s="575">
        <f t="shared" si="4"/>
        <v>0.30545066908581009</v>
      </c>
      <c r="N21" s="576"/>
      <c r="O21" s="574"/>
      <c r="P21" s="574" cm="1">
        <f t="array" ref="P21">_xlfn.XLOOKUP(1,($B21=DistributionZone)*($G21=Description)*($I$5=Desc_FixedOrVar),valuesFY,0)</f>
        <v>2.7795905819202815</v>
      </c>
      <c r="Q21" s="574">
        <f t="shared" si="5"/>
        <v>8.4428176685982042</v>
      </c>
      <c r="R21" s="575">
        <f>IFERROR(Q21/Q24,"")</f>
        <v>0.25065119049236956</v>
      </c>
      <c r="S21" s="575"/>
      <c r="T21" s="649"/>
      <c r="U21" s="575"/>
      <c r="V21" s="575"/>
      <c r="W21" s="575"/>
      <c r="X21" s="575"/>
      <c r="Y21" s="575"/>
      <c r="Z21" s="575"/>
      <c r="AA21" s="575"/>
      <c r="AB21" s="575"/>
      <c r="AC21" s="575"/>
      <c r="AD21" s="575"/>
      <c r="AE21" s="575"/>
      <c r="AF21" s="575"/>
      <c r="AG21" s="575"/>
      <c r="AH21" s="575"/>
      <c r="AI21" s="575"/>
      <c r="AJ21" s="575"/>
    </row>
    <row r="22" spans="1:36" s="570" customFormat="1" x14ac:dyDescent="0.35">
      <c r="B22" s="30" t="str">
        <f t="shared" ref="B22:E22" si="8">B21</f>
        <v>Ausgrid</v>
      </c>
      <c r="C22" s="30" t="str">
        <f t="shared" si="8"/>
        <v>Residential</v>
      </c>
      <c r="D22" s="30" t="str">
        <f t="shared" si="8"/>
        <v>time of use</v>
      </c>
      <c r="E22" s="570" t="str">
        <f t="shared" si="8"/>
        <v>time of use (Off-peak)</v>
      </c>
      <c r="F22" s="485">
        <f>F21</f>
        <v>3037.4321036753113</v>
      </c>
      <c r="G22" s="570" t="s">
        <v>155</v>
      </c>
      <c r="H22" s="574"/>
      <c r="I22" s="574" cm="1">
        <f t="array" ref="I22">_xlfn.XLOOKUP(1,($B22=DistributionZone)*($G22=Description)*($I$5=Desc_FixedOrVar),valuesPY,0)</f>
        <v>1.8634456011480964</v>
      </c>
      <c r="J22" s="574">
        <f>IF(AND(H22="",I22=""),"",H22+I22*F22/1000)</f>
        <v>5.6600894923797673</v>
      </c>
      <c r="K22" s="575" t="str">
        <f>IFERROR(J22/J24,"")</f>
        <v/>
      </c>
      <c r="L22" s="576"/>
      <c r="M22" s="575">
        <f t="shared" si="4"/>
        <v>-0.8994584724775363</v>
      </c>
      <c r="N22" s="576"/>
      <c r="O22" s="574"/>
      <c r="P22" s="574" cm="1">
        <f t="array" ref="P22">_xlfn.XLOOKUP(1,($B22=DistributionZone)*($G22=Description)*($I$5=Desc_FixedOrVar),valuesFY,0)</f>
        <v>0.18735366719444529</v>
      </c>
      <c r="Q22" s="574">
        <f t="shared" si="5"/>
        <v>0.56907404347770807</v>
      </c>
      <c r="R22" s="575">
        <f>IFERROR(Q22/Q24,"")</f>
        <v>1.6894725442966593E-2</v>
      </c>
      <c r="S22" s="575"/>
      <c r="T22" s="649"/>
      <c r="U22" s="575"/>
      <c r="V22" s="575"/>
      <c r="W22" s="575"/>
      <c r="X22" s="575"/>
      <c r="Y22" s="575"/>
      <c r="Z22" s="575"/>
      <c r="AA22" s="575"/>
      <c r="AB22" s="575"/>
      <c r="AC22" s="575"/>
      <c r="AD22" s="575"/>
      <c r="AE22" s="575"/>
      <c r="AF22" s="575"/>
      <c r="AG22" s="575"/>
      <c r="AH22" s="575"/>
      <c r="AI22" s="575"/>
      <c r="AJ22" s="575"/>
    </row>
    <row r="23" spans="1:36" s="627" customFormat="1" x14ac:dyDescent="0.35">
      <c r="A23" s="570"/>
      <c r="B23" s="30" t="str">
        <f t="shared" ref="B23:E23" si="9">B22</f>
        <v>Ausgrid</v>
      </c>
      <c r="C23" s="30" t="str">
        <f t="shared" si="9"/>
        <v>Residential</v>
      </c>
      <c r="D23" s="30" t="str">
        <f t="shared" si="9"/>
        <v>time of use</v>
      </c>
      <c r="E23" s="570" t="str">
        <f t="shared" si="9"/>
        <v>time of use (Off-peak)</v>
      </c>
      <c r="F23" s="485">
        <f>F22</f>
        <v>3037.4321036753113</v>
      </c>
      <c r="G23" s="570" t="s">
        <v>72</v>
      </c>
      <c r="H23" s="574"/>
      <c r="I23" s="574" cm="1">
        <f t="array" ref="I23">_xlfn.XLOOKUP(1,($B23=DistributionZone)*($G23=Description)*($I$5=Desc_FixedOrVar),valuesPY,0)*SUM(I19:I22)</f>
        <v>0.68238566226824471</v>
      </c>
      <c r="J23" s="574">
        <f>IF(AND(H23="",I23=""),"",H23+I23*F23/1000)</f>
        <v>2.0727001176613049</v>
      </c>
      <c r="K23" s="575" t="str">
        <f>IFERROR(J23/J24,"")</f>
        <v/>
      </c>
      <c r="L23" s="576"/>
      <c r="M23" s="575">
        <f t="shared" si="4"/>
        <v>-0.28609582188743254</v>
      </c>
      <c r="N23" s="576"/>
      <c r="O23" s="574"/>
      <c r="P23" s="574" cm="1">
        <f t="array" ref="P23">_xlfn.XLOOKUP(1,($B23=DistributionZone)*($G23=Description)*($I$5=Desc_FixedOrVar),valuesFY,0)*SUM(P19:P22)</f>
        <v>0.48715797537741123</v>
      </c>
      <c r="Q23" s="574">
        <f t="shared" si="5"/>
        <v>1.4797092739728157</v>
      </c>
      <c r="R23" s="575">
        <f>IFERROR(Q23/Q24,"")</f>
        <v>4.3929752561560009E-2</v>
      </c>
      <c r="S23" s="575"/>
      <c r="T23" s="649"/>
      <c r="U23" s="575"/>
      <c r="V23" s="575"/>
      <c r="W23" s="575"/>
      <c r="X23" s="575"/>
      <c r="Y23" s="575"/>
      <c r="Z23" s="575"/>
      <c r="AA23" s="575"/>
      <c r="AB23" s="575"/>
      <c r="AC23" s="575"/>
      <c r="AD23" s="575"/>
      <c r="AE23" s="575"/>
      <c r="AF23" s="575"/>
      <c r="AG23" s="575"/>
      <c r="AH23" s="575"/>
      <c r="AI23" s="575"/>
      <c r="AJ23" s="575"/>
    </row>
    <row r="24" spans="1:36" s="627" customFormat="1" x14ac:dyDescent="0.35">
      <c r="A24" s="570"/>
      <c r="B24" s="30" t="str">
        <f t="shared" ref="B24:D24" si="10">B23</f>
        <v>Ausgrid</v>
      </c>
      <c r="C24" s="30" t="str">
        <f t="shared" si="10"/>
        <v>Residential</v>
      </c>
      <c r="D24" s="30" t="str">
        <f t="shared" si="10"/>
        <v>time of use</v>
      </c>
      <c r="E24" s="570" t="str">
        <f>E23</f>
        <v>time of use (Off-peak)</v>
      </c>
      <c r="F24" s="485">
        <f>F23</f>
        <v>3037.4321036753113</v>
      </c>
      <c r="G24" s="571" t="s">
        <v>55</v>
      </c>
      <c r="H24" s="577">
        <f>SUM(H19:H23)</f>
        <v>0</v>
      </c>
      <c r="I24" s="577">
        <f>IF($H$3=PY,0,SUM(I19:I23))</f>
        <v>0</v>
      </c>
      <c r="J24" s="577">
        <f>IF($H$3=PY,0,SUM(J19:J23))</f>
        <v>0</v>
      </c>
      <c r="K24" s="578"/>
      <c r="L24" s="580"/>
      <c r="M24" s="578" t="str">
        <f t="shared" si="4"/>
        <v/>
      </c>
      <c r="N24" s="580"/>
      <c r="O24" s="577">
        <f>SUM(O19:O23)</f>
        <v>0</v>
      </c>
      <c r="P24" s="577">
        <f>SUM(P19:P23)</f>
        <v>11.089476880042584</v>
      </c>
      <c r="Q24" s="577">
        <f t="shared" si="5"/>
        <v>33.683533088406477</v>
      </c>
      <c r="R24" s="575"/>
      <c r="S24" s="575"/>
      <c r="T24" s="649"/>
      <c r="U24" s="575"/>
      <c r="V24" s="575"/>
      <c r="W24" s="575"/>
      <c r="X24" s="575"/>
      <c r="Y24" s="575"/>
      <c r="Z24" s="575"/>
      <c r="AA24" s="575"/>
      <c r="AB24" s="575"/>
      <c r="AC24" s="575"/>
      <c r="AD24" s="575"/>
      <c r="AE24" s="575"/>
      <c r="AF24" s="575"/>
      <c r="AG24" s="575"/>
      <c r="AH24" s="575"/>
      <c r="AI24" s="575"/>
      <c r="AJ24" s="575"/>
    </row>
    <row r="25" spans="1:36" s="570" customFormat="1" x14ac:dyDescent="0.35">
      <c r="B25" s="30" t="str">
        <f t="shared" ref="B25:D25" si="11">B24</f>
        <v>Ausgrid</v>
      </c>
      <c r="C25" s="30" t="str">
        <f t="shared" si="11"/>
        <v>Residential</v>
      </c>
      <c r="D25" s="30" t="str">
        <f t="shared" si="11"/>
        <v>time of use</v>
      </c>
      <c r="E25" s="570" t="s">
        <v>278</v>
      </c>
      <c r="F25" s="485" cm="1">
        <f t="array" ref="F25">_xlfn.XLOOKUP(1,($B25=DistributionZone)*($C25=CustomerType)*($D25=tariffL2)*($F$5=Description),valuesPY)*_xlfn.XLOOKUP(1,($B25=DistributionZone)*($C25=CustomerType)*($D25=tariffL2)*($E25=tariffType)*("Usage proportion"=Description),valuesFY)</f>
        <v>862.56789632468883</v>
      </c>
      <c r="G25" s="570" t="s">
        <v>73</v>
      </c>
      <c r="H25" s="574"/>
      <c r="I25" s="574" cm="1">
        <f t="array" ref="I25">_xlfn.XLOOKUP(1,($B25=DistributionZone)*($G25=Description)*($I$5=Desc_FixedOrVar),valuesPY,0)</f>
        <v>6.1170426505850894</v>
      </c>
      <c r="J25" s="574">
        <f>IF(AND(H25="",I25=""),"",H25+I25*F25/1000)</f>
        <v>5.2763646108435793</v>
      </c>
      <c r="K25" s="575" t="str">
        <f>IFERROR(J25/J30,"")</f>
        <v/>
      </c>
      <c r="L25" s="576"/>
      <c r="M25" s="575">
        <f t="shared" ref="M25:M30" si="12">IF(OR(J25=0,Q25=""),"",Q25/J25-1)</f>
        <v>-0.48482055209325359</v>
      </c>
      <c r="N25" s="576"/>
      <c r="O25" s="574"/>
      <c r="P25" s="574" cm="1">
        <f t="array" ref="P25">_xlfn.XLOOKUP(1,($B25=DistributionZone)*($G25=Description)*($I$5=Desc_FixedOrVar),valuesFY,0)</f>
        <v>3.1513746555504474</v>
      </c>
      <c r="Q25" s="574">
        <f t="shared" ref="Q25:Q30" si="13">IF(AND(O25="",P25=""),"",O25+P25*$F25/1000)</f>
        <v>2.7182746071690902</v>
      </c>
      <c r="R25" s="575">
        <f>IFERROR(Q25/Q30,"")</f>
        <v>0.28417703464641214</v>
      </c>
      <c r="S25" s="575"/>
      <c r="T25" s="634"/>
      <c r="U25" s="575"/>
      <c r="V25" s="575"/>
      <c r="W25" s="575"/>
      <c r="X25" s="575"/>
      <c r="Y25" s="575"/>
      <c r="Z25" s="575"/>
      <c r="AA25" s="575"/>
      <c r="AB25" s="575"/>
      <c r="AC25" s="575"/>
      <c r="AD25" s="575"/>
      <c r="AE25" s="575"/>
      <c r="AF25" s="575"/>
      <c r="AG25" s="575"/>
      <c r="AH25" s="575"/>
      <c r="AI25" s="575"/>
      <c r="AJ25" s="575"/>
    </row>
    <row r="26" spans="1:36" s="570" customFormat="1" x14ac:dyDescent="0.35">
      <c r="B26" s="30" t="str">
        <f t="shared" ref="B26:E26" si="14">B25</f>
        <v>Ausgrid</v>
      </c>
      <c r="C26" s="30" t="str">
        <f t="shared" si="14"/>
        <v>Residential</v>
      </c>
      <c r="D26" s="30" t="str">
        <f t="shared" si="14"/>
        <v>time of use</v>
      </c>
      <c r="E26" s="570" t="str">
        <f t="shared" si="14"/>
        <v>time of use (Peak)</v>
      </c>
      <c r="F26" s="485">
        <f>F25</f>
        <v>862.56789632468883</v>
      </c>
      <c r="G26" s="570" t="s">
        <v>74</v>
      </c>
      <c r="H26" s="574"/>
      <c r="I26" s="574" cm="1">
        <f t="array" ref="I26">_xlfn.XLOOKUP(1,($B26=DistributionZone)*($G26=Description)*($I$5=Desc_FixedOrVar),valuesPY,0)</f>
        <v>5.1359999999999992</v>
      </c>
      <c r="J26" s="574">
        <f>IF(AND(H26="",I26=""),"",H26+I26*F26/1000)</f>
        <v>4.4301487155236012</v>
      </c>
      <c r="K26" s="575" t="str">
        <f>IFERROR(J26/J30,"")</f>
        <v/>
      </c>
      <c r="L26" s="576"/>
      <c r="M26" s="575">
        <f t="shared" si="12"/>
        <v>-0.12694704049844219</v>
      </c>
      <c r="N26" s="576"/>
      <c r="O26" s="574"/>
      <c r="P26" s="574" cm="1">
        <f t="array" ref="P26">_xlfn.XLOOKUP(1,($B26=DistributionZone)*($G26=Description)*($I$5=Desc_FixedOrVar),valuesFY,0)</f>
        <v>4.484</v>
      </c>
      <c r="Q26" s="574">
        <f t="shared" si="13"/>
        <v>3.8677544471199048</v>
      </c>
      <c r="R26" s="575">
        <f>IFERROR(Q26/Q30,"")</f>
        <v>0.40434729685669196</v>
      </c>
      <c r="S26" s="575"/>
      <c r="T26" s="649"/>
      <c r="U26" s="575"/>
      <c r="V26" s="575"/>
      <c r="W26" s="575"/>
      <c r="X26" s="575"/>
      <c r="Y26" s="575"/>
      <c r="Z26" s="575"/>
      <c r="AA26" s="575"/>
      <c r="AB26" s="575"/>
      <c r="AC26" s="575"/>
      <c r="AD26" s="575"/>
      <c r="AE26" s="575"/>
      <c r="AF26" s="575"/>
      <c r="AG26" s="575"/>
      <c r="AH26" s="575"/>
      <c r="AI26" s="575"/>
      <c r="AJ26" s="575"/>
    </row>
    <row r="27" spans="1:36" s="570" customFormat="1" x14ac:dyDescent="0.35">
      <c r="B27" s="30" t="str">
        <f t="shared" ref="B27:E27" si="15">B26</f>
        <v>Ausgrid</v>
      </c>
      <c r="C27" s="30" t="str">
        <f t="shared" si="15"/>
        <v>Residential</v>
      </c>
      <c r="D27" s="30" t="str">
        <f t="shared" si="15"/>
        <v>time of use</v>
      </c>
      <c r="E27" s="570" t="str">
        <f t="shared" si="15"/>
        <v>time of use (Peak)</v>
      </c>
      <c r="F27" s="485">
        <f>F26</f>
        <v>862.56789632468883</v>
      </c>
      <c r="G27" s="570" t="s">
        <v>75</v>
      </c>
      <c r="H27" s="574"/>
      <c r="I27" s="574" cm="1">
        <f t="array" ref="I27">_xlfn.XLOOKUP(1,($B27=DistributionZone)*($G27=Description)*($I$5=Desc_FixedOrVar),valuesPY,0)</f>
        <v>2.1292191637289464</v>
      </c>
      <c r="J27" s="574">
        <f>IF(AND(H27="",I27=""),"",H27+I27*F27/1000)</f>
        <v>1.8365960948718905</v>
      </c>
      <c r="K27" s="575" t="str">
        <f>IFERROR(J27/J30,"")</f>
        <v/>
      </c>
      <c r="L27" s="576"/>
      <c r="M27" s="575">
        <f t="shared" si="12"/>
        <v>0.30545066908580987</v>
      </c>
      <c r="N27" s="576"/>
      <c r="O27" s="574"/>
      <c r="P27" s="574" cm="1">
        <f t="array" ref="P27">_xlfn.XLOOKUP(1,($B27=DistributionZone)*($G27=Description)*($I$5=Desc_FixedOrVar),valuesFY,0)</f>
        <v>2.7795905819202815</v>
      </c>
      <c r="Q27" s="574">
        <f t="shared" si="13"/>
        <v>2.3975856008908951</v>
      </c>
      <c r="R27" s="575">
        <f>IFERROR(Q27/Q30,"")</f>
        <v>0.25065119049236961</v>
      </c>
      <c r="S27" s="575"/>
      <c r="T27" s="649"/>
      <c r="U27" s="575"/>
      <c r="V27" s="575"/>
      <c r="W27" s="575"/>
      <c r="X27" s="575"/>
      <c r="Y27" s="575"/>
      <c r="Z27" s="575"/>
      <c r="AA27" s="575"/>
      <c r="AB27" s="575"/>
      <c r="AC27" s="575"/>
      <c r="AD27" s="575"/>
      <c r="AE27" s="575"/>
      <c r="AF27" s="575"/>
      <c r="AG27" s="575"/>
      <c r="AH27" s="575"/>
      <c r="AI27" s="575"/>
      <c r="AJ27" s="575"/>
    </row>
    <row r="28" spans="1:36" s="570" customFormat="1" x14ac:dyDescent="0.35">
      <c r="B28" s="30" t="str">
        <f t="shared" ref="B28:E28" si="16">B27</f>
        <v>Ausgrid</v>
      </c>
      <c r="C28" s="30" t="str">
        <f t="shared" si="16"/>
        <v>Residential</v>
      </c>
      <c r="D28" s="30" t="str">
        <f t="shared" si="16"/>
        <v>time of use</v>
      </c>
      <c r="E28" s="570" t="str">
        <f t="shared" si="16"/>
        <v>time of use (Peak)</v>
      </c>
      <c r="F28" s="485">
        <f>F27</f>
        <v>862.56789632468883</v>
      </c>
      <c r="G28" s="570" t="s">
        <v>155</v>
      </c>
      <c r="H28" s="574"/>
      <c r="I28" s="574" cm="1">
        <f t="array" ref="I28">_xlfn.XLOOKUP(1,($B28=DistributionZone)*($G28=Description)*($I$5=Desc_FixedOrVar),valuesPY,0)</f>
        <v>1.8634456011480964</v>
      </c>
      <c r="J28" s="574">
        <f>IF(AND(H28="",I28=""),"",H28+I28*F28/1000)</f>
        <v>1.6073483520978087</v>
      </c>
      <c r="K28" s="575" t="str">
        <f>IFERROR(J28/J30,"")</f>
        <v/>
      </c>
      <c r="L28" s="576"/>
      <c r="M28" s="575">
        <f t="shared" si="12"/>
        <v>-0.8994584724775363</v>
      </c>
      <c r="N28" s="576"/>
      <c r="O28" s="574"/>
      <c r="P28" s="574" cm="1">
        <f t="array" ref="P28">_xlfn.XLOOKUP(1,($B28=DistributionZone)*($G28=Description)*($I$5=Desc_FixedOrVar),valuesFY,0)</f>
        <v>0.18735366719444529</v>
      </c>
      <c r="Q28" s="574">
        <f t="shared" si="13"/>
        <v>0.16160525858062855</v>
      </c>
      <c r="R28" s="575">
        <f>IFERROR(Q28/Q30,"")</f>
        <v>1.68947254429666E-2</v>
      </c>
      <c r="S28" s="575"/>
      <c r="T28" s="649"/>
      <c r="U28" s="575"/>
      <c r="V28" s="575"/>
      <c r="W28" s="575"/>
      <c r="X28" s="575"/>
      <c r="Y28" s="575"/>
      <c r="Z28" s="575"/>
      <c r="AA28" s="575"/>
      <c r="AB28" s="575"/>
      <c r="AC28" s="575"/>
      <c r="AD28" s="575"/>
      <c r="AE28" s="575"/>
      <c r="AF28" s="575"/>
      <c r="AG28" s="575"/>
      <c r="AH28" s="575"/>
      <c r="AI28" s="575"/>
      <c r="AJ28" s="575"/>
    </row>
    <row r="29" spans="1:36" s="627" customFormat="1" x14ac:dyDescent="0.35">
      <c r="A29" s="570"/>
      <c r="B29" s="30" t="str">
        <f t="shared" ref="B29:E29" si="17">B28</f>
        <v>Ausgrid</v>
      </c>
      <c r="C29" s="30" t="str">
        <f t="shared" si="17"/>
        <v>Residential</v>
      </c>
      <c r="D29" s="30" t="str">
        <f t="shared" si="17"/>
        <v>time of use</v>
      </c>
      <c r="E29" s="570" t="str">
        <f t="shared" si="17"/>
        <v>time of use (Peak)</v>
      </c>
      <c r="F29" s="485">
        <f>F28</f>
        <v>862.56789632468883</v>
      </c>
      <c r="G29" s="570" t="s">
        <v>72</v>
      </c>
      <c r="H29" s="574"/>
      <c r="I29" s="574" cm="1">
        <f t="array" ref="I29">_xlfn.XLOOKUP(1,($B29=DistributionZone)*($G29=Description)*($I$5=Desc_FixedOrVar),valuesPY,0)*SUM(I25:I28)</f>
        <v>0.68238566226824471</v>
      </c>
      <c r="J29" s="574">
        <f>IF(AND(H29="",I29=""),"",H29+I29*F29/1000)</f>
        <v>0.58860396518484948</v>
      </c>
      <c r="K29" s="575" t="str">
        <f>IFERROR(J29/J30,"")</f>
        <v/>
      </c>
      <c r="L29" s="576"/>
      <c r="M29" s="575">
        <f t="shared" si="12"/>
        <v>-0.28609582188743266</v>
      </c>
      <c r="N29" s="576"/>
      <c r="O29" s="574"/>
      <c r="P29" s="574" cm="1">
        <f t="array" ref="P29">_xlfn.XLOOKUP(1,($B29=DistributionZone)*($G29=Description)*($I$5=Desc_FixedOrVar),valuesFY,0)*SUM(P25:P28)</f>
        <v>0.48715797537741123</v>
      </c>
      <c r="Q29" s="574">
        <f t="shared" si="13"/>
        <v>0.42020682999908815</v>
      </c>
      <c r="R29" s="575">
        <f>IFERROR(Q29/Q30,"")</f>
        <v>4.3929752561560016E-2</v>
      </c>
      <c r="S29" s="575"/>
      <c r="T29" s="649"/>
      <c r="U29" s="575"/>
      <c r="V29" s="575"/>
      <c r="W29" s="575"/>
      <c r="X29" s="575"/>
      <c r="Y29" s="575"/>
      <c r="Z29" s="575"/>
      <c r="AA29" s="575"/>
      <c r="AB29" s="575"/>
      <c r="AC29" s="575"/>
      <c r="AD29" s="575"/>
      <c r="AE29" s="575"/>
      <c r="AF29" s="575"/>
      <c r="AG29" s="575"/>
      <c r="AH29" s="575"/>
      <c r="AI29" s="575"/>
      <c r="AJ29" s="575"/>
    </row>
    <row r="30" spans="1:36" s="627" customFormat="1" x14ac:dyDescent="0.35">
      <c r="A30" s="570"/>
      <c r="B30" s="30" t="str">
        <f t="shared" ref="B30:E30" si="18">B29</f>
        <v>Ausgrid</v>
      </c>
      <c r="C30" s="30" t="str">
        <f t="shared" si="18"/>
        <v>Residential</v>
      </c>
      <c r="D30" s="30" t="str">
        <f t="shared" si="18"/>
        <v>time of use</v>
      </c>
      <c r="E30" s="570" t="str">
        <f t="shared" si="18"/>
        <v>time of use (Peak)</v>
      </c>
      <c r="F30" s="485">
        <f>F29</f>
        <v>862.56789632468883</v>
      </c>
      <c r="G30" s="571" t="s">
        <v>55</v>
      </c>
      <c r="H30" s="577">
        <f>SUM(H25:H29)</f>
        <v>0</v>
      </c>
      <c r="I30" s="577">
        <f>IF($H$3=PY,0,SUM(I25:I29))</f>
        <v>0</v>
      </c>
      <c r="J30" s="577">
        <f>IF($H$3=PY,0,SUM(J25:J29))</f>
        <v>0</v>
      </c>
      <c r="K30" s="578"/>
      <c r="L30" s="580"/>
      <c r="M30" s="578" t="str">
        <f t="shared" si="12"/>
        <v/>
      </c>
      <c r="N30" s="580"/>
      <c r="O30" s="577">
        <f>SUM(O25:O29)</f>
        <v>0</v>
      </c>
      <c r="P30" s="577">
        <f>SUM(P25:P29)</f>
        <v>11.089476880042584</v>
      </c>
      <c r="Q30" s="577">
        <f t="shared" si="13"/>
        <v>9.5654267437596037</v>
      </c>
      <c r="R30" s="575"/>
      <c r="S30" s="575"/>
      <c r="T30" s="649"/>
      <c r="U30" s="575"/>
      <c r="V30" s="575"/>
      <c r="W30" s="575"/>
      <c r="X30" s="575"/>
      <c r="Y30" s="575"/>
      <c r="Z30" s="575"/>
      <c r="AA30" s="575"/>
      <c r="AB30" s="575"/>
      <c r="AC30" s="575"/>
      <c r="AD30" s="575"/>
      <c r="AE30" s="575"/>
      <c r="AF30" s="575"/>
      <c r="AG30" s="575"/>
      <c r="AH30" s="575"/>
      <c r="AI30" s="575"/>
      <c r="AJ30" s="575"/>
    </row>
    <row r="31" spans="1:36" s="627" customFormat="1" x14ac:dyDescent="0.35">
      <c r="A31" s="570"/>
      <c r="B31" s="30"/>
      <c r="C31" s="30"/>
      <c r="D31" s="30"/>
      <c r="E31" s="570"/>
      <c r="F31" s="485"/>
      <c r="G31" s="571" t="s">
        <v>55</v>
      </c>
      <c r="H31" s="577">
        <f>SUM(H30,H24)</f>
        <v>0</v>
      </c>
      <c r="I31" s="577">
        <f>SUM(I30,I24)</f>
        <v>0</v>
      </c>
      <c r="J31" s="577">
        <f>SUM(J30,J24)</f>
        <v>0</v>
      </c>
      <c r="K31" s="578"/>
      <c r="L31" s="580"/>
      <c r="M31" s="578"/>
      <c r="N31" s="580"/>
      <c r="O31" s="577">
        <f>SUM(O30,O24)</f>
        <v>0</v>
      </c>
      <c r="P31" s="577">
        <f>SUM(P30,P24)</f>
        <v>22.178953760085168</v>
      </c>
      <c r="Q31" s="577">
        <f>SUM(Q30,Q24)</f>
        <v>43.248959832166079</v>
      </c>
      <c r="R31" s="575"/>
      <c r="S31" s="575"/>
      <c r="T31" s="649"/>
      <c r="U31" s="575"/>
      <c r="V31" s="575"/>
      <c r="W31" s="575"/>
      <c r="X31" s="575"/>
      <c r="Y31" s="575"/>
      <c r="Z31" s="575"/>
      <c r="AA31" s="575"/>
      <c r="AB31" s="575"/>
      <c r="AC31" s="575"/>
      <c r="AD31" s="575"/>
      <c r="AE31" s="575"/>
      <c r="AF31" s="575"/>
      <c r="AG31" s="575"/>
      <c r="AH31" s="575"/>
      <c r="AI31" s="575"/>
      <c r="AJ31" s="575"/>
    </row>
    <row r="32" spans="1:36" s="627" customFormat="1" x14ac:dyDescent="0.35">
      <c r="A32" s="570"/>
      <c r="B32" s="30" t="str">
        <f t="shared" ref="B32:D32" si="19">B30</f>
        <v>Ausgrid</v>
      </c>
      <c r="C32" s="30" t="str">
        <f t="shared" si="19"/>
        <v>Residential</v>
      </c>
      <c r="D32" s="30" t="str">
        <f t="shared" si="19"/>
        <v>time of use</v>
      </c>
      <c r="E32" s="570"/>
      <c r="F32" s="485"/>
      <c r="G32" s="570" t="s">
        <v>38</v>
      </c>
      <c r="H32" s="574"/>
      <c r="I32" s="577"/>
      <c r="J32" s="574">
        <f>J31*GST</f>
        <v>0</v>
      </c>
      <c r="K32" s="575"/>
      <c r="L32" s="582"/>
      <c r="M32" s="575"/>
      <c r="N32" s="582"/>
      <c r="O32" s="574"/>
      <c r="P32" s="574"/>
      <c r="Q32" s="574">
        <f>Q31*GST</f>
        <v>4.3248959832166083</v>
      </c>
      <c r="R32" s="578"/>
      <c r="S32" s="578"/>
      <c r="T32" s="650"/>
      <c r="U32" s="578"/>
      <c r="V32" s="578"/>
      <c r="W32" s="578"/>
      <c r="X32" s="578"/>
      <c r="Y32" s="578"/>
      <c r="Z32" s="578"/>
      <c r="AA32" s="578"/>
      <c r="AB32" s="578"/>
      <c r="AC32" s="578"/>
      <c r="AD32" s="578"/>
      <c r="AE32" s="578"/>
      <c r="AF32" s="578"/>
      <c r="AG32" s="578"/>
      <c r="AH32" s="578"/>
      <c r="AI32" s="578"/>
      <c r="AJ32" s="578"/>
    </row>
    <row r="33" spans="1:36" s="627" customFormat="1" x14ac:dyDescent="0.35">
      <c r="A33" s="570"/>
      <c r="B33" s="30" t="str">
        <f t="shared" ref="B33:D33" si="20">B32</f>
        <v>Ausgrid</v>
      </c>
      <c r="C33" s="30" t="str">
        <f t="shared" si="20"/>
        <v>Residential</v>
      </c>
      <c r="D33" s="30" t="str">
        <f t="shared" si="20"/>
        <v>time of use</v>
      </c>
      <c r="E33" s="570" t="s">
        <v>272</v>
      </c>
      <c r="F33" s="485">
        <f>SUM(F30,F24)</f>
        <v>3900</v>
      </c>
      <c r="G33" s="571" t="s">
        <v>79</v>
      </c>
      <c r="H33" s="577"/>
      <c r="I33" s="577"/>
      <c r="J33" s="577">
        <f>SUM(J31:J32)</f>
        <v>0</v>
      </c>
      <c r="K33" s="578"/>
      <c r="L33" s="580"/>
      <c r="M33" s="578" t="str">
        <f>IF(OR(J33=0,Q33=""),"",Q33/J33-1)</f>
        <v/>
      </c>
      <c r="N33" s="580"/>
      <c r="O33" s="577"/>
      <c r="P33" s="577"/>
      <c r="Q33" s="486">
        <f>SUM(Q31:Q32)</f>
        <v>47.573855815382686</v>
      </c>
      <c r="R33" s="578"/>
      <c r="S33" s="578"/>
      <c r="T33" s="650"/>
      <c r="U33" s="578"/>
      <c r="V33" s="578"/>
      <c r="W33" s="578"/>
      <c r="X33" s="578"/>
      <c r="Y33" s="578"/>
      <c r="Z33" s="578"/>
      <c r="AA33" s="578"/>
      <c r="AB33" s="578"/>
      <c r="AC33" s="578"/>
      <c r="AD33" s="578"/>
      <c r="AE33" s="578"/>
      <c r="AF33" s="578"/>
      <c r="AG33" s="578"/>
      <c r="AH33" s="578"/>
      <c r="AI33" s="578"/>
      <c r="AJ33" s="578"/>
    </row>
    <row r="34" spans="1:36" s="65" customFormat="1" x14ac:dyDescent="0.35">
      <c r="A34" s="30"/>
      <c r="B34" s="30"/>
      <c r="C34" s="30"/>
      <c r="D34" s="30"/>
      <c r="E34" s="30"/>
      <c r="F34" s="258"/>
      <c r="G34" s="30"/>
      <c r="H34" s="482"/>
      <c r="I34" s="482"/>
      <c r="J34" s="482"/>
      <c r="K34" s="484"/>
      <c r="L34" s="568"/>
      <c r="M34" s="484"/>
      <c r="N34" s="568"/>
      <c r="O34" s="482"/>
      <c r="P34" s="482"/>
      <c r="Q34" s="482"/>
      <c r="R34" s="484"/>
      <c r="S34" s="484"/>
      <c r="T34" s="644"/>
      <c r="U34" s="484"/>
      <c r="V34" s="484"/>
      <c r="W34" s="484"/>
      <c r="X34" s="484"/>
      <c r="Y34" s="484"/>
      <c r="Z34" s="484"/>
      <c r="AA34" s="484"/>
      <c r="AB34" s="484"/>
      <c r="AC34" s="484"/>
      <c r="AD34" s="484"/>
      <c r="AE34" s="484"/>
      <c r="AF34" s="484"/>
      <c r="AG34" s="484"/>
      <c r="AH34" s="484"/>
      <c r="AI34" s="484"/>
      <c r="AJ34" s="484"/>
    </row>
    <row r="35" spans="1:36" s="65" customFormat="1" x14ac:dyDescent="0.35">
      <c r="A35" s="30"/>
      <c r="B35" s="64" t="s">
        <v>2</v>
      </c>
      <c r="C35" s="64"/>
      <c r="D35" s="64" t="s">
        <v>285</v>
      </c>
      <c r="E35" s="30"/>
      <c r="F35" s="258"/>
      <c r="G35" s="30"/>
      <c r="H35" s="482"/>
      <c r="I35" s="482"/>
      <c r="J35" s="482"/>
      <c r="K35" s="484"/>
      <c r="L35" s="568"/>
      <c r="M35" s="484"/>
      <c r="N35" s="568"/>
      <c r="O35" s="482"/>
      <c r="P35" s="482"/>
      <c r="Q35" s="482"/>
      <c r="R35" s="484"/>
      <c r="S35" s="484"/>
      <c r="T35" s="644"/>
      <c r="U35" s="484"/>
      <c r="V35" s="484"/>
      <c r="W35" s="484"/>
      <c r="X35" s="484"/>
      <c r="Y35" s="484"/>
      <c r="Z35" s="484"/>
      <c r="AA35" s="484"/>
      <c r="AB35" s="484"/>
      <c r="AC35" s="484"/>
      <c r="AD35" s="484"/>
      <c r="AE35" s="484"/>
      <c r="AF35" s="484"/>
      <c r="AG35" s="484"/>
      <c r="AH35" s="484"/>
      <c r="AI35" s="484"/>
      <c r="AJ35" s="484"/>
    </row>
    <row r="36" spans="1:36" s="65" customFormat="1" x14ac:dyDescent="0.35">
      <c r="A36" s="30"/>
      <c r="B36" s="30" t="str">
        <f t="shared" ref="B36:B51" si="21">B35</f>
        <v>Ausgrid</v>
      </c>
      <c r="C36" s="30"/>
      <c r="D36" s="30" t="str">
        <f t="shared" ref="D36:D51" si="22">D35</f>
        <v>controlled load</v>
      </c>
      <c r="E36" s="30"/>
      <c r="F36" s="258"/>
      <c r="G36" s="64"/>
      <c r="H36" s="487"/>
      <c r="I36" s="487"/>
      <c r="J36" s="487"/>
      <c r="K36" s="564"/>
      <c r="L36" s="566"/>
      <c r="M36" s="564"/>
      <c r="N36" s="566"/>
      <c r="O36" s="487"/>
      <c r="P36" s="487"/>
      <c r="Q36" s="487"/>
      <c r="R36" s="484"/>
      <c r="S36" s="484"/>
      <c r="T36" s="644"/>
      <c r="U36" s="484"/>
      <c r="V36" s="484"/>
      <c r="W36" s="484"/>
      <c r="X36" s="484"/>
      <c r="Y36" s="484"/>
      <c r="Z36" s="484"/>
      <c r="AA36" s="484"/>
      <c r="AB36" s="484"/>
      <c r="AC36" s="484"/>
      <c r="AD36" s="484"/>
      <c r="AE36" s="484"/>
      <c r="AF36" s="484"/>
      <c r="AG36" s="484"/>
      <c r="AH36" s="484"/>
      <c r="AI36" s="484"/>
      <c r="AJ36" s="484"/>
    </row>
    <row r="37" spans="1:36" s="65" customFormat="1" x14ac:dyDescent="0.35">
      <c r="A37" s="30"/>
      <c r="B37" s="30" t="str">
        <f t="shared" si="21"/>
        <v>Ausgrid</v>
      </c>
      <c r="C37" s="30"/>
      <c r="D37" s="30" t="str">
        <f t="shared" si="22"/>
        <v>controlled load</v>
      </c>
      <c r="E37" s="30" t="s">
        <v>14</v>
      </c>
      <c r="F37" s="258" cm="1">
        <f t="array" ref="F37">IFERROR(_xlfn.XLOOKUP(1,($B37=DistributionZone)*($C37=CustomerType)*($E37=tariffType)*(F$5=Description)*($D37=tariffL2),valuesFY),0)</f>
        <v>1340</v>
      </c>
      <c r="G37" s="30" t="s">
        <v>73</v>
      </c>
      <c r="H37" s="482"/>
      <c r="I37" s="482" cm="1">
        <f t="array" ref="I37">_xlfn.XLOOKUP(1,($B37=DistributionZone)*($G37=Description)*($I$5=Desc_FixedOrVar),valuesPY,0)</f>
        <v>6.1170426505850894</v>
      </c>
      <c r="J37" s="482">
        <f>IF(AND(H37="",I37=""),"",H37+I37*$F37/1000)</f>
        <v>8.1968371517840204</v>
      </c>
      <c r="K37" s="484">
        <f>IFERROR(J37/J42,"")</f>
        <v>0.38404111658146578</v>
      </c>
      <c r="L37" s="563"/>
      <c r="M37" s="484">
        <f t="shared" ref="M37:M49" si="23">IF(OR(J37=0,Q37=""),"",Q37/J37-1)</f>
        <v>-0.48482055209325359</v>
      </c>
      <c r="N37" s="563"/>
      <c r="O37" s="482"/>
      <c r="P37" s="482" cm="1">
        <f t="array" ref="P37">_xlfn.XLOOKUP(1,($B37=DistributionZone)*($G37=Description)*($I$5=Desc_FixedOrVar),valuesFY,0)</f>
        <v>3.1513746555504474</v>
      </c>
      <c r="Q37" s="482">
        <f t="shared" ref="Q37:Q48" si="24">IF(AND(O37="",P37=""),"",O37+P37*$F37/1000)</f>
        <v>4.2228420384375998</v>
      </c>
      <c r="R37" s="484">
        <f>IFERROR(Q37/Q42,"")</f>
        <v>0.28417703464641214</v>
      </c>
      <c r="S37" s="484"/>
      <c r="T37" s="645"/>
      <c r="U37" s="484"/>
      <c r="V37" s="484"/>
      <c r="W37" s="484"/>
      <c r="X37" s="484"/>
      <c r="Y37" s="484"/>
      <c r="Z37" s="484"/>
      <c r="AA37" s="484"/>
      <c r="AB37" s="484"/>
      <c r="AC37" s="484"/>
      <c r="AD37" s="484"/>
      <c r="AE37" s="484"/>
      <c r="AF37" s="484"/>
      <c r="AG37" s="484"/>
      <c r="AH37" s="484"/>
      <c r="AI37" s="484"/>
      <c r="AJ37" s="484"/>
    </row>
    <row r="38" spans="1:36" s="65" customFormat="1" x14ac:dyDescent="0.35">
      <c r="A38" s="30"/>
      <c r="B38" s="30" t="str">
        <f t="shared" si="21"/>
        <v>Ausgrid</v>
      </c>
      <c r="C38" s="30"/>
      <c r="D38" s="30" t="str">
        <f t="shared" si="22"/>
        <v>controlled load</v>
      </c>
      <c r="E38" s="30" t="s">
        <v>14</v>
      </c>
      <c r="F38" s="258">
        <f>F37</f>
        <v>1340</v>
      </c>
      <c r="G38" s="30" t="s">
        <v>74</v>
      </c>
      <c r="H38" s="482"/>
      <c r="I38" s="482" cm="1">
        <f t="array" ref="I38">_xlfn.XLOOKUP(1,($B38=DistributionZone)*($G38=Description)*($I$5=Desc_FixedOrVar),valuesPY,0)</f>
        <v>5.1359999999999992</v>
      </c>
      <c r="J38" s="482">
        <f>IF(AND(H38="",I38=""),"",H38+I38*$F38/1000)</f>
        <v>6.8822399999999986</v>
      </c>
      <c r="K38" s="484">
        <f>IFERROR(J38/J42,"")</f>
        <v>0.32244914535192037</v>
      </c>
      <c r="L38" s="563"/>
      <c r="M38" s="484">
        <f t="shared" si="23"/>
        <v>-0.12694704049844219</v>
      </c>
      <c r="N38" s="563"/>
      <c r="O38" s="482"/>
      <c r="P38" s="482" cm="1">
        <f t="array" ref="P38">_xlfn.XLOOKUP(1,($B38=DistributionZone)*($G38=Description)*($I$5=Desc_FixedOrVar),valuesFY,0)</f>
        <v>4.484</v>
      </c>
      <c r="Q38" s="482">
        <f t="shared" si="24"/>
        <v>6.0085600000000001</v>
      </c>
      <c r="R38" s="484">
        <f>IFERROR(Q38/Q42,"")</f>
        <v>0.40434729685669191</v>
      </c>
      <c r="S38" s="484"/>
      <c r="T38" s="644"/>
      <c r="U38" s="484"/>
      <c r="V38" s="484"/>
      <c r="W38" s="484"/>
      <c r="X38" s="484"/>
      <c r="Y38" s="484"/>
      <c r="Z38" s="484"/>
      <c r="AA38" s="484"/>
      <c r="AB38" s="484"/>
      <c r="AC38" s="484"/>
      <c r="AD38" s="484"/>
      <c r="AE38" s="484"/>
      <c r="AF38" s="484"/>
      <c r="AG38" s="484"/>
      <c r="AH38" s="484"/>
      <c r="AI38" s="484"/>
      <c r="AJ38" s="484"/>
    </row>
    <row r="39" spans="1:36" s="65" customFormat="1" x14ac:dyDescent="0.35">
      <c r="A39" s="30"/>
      <c r="B39" s="30" t="str">
        <f t="shared" si="21"/>
        <v>Ausgrid</v>
      </c>
      <c r="C39" s="30"/>
      <c r="D39" s="30" t="str">
        <f t="shared" si="22"/>
        <v>controlled load</v>
      </c>
      <c r="E39" s="30" t="s">
        <v>14</v>
      </c>
      <c r="F39" s="258">
        <f>F38</f>
        <v>1340</v>
      </c>
      <c r="G39" s="30" t="s">
        <v>75</v>
      </c>
      <c r="H39" s="482"/>
      <c r="I39" s="482" cm="1">
        <f t="array" ref="I39">_xlfn.XLOOKUP(1,($B39=DistributionZone)*($G39=Description)*($I$5=Desc_FixedOrVar),valuesPY,0)</f>
        <v>2.1292191637289464</v>
      </c>
      <c r="J39" s="482">
        <f>IF(AND(H39="",I39=""),"",H39+I39*$F39/1000)</f>
        <v>2.853153679396788</v>
      </c>
      <c r="K39" s="484">
        <f>IFERROR(J39/J42,"")</f>
        <v>0.1336769664352277</v>
      </c>
      <c r="L39" s="563"/>
      <c r="M39" s="484">
        <f t="shared" si="23"/>
        <v>0.30545066908580987</v>
      </c>
      <c r="N39" s="563"/>
      <c r="O39" s="482"/>
      <c r="P39" s="482" cm="1">
        <f t="array" ref="P39">_xlfn.XLOOKUP(1,($B39=DistributionZone)*($G39=Description)*($I$5=Desc_FixedOrVar),valuesFY,0)</f>
        <v>2.7795905819202815</v>
      </c>
      <c r="Q39" s="482">
        <f t="shared" si="24"/>
        <v>3.7246513797731771</v>
      </c>
      <c r="R39" s="484">
        <f>IFERROR(Q39/Q42,"")</f>
        <v>0.25065119049236956</v>
      </c>
      <c r="S39" s="484"/>
      <c r="T39" s="644"/>
      <c r="U39" s="484"/>
      <c r="V39" s="484"/>
      <c r="W39" s="484"/>
      <c r="X39" s="484"/>
      <c r="Y39" s="484"/>
      <c r="Z39" s="484"/>
      <c r="AA39" s="484"/>
      <c r="AB39" s="484"/>
      <c r="AC39" s="484"/>
      <c r="AD39" s="484"/>
      <c r="AE39" s="484"/>
      <c r="AF39" s="484"/>
      <c r="AG39" s="484"/>
      <c r="AH39" s="484"/>
      <c r="AI39" s="484"/>
      <c r="AJ39" s="484"/>
    </row>
    <row r="40" spans="1:36" s="65" customFormat="1" x14ac:dyDescent="0.35">
      <c r="A40" s="30"/>
      <c r="B40" s="30" t="str">
        <f t="shared" si="21"/>
        <v>Ausgrid</v>
      </c>
      <c r="C40" s="30"/>
      <c r="D40" s="30" t="str">
        <f t="shared" si="22"/>
        <v>controlled load</v>
      </c>
      <c r="E40" s="30" t="s">
        <v>14</v>
      </c>
      <c r="F40" s="258">
        <f>F39</f>
        <v>1340</v>
      </c>
      <c r="G40" s="30" t="s">
        <v>155</v>
      </c>
      <c r="H40" s="482"/>
      <c r="I40" s="482" cm="1">
        <f t="array" ref="I40">_xlfn.XLOOKUP(1,($B40=DistributionZone)*($G40=Description)*($I$5=Desc_FixedOrVar),valuesPY,0)</f>
        <v>1.8634456011480964</v>
      </c>
      <c r="J40" s="482">
        <f>IF(AND(H40="",I40=""),"",H40+I40*$F40/1000)</f>
        <v>2.4970171055384496</v>
      </c>
      <c r="K40" s="484">
        <f>IFERROR(J40/J42,"")</f>
        <v>0.11699112957554506</v>
      </c>
      <c r="L40" s="563"/>
      <c r="M40" s="484">
        <f t="shared" si="23"/>
        <v>-0.8994584724775363</v>
      </c>
      <c r="N40" s="563"/>
      <c r="O40" s="482"/>
      <c r="P40" s="482" cm="1">
        <f t="array" ref="P40">_xlfn.XLOOKUP(1,($B40=DistributionZone)*($G40=Description)*($I$5=Desc_FixedOrVar),valuesFY,0)</f>
        <v>0.18735366719444529</v>
      </c>
      <c r="Q40" s="482">
        <f t="shared" si="24"/>
        <v>0.25105391404055671</v>
      </c>
      <c r="R40" s="484">
        <f>IFERROR(Q40/Q42,"")</f>
        <v>1.68947254429666E-2</v>
      </c>
      <c r="S40" s="484"/>
      <c r="T40" s="644"/>
      <c r="U40" s="484"/>
      <c r="V40" s="484"/>
      <c r="W40" s="484"/>
      <c r="X40" s="484"/>
      <c r="Y40" s="484"/>
      <c r="Z40" s="484"/>
      <c r="AA40" s="484"/>
      <c r="AB40" s="484"/>
      <c r="AC40" s="484"/>
      <c r="AD40" s="484"/>
      <c r="AE40" s="484"/>
      <c r="AF40" s="484"/>
      <c r="AG40" s="484"/>
      <c r="AH40" s="484"/>
      <c r="AI40" s="484"/>
      <c r="AJ40" s="484"/>
    </row>
    <row r="41" spans="1:36" s="65" customFormat="1" x14ac:dyDescent="0.35">
      <c r="A41" s="30"/>
      <c r="B41" s="30" t="str">
        <f t="shared" si="21"/>
        <v>Ausgrid</v>
      </c>
      <c r="C41" s="30"/>
      <c r="D41" s="30" t="str">
        <f t="shared" si="22"/>
        <v>controlled load</v>
      </c>
      <c r="E41" s="30" t="s">
        <v>14</v>
      </c>
      <c r="F41" s="258">
        <f>F40</f>
        <v>1340</v>
      </c>
      <c r="G41" s="30" t="s">
        <v>72</v>
      </c>
      <c r="H41" s="482"/>
      <c r="I41" s="482" cm="1">
        <f t="array" ref="I41">_xlfn.XLOOKUP(1,($B41=DistributionZone)*($C41=CustomerType)*($D41=tariffL2)*($E41=tariffType)*($G41=Description)*($I$5=Desc_FixedOrVar),valuesPY,0)*SUM(I37:I40)</f>
        <v>0.68238566226824471</v>
      </c>
      <c r="J41" s="482">
        <f>IF(AND(H41="",I41=""),"",H41+I41*$F41/1000)</f>
        <v>0.91439678743944797</v>
      </c>
      <c r="K41" s="484">
        <f>IFERROR(J41/J42,"")</f>
        <v>4.2841642055841074E-2</v>
      </c>
      <c r="L41" s="563"/>
      <c r="M41" s="484">
        <f t="shared" si="23"/>
        <v>-0.28609582188743266</v>
      </c>
      <c r="N41" s="563"/>
      <c r="O41" s="482"/>
      <c r="P41" s="482" cm="1">
        <f t="array" ref="P41">_xlfn.XLOOKUP(1,($B41=DistributionZone)*($C41=CustomerType)*($D41=tariffL2)*($E41=tariffType)*($G41=Description)*($P$5=Desc_FixedOrVar),valuesFY,0)*SUM(P37:P40)</f>
        <v>0.48715797537741123</v>
      </c>
      <c r="Q41" s="482">
        <f t="shared" si="24"/>
        <v>0.65279168700573109</v>
      </c>
      <c r="R41" s="484">
        <f>IFERROR(Q41/Q42,"")</f>
        <v>4.3929752561560016E-2</v>
      </c>
      <c r="S41" s="484"/>
      <c r="T41" s="644"/>
      <c r="U41" s="484"/>
      <c r="V41" s="484"/>
      <c r="W41" s="484"/>
      <c r="X41" s="484"/>
      <c r="Y41" s="484"/>
      <c r="Z41" s="484"/>
      <c r="AA41" s="484"/>
      <c r="AB41" s="484"/>
      <c r="AC41" s="484"/>
      <c r="AD41" s="484"/>
      <c r="AE41" s="484"/>
      <c r="AF41" s="484"/>
      <c r="AG41" s="484"/>
      <c r="AH41" s="484"/>
      <c r="AI41" s="484"/>
      <c r="AJ41" s="484"/>
    </row>
    <row r="42" spans="1:36" s="65" customFormat="1" x14ac:dyDescent="0.35">
      <c r="A42" s="30"/>
      <c r="B42" s="30" t="str">
        <f t="shared" si="21"/>
        <v>Ausgrid</v>
      </c>
      <c r="C42" s="30"/>
      <c r="D42" s="30" t="str">
        <f t="shared" si="22"/>
        <v>controlled load</v>
      </c>
      <c r="E42" s="30" t="s">
        <v>14</v>
      </c>
      <c r="F42" s="258">
        <f>F41</f>
        <v>1340</v>
      </c>
      <c r="G42" s="64" t="s">
        <v>55</v>
      </c>
      <c r="H42" s="487">
        <f>SUM(H37:H41)</f>
        <v>0</v>
      </c>
      <c r="I42" s="487">
        <f>SUM(I37:I41)</f>
        <v>15.928093077730377</v>
      </c>
      <c r="J42" s="487">
        <f>SUM(J37:J41)</f>
        <v>21.343644724158704</v>
      </c>
      <c r="K42" s="564"/>
      <c r="L42" s="566"/>
      <c r="M42" s="564">
        <f t="shared" si="23"/>
        <v>-0.30377874953862682</v>
      </c>
      <c r="N42" s="566"/>
      <c r="O42" s="487">
        <f>SUM(O37:O41)</f>
        <v>0</v>
      </c>
      <c r="P42" s="487">
        <f>SUM(P37:P41)</f>
        <v>11.089476880042584</v>
      </c>
      <c r="Q42" s="487">
        <f t="shared" si="24"/>
        <v>14.859899019257062</v>
      </c>
      <c r="R42" s="564"/>
      <c r="S42" s="564"/>
      <c r="T42" s="646"/>
      <c r="U42" s="564"/>
      <c r="V42" s="564"/>
      <c r="W42" s="564"/>
      <c r="X42" s="564"/>
      <c r="Y42" s="564"/>
      <c r="Z42" s="564"/>
      <c r="AA42" s="564"/>
      <c r="AB42" s="564"/>
      <c r="AC42" s="564"/>
      <c r="AD42" s="564"/>
      <c r="AE42" s="564"/>
      <c r="AF42" s="564"/>
      <c r="AG42" s="564"/>
      <c r="AH42" s="564"/>
      <c r="AI42" s="564"/>
      <c r="AJ42" s="564"/>
    </row>
    <row r="43" spans="1:36" s="65" customFormat="1" x14ac:dyDescent="0.35">
      <c r="A43" s="30"/>
      <c r="B43" s="30" t="str">
        <f t="shared" si="21"/>
        <v>Ausgrid</v>
      </c>
      <c r="C43" s="30"/>
      <c r="D43" s="30" t="str">
        <f t="shared" si="22"/>
        <v>controlled load</v>
      </c>
      <c r="E43" s="30" t="s">
        <v>15</v>
      </c>
      <c r="F43" s="258" cm="1">
        <f t="array" ref="F43">IFERROR(_xlfn.XLOOKUP(1,($B43=DistributionZone)*($C43=CustomerType)*($E43=tariffType)*(F$5=Description)*($D43=tariffL2),valuesFY),0)</f>
        <v>660</v>
      </c>
      <c r="G43" s="30" t="s">
        <v>73</v>
      </c>
      <c r="H43" s="482"/>
      <c r="I43" s="482" cm="1">
        <f t="array" ref="I43">_xlfn.XLOOKUP(1,($B43=DistributionZone)*($G43=Description)*($I$5=Desc_FixedOrVar),valuesPY,0)</f>
        <v>6.1170426505850894</v>
      </c>
      <c r="J43" s="482">
        <f>IF(AND(H43="",I43=""),"",H43+I43*$F43/1000)</f>
        <v>4.0372481493861594</v>
      </c>
      <c r="K43" s="484">
        <f>IFERROR(J43/J48,"")</f>
        <v>0.38404111658146578</v>
      </c>
      <c r="L43" s="563"/>
      <c r="M43" s="484">
        <f t="shared" si="23"/>
        <v>-0.48482055209325359</v>
      </c>
      <c r="N43" s="563"/>
      <c r="O43" s="482"/>
      <c r="P43" s="482" cm="1">
        <f t="array" ref="P43">_xlfn.XLOOKUP(1,($B43=DistributionZone)*($G43=Description)*($I$5=Desc_FixedOrVar),valuesFY,0)</f>
        <v>3.1513746555504474</v>
      </c>
      <c r="Q43" s="482">
        <f t="shared" si="24"/>
        <v>2.0799072726632954</v>
      </c>
      <c r="R43" s="484">
        <f>IFERROR(Q43/Q48,"")</f>
        <v>0.28417703464641214</v>
      </c>
      <c r="S43" s="484"/>
      <c r="T43" s="645"/>
      <c r="U43" s="484"/>
      <c r="V43" s="484"/>
      <c r="W43" s="484"/>
      <c r="X43" s="484"/>
      <c r="Y43" s="484"/>
      <c r="Z43" s="484"/>
      <c r="AA43" s="484"/>
      <c r="AB43" s="484"/>
      <c r="AC43" s="484"/>
      <c r="AD43" s="484"/>
      <c r="AE43" s="484"/>
      <c r="AF43" s="484"/>
      <c r="AG43" s="484"/>
      <c r="AH43" s="484"/>
      <c r="AI43" s="484"/>
      <c r="AJ43" s="484"/>
    </row>
    <row r="44" spans="1:36" s="65" customFormat="1" x14ac:dyDescent="0.35">
      <c r="A44" s="30"/>
      <c r="B44" s="30" t="str">
        <f t="shared" si="21"/>
        <v>Ausgrid</v>
      </c>
      <c r="C44" s="30"/>
      <c r="D44" s="30" t="str">
        <f t="shared" si="22"/>
        <v>controlled load</v>
      </c>
      <c r="E44" s="30" t="s">
        <v>15</v>
      </c>
      <c r="F44" s="258">
        <f>F43</f>
        <v>660</v>
      </c>
      <c r="G44" s="30" t="s">
        <v>74</v>
      </c>
      <c r="H44" s="482"/>
      <c r="I44" s="482" cm="1">
        <f t="array" ref="I44">_xlfn.XLOOKUP(1,($B44=DistributionZone)*($G44=Description)*($I$5=Desc_FixedOrVar),valuesPY,0)</f>
        <v>5.1359999999999992</v>
      </c>
      <c r="J44" s="482">
        <f>IF(AND(H44="",I44=""),"",H44+I44*$F44/1000)</f>
        <v>3.3897599999999994</v>
      </c>
      <c r="K44" s="484">
        <f>IFERROR(J44/J48,"")</f>
        <v>0.32244914535192037</v>
      </c>
      <c r="L44" s="563"/>
      <c r="M44" s="484">
        <f t="shared" si="23"/>
        <v>-0.1269470404984423</v>
      </c>
      <c r="N44" s="563"/>
      <c r="O44" s="482"/>
      <c r="P44" s="482" cm="1">
        <f t="array" ref="P44">_xlfn.XLOOKUP(1,($B44=DistributionZone)*($G44=Description)*($I$5=Desc_FixedOrVar),valuesFY,0)</f>
        <v>4.484</v>
      </c>
      <c r="Q44" s="482">
        <f t="shared" si="24"/>
        <v>2.9594399999999998</v>
      </c>
      <c r="R44" s="484">
        <f>IFERROR(Q44/Q48,"")</f>
        <v>0.40434729685669191</v>
      </c>
      <c r="S44" s="484"/>
      <c r="T44" s="644"/>
      <c r="U44" s="484"/>
      <c r="V44" s="484"/>
      <c r="W44" s="484"/>
      <c r="X44" s="484"/>
      <c r="Y44" s="484"/>
      <c r="Z44" s="484"/>
      <c r="AA44" s="484"/>
      <c r="AB44" s="484"/>
      <c r="AC44" s="484"/>
      <c r="AD44" s="484"/>
      <c r="AE44" s="484"/>
      <c r="AF44" s="484"/>
      <c r="AG44" s="484"/>
      <c r="AH44" s="484"/>
      <c r="AI44" s="484"/>
      <c r="AJ44" s="484"/>
    </row>
    <row r="45" spans="1:36" s="65" customFormat="1" x14ac:dyDescent="0.35">
      <c r="A45" s="30"/>
      <c r="B45" s="30" t="str">
        <f t="shared" si="21"/>
        <v>Ausgrid</v>
      </c>
      <c r="C45" s="30"/>
      <c r="D45" s="30" t="str">
        <f t="shared" si="22"/>
        <v>controlled load</v>
      </c>
      <c r="E45" s="30" t="s">
        <v>15</v>
      </c>
      <c r="F45" s="258">
        <f>F44</f>
        <v>660</v>
      </c>
      <c r="G45" s="30" t="s">
        <v>75</v>
      </c>
      <c r="H45" s="482"/>
      <c r="I45" s="482" cm="1">
        <f t="array" ref="I45">_xlfn.XLOOKUP(1,($B45=DistributionZone)*($G45=Description)*($I$5=Desc_FixedOrVar),valuesPY,0)</f>
        <v>2.1292191637289464</v>
      </c>
      <c r="J45" s="482">
        <f>IF(AND(H45="",I45=""),"",H45+I45*$F45/1000)</f>
        <v>1.4052846480611048</v>
      </c>
      <c r="K45" s="484">
        <f>IFERROR(J45/J48,"")</f>
        <v>0.13367696643522772</v>
      </c>
      <c r="L45" s="563"/>
      <c r="M45" s="484">
        <f t="shared" si="23"/>
        <v>0.30545066908580987</v>
      </c>
      <c r="N45" s="563"/>
      <c r="O45" s="482"/>
      <c r="P45" s="482" cm="1">
        <f t="array" ref="P45">_xlfn.XLOOKUP(1,($B45=DistributionZone)*($G45=Description)*($I$5=Desc_FixedOrVar),valuesFY,0)</f>
        <v>2.7795905819202815</v>
      </c>
      <c r="Q45" s="482">
        <f t="shared" si="24"/>
        <v>1.834529784067386</v>
      </c>
      <c r="R45" s="484">
        <f>IFERROR(Q45/Q48,"")</f>
        <v>0.25065119049236956</v>
      </c>
      <c r="S45" s="484"/>
      <c r="T45" s="644"/>
      <c r="U45" s="484"/>
      <c r="V45" s="484"/>
      <c r="W45" s="484"/>
      <c r="X45" s="484"/>
      <c r="Y45" s="484"/>
      <c r="Z45" s="484"/>
      <c r="AA45" s="484"/>
      <c r="AB45" s="484"/>
      <c r="AC45" s="484"/>
      <c r="AD45" s="484"/>
      <c r="AE45" s="484"/>
      <c r="AF45" s="484"/>
      <c r="AG45" s="484"/>
      <c r="AH45" s="484"/>
      <c r="AI45" s="484"/>
      <c r="AJ45" s="484"/>
    </row>
    <row r="46" spans="1:36" s="65" customFormat="1" x14ac:dyDescent="0.35">
      <c r="A46" s="30"/>
      <c r="B46" s="30" t="str">
        <f t="shared" si="21"/>
        <v>Ausgrid</v>
      </c>
      <c r="C46" s="30"/>
      <c r="D46" s="30" t="str">
        <f t="shared" si="22"/>
        <v>controlled load</v>
      </c>
      <c r="E46" s="30" t="s">
        <v>15</v>
      </c>
      <c r="F46" s="258">
        <f>F45</f>
        <v>660</v>
      </c>
      <c r="G46" s="30" t="s">
        <v>155</v>
      </c>
      <c r="H46" s="482"/>
      <c r="I46" s="482" cm="1">
        <f t="array" ref="I46">_xlfn.XLOOKUP(1,($B46=DistributionZone)*($G46=Description)*($I$5=Desc_FixedOrVar),valuesPY,0)</f>
        <v>1.8634456011480964</v>
      </c>
      <c r="J46" s="482">
        <f>IF(AND(H46="",I46=""),"",H46+I46*$F46/1000)</f>
        <v>1.2298740967577437</v>
      </c>
      <c r="K46" s="484">
        <f>IFERROR(J46/J48,"")</f>
        <v>0.11699112957554504</v>
      </c>
      <c r="L46" s="563"/>
      <c r="M46" s="484">
        <f t="shared" si="23"/>
        <v>-0.8994584724775363</v>
      </c>
      <c r="N46" s="563"/>
      <c r="O46" s="482"/>
      <c r="P46" s="482" cm="1">
        <f t="array" ref="P46">_xlfn.XLOOKUP(1,($B46=DistributionZone)*($G46=Description)*($I$5=Desc_FixedOrVar),valuesFY,0)</f>
        <v>0.18735366719444529</v>
      </c>
      <c r="Q46" s="482">
        <f t="shared" si="24"/>
        <v>0.12365342034833389</v>
      </c>
      <c r="R46" s="484">
        <f>IFERROR(Q46/Q48,"")</f>
        <v>1.68947254429666E-2</v>
      </c>
      <c r="S46" s="484"/>
      <c r="T46" s="644"/>
      <c r="U46" s="484"/>
      <c r="V46" s="484"/>
      <c r="W46" s="484"/>
      <c r="X46" s="484"/>
      <c r="Y46" s="484"/>
      <c r="Z46" s="484"/>
      <c r="AA46" s="484"/>
      <c r="AB46" s="484"/>
      <c r="AC46" s="484"/>
      <c r="AD46" s="484"/>
      <c r="AE46" s="484"/>
      <c r="AF46" s="484"/>
      <c r="AG46" s="484"/>
      <c r="AH46" s="484"/>
      <c r="AI46" s="484"/>
      <c r="AJ46" s="484"/>
    </row>
    <row r="47" spans="1:36" s="65" customFormat="1" x14ac:dyDescent="0.35">
      <c r="A47" s="30"/>
      <c r="B47" s="30" t="str">
        <f t="shared" si="21"/>
        <v>Ausgrid</v>
      </c>
      <c r="C47" s="30"/>
      <c r="D47" s="30" t="str">
        <f t="shared" si="22"/>
        <v>controlled load</v>
      </c>
      <c r="E47" s="30" t="s">
        <v>15</v>
      </c>
      <c r="F47" s="258">
        <f>F46</f>
        <v>660</v>
      </c>
      <c r="G47" s="30" t="s">
        <v>72</v>
      </c>
      <c r="H47" s="482"/>
      <c r="I47" s="482" cm="1">
        <f t="array" ref="I47">_xlfn.XLOOKUP(1,($B47=DistributionZone)*($C47=CustomerType)*($D47=tariffL2)*($E47=tariffType)*($G47=Description)*($I$5=Desc_FixedOrVar),valuesPY,0)*SUM(I43:I46)</f>
        <v>0.68238566226824471</v>
      </c>
      <c r="J47" s="482">
        <f>IF(AND(H47="",I47=""),"",H47+I47*$F47/1000)</f>
        <v>0.45037453709704151</v>
      </c>
      <c r="K47" s="484">
        <f>IFERROR(J47/J48,"")</f>
        <v>4.2841642055841067E-2</v>
      </c>
      <c r="L47" s="563"/>
      <c r="M47" s="484">
        <f t="shared" si="23"/>
        <v>-0.28609582188743266</v>
      </c>
      <c r="N47" s="563"/>
      <c r="O47" s="482"/>
      <c r="P47" s="482" cm="1">
        <f t="array" ref="P47">_xlfn.XLOOKUP(1,($B47=DistributionZone)*($C47=CustomerType)*($D47=tariffL2)*($E47=tariffType)*($G47=Description)*($P$5=Desc_FixedOrVar),valuesFY,0)*SUM(P43:P46)</f>
        <v>0.48715797537741123</v>
      </c>
      <c r="Q47" s="482">
        <f t="shared" si="24"/>
        <v>0.32152426374909138</v>
      </c>
      <c r="R47" s="484">
        <f>IFERROR(Q47/Q48,"")</f>
        <v>4.3929752561560009E-2</v>
      </c>
      <c r="S47" s="484"/>
      <c r="T47" s="644"/>
      <c r="U47" s="484"/>
      <c r="V47" s="484"/>
      <c r="W47" s="484"/>
      <c r="X47" s="484"/>
      <c r="Y47" s="484"/>
      <c r="Z47" s="484"/>
      <c r="AA47" s="484"/>
      <c r="AB47" s="484"/>
      <c r="AC47" s="484"/>
      <c r="AD47" s="484"/>
      <c r="AE47" s="484"/>
      <c r="AF47" s="484"/>
      <c r="AG47" s="484"/>
      <c r="AH47" s="484"/>
      <c r="AI47" s="484"/>
      <c r="AJ47" s="484"/>
    </row>
    <row r="48" spans="1:36" s="65" customFormat="1" x14ac:dyDescent="0.35">
      <c r="A48" s="30"/>
      <c r="B48" s="30" t="str">
        <f t="shared" si="21"/>
        <v>Ausgrid</v>
      </c>
      <c r="C48" s="30"/>
      <c r="D48" s="30" t="str">
        <f t="shared" si="22"/>
        <v>controlled load</v>
      </c>
      <c r="E48" s="30" t="s">
        <v>15</v>
      </c>
      <c r="F48" s="258">
        <f>F47</f>
        <v>660</v>
      </c>
      <c r="G48" s="64" t="s">
        <v>55</v>
      </c>
      <c r="H48" s="487">
        <f>SUM(H43:H47)</f>
        <v>0</v>
      </c>
      <c r="I48" s="487">
        <f>SUM(I43:I47)</f>
        <v>15.928093077730377</v>
      </c>
      <c r="J48" s="487">
        <f>SUM(J43:J47)</f>
        <v>10.512541431302049</v>
      </c>
      <c r="K48" s="564"/>
      <c r="L48" s="566"/>
      <c r="M48" s="564">
        <f t="shared" si="23"/>
        <v>-0.30377874953862694</v>
      </c>
      <c r="N48" s="566"/>
      <c r="O48" s="487">
        <f>SUM(O43:O47)</f>
        <v>0</v>
      </c>
      <c r="P48" s="487">
        <f>SUM(P43:P47)</f>
        <v>11.089476880042584</v>
      </c>
      <c r="Q48" s="487">
        <f t="shared" si="24"/>
        <v>7.319054740828105</v>
      </c>
      <c r="R48" s="484"/>
      <c r="S48" s="484"/>
      <c r="T48" s="644"/>
      <c r="U48" s="484"/>
      <c r="V48" s="484"/>
      <c r="W48" s="484"/>
      <c r="X48" s="484"/>
      <c r="Y48" s="484"/>
      <c r="Z48" s="484"/>
      <c r="AA48" s="484"/>
      <c r="AB48" s="484"/>
      <c r="AC48" s="484"/>
      <c r="AD48" s="484"/>
      <c r="AE48" s="484"/>
      <c r="AF48" s="484"/>
      <c r="AG48" s="484"/>
      <c r="AH48" s="484"/>
      <c r="AI48" s="484"/>
      <c r="AJ48" s="484"/>
    </row>
    <row r="49" spans="1:36" s="65" customFormat="1" x14ac:dyDescent="0.35">
      <c r="A49" s="30"/>
      <c r="B49" s="30" t="str">
        <f t="shared" si="21"/>
        <v>Ausgrid</v>
      </c>
      <c r="C49" s="30"/>
      <c r="D49" s="30" t="str">
        <f t="shared" si="22"/>
        <v>controlled load</v>
      </c>
      <c r="E49" s="30" t="s">
        <v>55</v>
      </c>
      <c r="F49" s="258">
        <f>SUM(F36,F37,F43)</f>
        <v>2000</v>
      </c>
      <c r="G49" s="64" t="s">
        <v>55</v>
      </c>
      <c r="H49" s="487">
        <f>SUM(H42,H48)</f>
        <v>0</v>
      </c>
      <c r="I49" s="487">
        <f>SUM(I42,I48)</f>
        <v>31.856186155460755</v>
      </c>
      <c r="J49" s="487">
        <f>+J48+J42+J36</f>
        <v>31.856186155460755</v>
      </c>
      <c r="K49" s="564"/>
      <c r="L49" s="566"/>
      <c r="M49" s="564">
        <f t="shared" si="23"/>
        <v>-0.30377874953862694</v>
      </c>
      <c r="N49" s="566"/>
      <c r="O49" s="487"/>
      <c r="P49" s="487">
        <f>SUM(P42,P48)</f>
        <v>22.178953760085168</v>
      </c>
      <c r="Q49" s="487">
        <f>Q42+Q48</f>
        <v>22.178953760085168</v>
      </c>
      <c r="R49" s="484"/>
      <c r="S49" s="484"/>
      <c r="T49" s="644"/>
      <c r="U49" s="484"/>
      <c r="V49" s="484"/>
      <c r="W49" s="484"/>
      <c r="X49" s="484"/>
      <c r="Y49" s="484"/>
      <c r="Z49" s="484"/>
      <c r="AA49" s="484"/>
      <c r="AB49" s="484"/>
      <c r="AC49" s="484"/>
      <c r="AD49" s="484"/>
      <c r="AE49" s="484"/>
      <c r="AF49" s="484"/>
      <c r="AG49" s="484"/>
      <c r="AH49" s="484"/>
      <c r="AI49" s="484"/>
      <c r="AJ49" s="484"/>
    </row>
    <row r="50" spans="1:36" s="65" customFormat="1" x14ac:dyDescent="0.35">
      <c r="A50" s="30"/>
      <c r="B50" s="30" t="str">
        <f t="shared" si="21"/>
        <v>Ausgrid</v>
      </c>
      <c r="C50" s="30"/>
      <c r="D50" s="30" t="str">
        <f t="shared" si="22"/>
        <v>controlled load</v>
      </c>
      <c r="E50" s="30"/>
      <c r="F50" s="258"/>
      <c r="G50" s="30" t="s">
        <v>38</v>
      </c>
      <c r="H50" s="482"/>
      <c r="I50" s="482"/>
      <c r="J50" s="482">
        <f>J49*GST</f>
        <v>3.1856186155460757</v>
      </c>
      <c r="K50" s="484"/>
      <c r="L50" s="568"/>
      <c r="M50" s="484"/>
      <c r="N50" s="568"/>
      <c r="O50" s="482"/>
      <c r="P50" s="482"/>
      <c r="Q50" s="482">
        <f>Q49*GST</f>
        <v>2.2178953760085167</v>
      </c>
      <c r="R50" s="564"/>
      <c r="S50" s="564"/>
      <c r="T50" s="646"/>
      <c r="U50" s="564"/>
      <c r="V50" s="564"/>
      <c r="W50" s="564"/>
      <c r="X50" s="564"/>
      <c r="Y50" s="564"/>
      <c r="Z50" s="564"/>
      <c r="AA50" s="564"/>
      <c r="AB50" s="564"/>
      <c r="AC50" s="564"/>
      <c r="AD50" s="564"/>
      <c r="AE50" s="564"/>
      <c r="AF50" s="564"/>
      <c r="AG50" s="564"/>
      <c r="AH50" s="564"/>
      <c r="AI50" s="564"/>
      <c r="AJ50" s="564"/>
    </row>
    <row r="51" spans="1:36" s="65" customFormat="1" x14ac:dyDescent="0.35">
      <c r="A51" s="30"/>
      <c r="B51" s="30" t="str">
        <f t="shared" si="21"/>
        <v>Ausgrid</v>
      </c>
      <c r="C51" s="30"/>
      <c r="D51" s="30" t="str">
        <f t="shared" si="22"/>
        <v>controlled load</v>
      </c>
      <c r="E51" s="30"/>
      <c r="F51" s="258"/>
      <c r="G51" s="64" t="s">
        <v>79</v>
      </c>
      <c r="H51" s="487"/>
      <c r="I51" s="487"/>
      <c r="J51" s="487">
        <f>SUM(J49:J50)</f>
        <v>35.041804771006831</v>
      </c>
      <c r="K51" s="564"/>
      <c r="L51" s="566"/>
      <c r="M51" s="564">
        <f>IF(OR(J51=0,Q51=""),"",Q51/J51-1)</f>
        <v>-0.30377874953862694</v>
      </c>
      <c r="N51" s="566"/>
      <c r="O51" s="487"/>
      <c r="P51" s="487"/>
      <c r="Q51" s="487">
        <f>SUM(Q49:Q50)</f>
        <v>24.396849136093685</v>
      </c>
      <c r="R51" s="564"/>
      <c r="S51" s="564"/>
      <c r="T51" s="646"/>
      <c r="U51" s="564"/>
      <c r="V51" s="564"/>
      <c r="W51" s="564"/>
      <c r="X51" s="564"/>
      <c r="Y51" s="564"/>
      <c r="Z51" s="564"/>
      <c r="AA51" s="564"/>
      <c r="AB51" s="564"/>
      <c r="AC51" s="564"/>
      <c r="AD51" s="564"/>
      <c r="AE51" s="564"/>
      <c r="AF51" s="564"/>
      <c r="AG51" s="564"/>
      <c r="AH51" s="564"/>
      <c r="AI51" s="564"/>
      <c r="AJ51" s="564"/>
    </row>
    <row r="52" spans="1:36" s="65" customFormat="1" x14ac:dyDescent="0.35">
      <c r="A52" s="30"/>
      <c r="B52" s="30"/>
      <c r="C52" s="30"/>
      <c r="D52" s="30"/>
      <c r="E52" s="30"/>
      <c r="F52" s="258"/>
      <c r="G52" s="30"/>
      <c r="H52" s="482"/>
      <c r="I52" s="482"/>
      <c r="J52" s="482"/>
      <c r="K52" s="484"/>
      <c r="L52" s="568"/>
      <c r="M52" s="484"/>
      <c r="N52" s="568"/>
      <c r="O52" s="482"/>
      <c r="P52" s="482"/>
      <c r="Q52" s="482"/>
      <c r="R52" s="484"/>
      <c r="S52" s="484"/>
      <c r="T52" s="644"/>
      <c r="U52" s="484"/>
      <c r="V52" s="484"/>
      <c r="W52" s="484"/>
      <c r="X52" s="484"/>
      <c r="Y52" s="484"/>
      <c r="Z52" s="484"/>
      <c r="AA52" s="484"/>
      <c r="AB52" s="484"/>
      <c r="AC52" s="484"/>
      <c r="AD52" s="484"/>
      <c r="AE52" s="484"/>
      <c r="AF52" s="484"/>
      <c r="AG52" s="484"/>
      <c r="AH52" s="484"/>
      <c r="AI52" s="484"/>
      <c r="AJ52" s="484"/>
    </row>
    <row r="53" spans="1:36" s="65" customFormat="1" x14ac:dyDescent="0.35">
      <c r="A53" s="30"/>
      <c r="B53" s="64" t="s">
        <v>2</v>
      </c>
      <c r="C53" s="64" t="s">
        <v>13</v>
      </c>
      <c r="D53" s="64" t="s">
        <v>276</v>
      </c>
      <c r="E53" s="30"/>
      <c r="F53" s="258"/>
      <c r="G53" s="30"/>
      <c r="H53" s="482"/>
      <c r="I53" s="482"/>
      <c r="J53" s="482"/>
      <c r="K53" s="484"/>
      <c r="L53" s="568"/>
      <c r="M53" s="484"/>
      <c r="N53" s="568"/>
      <c r="O53" s="482"/>
      <c r="P53" s="482"/>
      <c r="Q53" s="482"/>
      <c r="R53" s="484"/>
      <c r="S53" s="484"/>
      <c r="T53" s="644"/>
      <c r="U53" s="484"/>
      <c r="V53" s="484"/>
      <c r="W53" s="484"/>
      <c r="X53" s="484"/>
      <c r="Y53" s="484"/>
      <c r="Z53" s="484"/>
      <c r="AA53" s="484"/>
      <c r="AB53" s="484"/>
      <c r="AC53" s="484"/>
      <c r="AD53" s="484"/>
      <c r="AE53" s="484"/>
      <c r="AF53" s="484"/>
      <c r="AG53" s="484"/>
      <c r="AH53" s="484"/>
      <c r="AI53" s="484"/>
      <c r="AJ53" s="484"/>
    </row>
    <row r="54" spans="1:36" s="65" customFormat="1" x14ac:dyDescent="0.35">
      <c r="A54" s="30"/>
      <c r="B54" s="30" t="str">
        <f t="shared" ref="B54:D61" si="25">B53</f>
        <v>Ausgrid</v>
      </c>
      <c r="C54" s="30" t="str">
        <f t="shared" si="25"/>
        <v>Small business</v>
      </c>
      <c r="D54" s="30" t="str">
        <f t="shared" si="25"/>
        <v>flat rate</v>
      </c>
      <c r="E54" s="30" t="s">
        <v>19</v>
      </c>
      <c r="F54" s="258" cm="1">
        <f t="array" ref="F54">IFERROR(_xlfn.XLOOKUP(1,($B54=DistributionZone)*($C54=CustomerType)*($E54=tariffType)*(F$5=Description)*($D54=tariffL2),valuesFY),0)</f>
        <v>10000</v>
      </c>
      <c r="G54" s="30" t="s">
        <v>73</v>
      </c>
      <c r="H54" s="482"/>
      <c r="I54" s="482" cm="1">
        <f t="array" ref="I54">_xlfn.XLOOKUP(1,($B54=DistributionZone)*($G54=Description)*($I$5=Desc_FixedOrVar),valuesPY,0)</f>
        <v>6.1170426505850894</v>
      </c>
      <c r="J54" s="482">
        <f>IF(AND(H54="",I54=""),"",H54+I54*$F54/1000)</f>
        <v>61.170426505850898</v>
      </c>
      <c r="K54" s="484">
        <f>IFERROR(J54/J59,"")</f>
        <v>0.38404111658146584</v>
      </c>
      <c r="L54" s="563"/>
      <c r="M54" s="484">
        <f t="shared" ref="M54:M59" si="26">IF(OR(J54=0,Q54=""),"",Q54/J54-1)</f>
        <v>-0.48482055209325359</v>
      </c>
      <c r="N54" s="563"/>
      <c r="O54" s="482"/>
      <c r="P54" s="482" cm="1">
        <f t="array" ref="P54">_xlfn.XLOOKUP(1,($B54=DistributionZone)*($G54=Description)*($I$5=Desc_FixedOrVar),valuesFY,0)</f>
        <v>3.1513746555504474</v>
      </c>
      <c r="Q54" s="482">
        <f t="shared" ref="Q54:Q59" si="27">IF(AND(O54="",P54=""),"",O54+P54*$F54/1000)</f>
        <v>31.513746555504472</v>
      </c>
      <c r="R54" s="484">
        <f>IFERROR(Q54/Q59,"")</f>
        <v>0.28417703464641209</v>
      </c>
      <c r="S54" s="484"/>
      <c r="T54" s="645"/>
      <c r="U54" s="484"/>
      <c r="V54" s="484"/>
      <c r="W54" s="484"/>
      <c r="X54" s="484"/>
      <c r="Y54" s="484"/>
      <c r="Z54" s="484"/>
      <c r="AA54" s="484"/>
      <c r="AB54" s="484"/>
      <c r="AC54" s="484"/>
      <c r="AD54" s="484"/>
      <c r="AE54" s="484"/>
      <c r="AF54" s="484"/>
      <c r="AG54" s="484"/>
      <c r="AH54" s="484"/>
      <c r="AI54" s="484"/>
      <c r="AJ54" s="484"/>
    </row>
    <row r="55" spans="1:36" s="65" customFormat="1" x14ac:dyDescent="0.35">
      <c r="A55" s="30"/>
      <c r="B55" s="30" t="str">
        <f t="shared" si="25"/>
        <v>Ausgrid</v>
      </c>
      <c r="C55" s="30" t="str">
        <f t="shared" si="25"/>
        <v>Small business</v>
      </c>
      <c r="D55" s="30" t="str">
        <f t="shared" si="25"/>
        <v>flat rate</v>
      </c>
      <c r="E55" s="30" t="s">
        <v>19</v>
      </c>
      <c r="F55" s="258">
        <f>F54</f>
        <v>10000</v>
      </c>
      <c r="G55" s="30" t="s">
        <v>74</v>
      </c>
      <c r="H55" s="482"/>
      <c r="I55" s="482" cm="1">
        <f t="array" ref="I55">_xlfn.XLOOKUP(1,($B55=DistributionZone)*($G55=Description)*($I$5=Desc_FixedOrVar),valuesPY,0)</f>
        <v>5.1359999999999992</v>
      </c>
      <c r="J55" s="482">
        <f>IF(AND(H55="",I55=""),"",H55+I55*$F55/1000)</f>
        <v>51.359999999999992</v>
      </c>
      <c r="K55" s="484">
        <f>IFERROR(J55/J59,"")</f>
        <v>0.32244914535192043</v>
      </c>
      <c r="L55" s="563"/>
      <c r="M55" s="484">
        <f t="shared" si="26"/>
        <v>-0.12694704049844219</v>
      </c>
      <c r="N55" s="563"/>
      <c r="O55" s="482"/>
      <c r="P55" s="482" cm="1">
        <f t="array" ref="P55">_xlfn.XLOOKUP(1,($B55=DistributionZone)*($G55=Description)*($I$5=Desc_FixedOrVar),valuesFY,0)</f>
        <v>4.484</v>
      </c>
      <c r="Q55" s="482">
        <f t="shared" si="27"/>
        <v>44.84</v>
      </c>
      <c r="R55" s="484">
        <f>IFERROR(Q55/Q59,"")</f>
        <v>0.40434729685669191</v>
      </c>
      <c r="S55" s="484"/>
      <c r="T55" s="644"/>
      <c r="U55" s="484"/>
      <c r="V55" s="484"/>
      <c r="W55" s="484"/>
      <c r="X55" s="484"/>
      <c r="Y55" s="484"/>
      <c r="Z55" s="484"/>
      <c r="AA55" s="484"/>
      <c r="AB55" s="484"/>
      <c r="AC55" s="484"/>
      <c r="AD55" s="484"/>
      <c r="AE55" s="484"/>
      <c r="AF55" s="484"/>
      <c r="AG55" s="484"/>
      <c r="AH55" s="484"/>
      <c r="AI55" s="484"/>
      <c r="AJ55" s="484"/>
    </row>
    <row r="56" spans="1:36" s="65" customFormat="1" x14ac:dyDescent="0.35">
      <c r="A56" s="30"/>
      <c r="B56" s="30" t="str">
        <f t="shared" si="25"/>
        <v>Ausgrid</v>
      </c>
      <c r="C56" s="30" t="str">
        <f t="shared" si="25"/>
        <v>Small business</v>
      </c>
      <c r="D56" s="30" t="str">
        <f t="shared" si="25"/>
        <v>flat rate</v>
      </c>
      <c r="E56" s="30" t="s">
        <v>19</v>
      </c>
      <c r="F56" s="258">
        <f>F55</f>
        <v>10000</v>
      </c>
      <c r="G56" s="30" t="s">
        <v>75</v>
      </c>
      <c r="H56" s="482"/>
      <c r="I56" s="482" cm="1">
        <f t="array" ref="I56">_xlfn.XLOOKUP(1,($B56=DistributionZone)*($G56=Description)*($I$5=Desc_FixedOrVar),valuesPY,0)</f>
        <v>2.1292191637289464</v>
      </c>
      <c r="J56" s="482">
        <f>IF(AND(H56="",I56=""),"",H56+I56*$F56/1000)</f>
        <v>21.292191637289463</v>
      </c>
      <c r="K56" s="484">
        <f>IFERROR(J56/J59,"")</f>
        <v>0.13367696643522772</v>
      </c>
      <c r="L56" s="563"/>
      <c r="M56" s="484">
        <f t="shared" si="26"/>
        <v>0.30545066908580987</v>
      </c>
      <c r="N56" s="563"/>
      <c r="O56" s="482"/>
      <c r="P56" s="482" cm="1">
        <f t="array" ref="P56">_xlfn.XLOOKUP(1,($B56=DistributionZone)*($G56=Description)*($I$5=Desc_FixedOrVar),valuesFY,0)</f>
        <v>2.7795905819202815</v>
      </c>
      <c r="Q56" s="482">
        <f t="shared" si="27"/>
        <v>27.795905819202815</v>
      </c>
      <c r="R56" s="484">
        <f>IFERROR(Q56/Q59,"")</f>
        <v>0.25065119049236956</v>
      </c>
      <c r="S56" s="484"/>
      <c r="T56" s="644"/>
      <c r="U56" s="484"/>
      <c r="V56" s="484"/>
      <c r="W56" s="484"/>
      <c r="X56" s="484"/>
      <c r="Y56" s="484"/>
      <c r="Z56" s="484"/>
      <c r="AA56" s="484"/>
      <c r="AB56" s="484"/>
      <c r="AC56" s="484"/>
      <c r="AD56" s="484"/>
      <c r="AE56" s="484"/>
      <c r="AF56" s="484"/>
      <c r="AG56" s="484"/>
      <c r="AH56" s="484"/>
      <c r="AI56" s="484"/>
      <c r="AJ56" s="484"/>
    </row>
    <row r="57" spans="1:36" s="65" customFormat="1" x14ac:dyDescent="0.35">
      <c r="A57" s="30"/>
      <c r="B57" s="30" t="str">
        <f t="shared" si="25"/>
        <v>Ausgrid</v>
      </c>
      <c r="C57" s="30" t="str">
        <f t="shared" si="25"/>
        <v>Small business</v>
      </c>
      <c r="D57" s="30" t="str">
        <f t="shared" si="25"/>
        <v>flat rate</v>
      </c>
      <c r="E57" s="30" t="s">
        <v>19</v>
      </c>
      <c r="F57" s="258">
        <f>F56</f>
        <v>10000</v>
      </c>
      <c r="G57" s="30" t="s">
        <v>155</v>
      </c>
      <c r="H57" s="482"/>
      <c r="I57" s="482" cm="1">
        <f t="array" ref="I57">_xlfn.XLOOKUP(1,($B57=DistributionZone)*($G57=Description)*($I$5=Desc_FixedOrVar),valuesPY,0)</f>
        <v>1.8634456011480964</v>
      </c>
      <c r="J57" s="482">
        <f>IF(AND(H57="",I57=""),"",H57+I57*$F57/1000)</f>
        <v>18.634456011480964</v>
      </c>
      <c r="K57" s="484">
        <f>IFERROR(J57/J59,"")</f>
        <v>0.11699112957554504</v>
      </c>
      <c r="L57" s="563"/>
      <c r="M57" s="484">
        <f t="shared" si="26"/>
        <v>-0.8994584724775363</v>
      </c>
      <c r="N57" s="563"/>
      <c r="O57" s="482"/>
      <c r="P57" s="482" cm="1">
        <f t="array" ref="P57">_xlfn.XLOOKUP(1,($B57=DistributionZone)*($G57=Description)*($I$5=Desc_FixedOrVar),valuesFY,0)</f>
        <v>0.18735366719444529</v>
      </c>
      <c r="Q57" s="482">
        <f t="shared" si="27"/>
        <v>1.8735366719444531</v>
      </c>
      <c r="R57" s="484">
        <f>IFERROR(Q57/Q59,"")</f>
        <v>1.68947254429666E-2</v>
      </c>
      <c r="S57" s="484"/>
      <c r="T57" s="644"/>
      <c r="U57" s="484"/>
      <c r="V57" s="484"/>
      <c r="W57" s="484"/>
      <c r="X57" s="484"/>
      <c r="Y57" s="484"/>
      <c r="Z57" s="484"/>
      <c r="AA57" s="484"/>
      <c r="AB57" s="484"/>
      <c r="AC57" s="484"/>
      <c r="AD57" s="484"/>
      <c r="AE57" s="484"/>
      <c r="AF57" s="484"/>
      <c r="AG57" s="484"/>
      <c r="AH57" s="484"/>
      <c r="AI57" s="484"/>
      <c r="AJ57" s="484"/>
    </row>
    <row r="58" spans="1:36" s="65" customFormat="1" x14ac:dyDescent="0.35">
      <c r="A58" s="30"/>
      <c r="B58" s="30" t="str">
        <f t="shared" si="25"/>
        <v>Ausgrid</v>
      </c>
      <c r="C58" s="30" t="str">
        <f t="shared" si="25"/>
        <v>Small business</v>
      </c>
      <c r="D58" s="30" t="str">
        <f t="shared" si="25"/>
        <v>flat rate</v>
      </c>
      <c r="E58" s="30" t="s">
        <v>19</v>
      </c>
      <c r="F58" s="258">
        <f>F57</f>
        <v>10000</v>
      </c>
      <c r="G58" s="30" t="s">
        <v>72</v>
      </c>
      <c r="H58" s="482"/>
      <c r="I58" s="482" cm="1">
        <f t="array" ref="I58">_xlfn.XLOOKUP(1,($B58=DistributionZone)*($C58=CustomerType)*($D58=tariffL2)*($E58=tariffType)*($G58=Description)*($I$5=Desc_FixedOrVar),valuesPY,0)*SUM(I54:I57)</f>
        <v>0.68238566226824471</v>
      </c>
      <c r="J58" s="482">
        <f>IF(AND(H58="",I58=""),"",H58+I58*$F58/1000)</f>
        <v>6.8238566226824471</v>
      </c>
      <c r="K58" s="484">
        <f>IFERROR(J58/J59,"")</f>
        <v>4.2841642055841074E-2</v>
      </c>
      <c r="L58" s="563"/>
      <c r="M58" s="484">
        <f t="shared" si="26"/>
        <v>-0.28609582188743254</v>
      </c>
      <c r="N58" s="563"/>
      <c r="O58" s="482"/>
      <c r="P58" s="482" cm="1">
        <f t="array" ref="P58">_xlfn.XLOOKUP(1,($B58=DistributionZone)*($C58=CustomerType)*($D58=tariffL2)*($E58=tariffType)*($G58=Description)*($P$5=Desc_FixedOrVar),valuesFY,0)*SUM(P54:P57)</f>
        <v>0.48715797537741123</v>
      </c>
      <c r="Q58" s="482">
        <f t="shared" si="27"/>
        <v>4.871579753774113</v>
      </c>
      <c r="R58" s="484">
        <f>IFERROR(Q58/Q59,"")</f>
        <v>4.3929752561560016E-2</v>
      </c>
      <c r="S58" s="484"/>
      <c r="T58" s="644"/>
      <c r="U58" s="484"/>
      <c r="V58" s="484"/>
      <c r="W58" s="484"/>
      <c r="X58" s="484"/>
      <c r="Y58" s="484"/>
      <c r="Z58" s="484"/>
      <c r="AA58" s="484"/>
      <c r="AB58" s="484"/>
      <c r="AC58" s="484"/>
      <c r="AD58" s="484"/>
      <c r="AE58" s="484"/>
      <c r="AF58" s="484"/>
      <c r="AG58" s="484"/>
      <c r="AH58" s="484"/>
      <c r="AI58" s="484"/>
      <c r="AJ58" s="484"/>
    </row>
    <row r="59" spans="1:36" s="65" customFormat="1" x14ac:dyDescent="0.35">
      <c r="A59" s="30"/>
      <c r="B59" s="30" t="str">
        <f t="shared" si="25"/>
        <v>Ausgrid</v>
      </c>
      <c r="C59" s="30" t="str">
        <f t="shared" si="25"/>
        <v>Small business</v>
      </c>
      <c r="D59" s="30" t="str">
        <f t="shared" si="25"/>
        <v>flat rate</v>
      </c>
      <c r="E59" s="30" t="s">
        <v>19</v>
      </c>
      <c r="F59" s="258">
        <f>F58</f>
        <v>10000</v>
      </c>
      <c r="G59" s="64" t="s">
        <v>55</v>
      </c>
      <c r="H59" s="487">
        <f>SUM(H54:H58)</f>
        <v>0</v>
      </c>
      <c r="I59" s="487">
        <f>SUM(I54:I58)</f>
        <v>15.928093077730377</v>
      </c>
      <c r="J59" s="487">
        <f>SUM(J54:J58)</f>
        <v>159.28093077730375</v>
      </c>
      <c r="K59" s="564"/>
      <c r="L59" s="566"/>
      <c r="M59" s="564">
        <f t="shared" si="26"/>
        <v>-0.30377874953862682</v>
      </c>
      <c r="N59" s="566"/>
      <c r="O59" s="487">
        <f>SUM(O54:O58)</f>
        <v>0</v>
      </c>
      <c r="P59" s="487">
        <f>SUM(P54:P58)</f>
        <v>11.089476880042584</v>
      </c>
      <c r="Q59" s="487">
        <f t="shared" si="27"/>
        <v>110.89476880042584</v>
      </c>
      <c r="R59" s="484"/>
      <c r="S59" s="484"/>
      <c r="T59" s="644"/>
      <c r="U59" s="484"/>
      <c r="V59" s="484"/>
      <c r="W59" s="484"/>
      <c r="X59" s="484"/>
      <c r="Y59" s="484"/>
      <c r="Z59" s="484"/>
      <c r="AA59" s="484"/>
      <c r="AB59" s="484"/>
      <c r="AC59" s="484"/>
      <c r="AD59" s="484"/>
      <c r="AE59" s="484"/>
      <c r="AF59" s="484"/>
      <c r="AG59" s="484"/>
      <c r="AH59" s="484"/>
      <c r="AI59" s="484"/>
      <c r="AJ59" s="484"/>
    </row>
    <row r="60" spans="1:36" s="65" customFormat="1" x14ac:dyDescent="0.35">
      <c r="A60" s="30"/>
      <c r="B60" s="30" t="str">
        <f t="shared" si="25"/>
        <v>Ausgrid</v>
      </c>
      <c r="C60" s="30" t="str">
        <f t="shared" si="25"/>
        <v>Small business</v>
      </c>
      <c r="D60" s="30" t="str">
        <f t="shared" si="25"/>
        <v>flat rate</v>
      </c>
      <c r="E60" s="30"/>
      <c r="F60" s="258"/>
      <c r="G60" s="30" t="s">
        <v>38</v>
      </c>
      <c r="H60" s="482"/>
      <c r="I60" s="482"/>
      <c r="J60" s="482">
        <f>J59*GST</f>
        <v>15.928093077730376</v>
      </c>
      <c r="K60" s="484"/>
      <c r="L60" s="568"/>
      <c r="M60" s="484"/>
      <c r="N60" s="568"/>
      <c r="O60" s="482"/>
      <c r="P60" s="482"/>
      <c r="Q60" s="482">
        <f>Q59*GST</f>
        <v>11.089476880042584</v>
      </c>
      <c r="R60" s="484"/>
      <c r="S60" s="484"/>
      <c r="T60" s="644"/>
      <c r="U60" s="484"/>
      <c r="V60" s="484"/>
      <c r="W60" s="484"/>
      <c r="X60" s="484"/>
      <c r="Y60" s="484"/>
      <c r="Z60" s="484"/>
      <c r="AA60" s="484"/>
      <c r="AB60" s="484"/>
      <c r="AC60" s="484"/>
      <c r="AD60" s="484"/>
      <c r="AE60" s="484"/>
      <c r="AF60" s="484"/>
      <c r="AG60" s="484"/>
      <c r="AH60" s="484"/>
      <c r="AI60" s="484"/>
      <c r="AJ60" s="484"/>
    </row>
    <row r="61" spans="1:36" s="65" customFormat="1" x14ac:dyDescent="0.35">
      <c r="A61" s="30"/>
      <c r="B61" s="30" t="str">
        <f t="shared" si="25"/>
        <v>Ausgrid</v>
      </c>
      <c r="C61" s="30" t="str">
        <f t="shared" si="25"/>
        <v>Small business</v>
      </c>
      <c r="D61" s="30" t="str">
        <f t="shared" si="25"/>
        <v>flat rate</v>
      </c>
      <c r="E61" s="30" t="s">
        <v>19</v>
      </c>
      <c r="F61" s="258"/>
      <c r="G61" s="64" t="s">
        <v>79</v>
      </c>
      <c r="H61" s="487"/>
      <c r="I61" s="487"/>
      <c r="J61" s="487">
        <f>SUM(J59:J60)</f>
        <v>175.20902385503413</v>
      </c>
      <c r="K61" s="564"/>
      <c r="L61" s="566"/>
      <c r="M61" s="564">
        <f>IF(OR(J61=0,Q61=""),"",Q61/J61-1)</f>
        <v>-0.30377874953862682</v>
      </c>
      <c r="N61" s="566"/>
      <c r="O61" s="487"/>
      <c r="P61" s="487"/>
      <c r="Q61" s="487">
        <f>SUM(Q59:Q60)</f>
        <v>121.98424568046842</v>
      </c>
      <c r="R61" s="484"/>
      <c r="S61" s="484"/>
      <c r="T61" s="644"/>
      <c r="U61" s="484"/>
      <c r="V61" s="484"/>
      <c r="W61" s="484"/>
      <c r="X61" s="484"/>
      <c r="Y61" s="484"/>
      <c r="Z61" s="484"/>
      <c r="AA61" s="484"/>
      <c r="AB61" s="484"/>
      <c r="AC61" s="484"/>
      <c r="AD61" s="484"/>
      <c r="AE61" s="484"/>
      <c r="AF61" s="484"/>
      <c r="AG61" s="484"/>
      <c r="AH61" s="484"/>
      <c r="AI61" s="484"/>
      <c r="AJ61" s="484"/>
    </row>
    <row r="62" spans="1:36" s="65" customFormat="1" x14ac:dyDescent="0.35">
      <c r="A62" s="30"/>
      <c r="B62" s="30"/>
      <c r="C62" s="30"/>
      <c r="D62" s="30"/>
      <c r="E62" s="30"/>
      <c r="F62" s="258"/>
      <c r="G62" s="30"/>
      <c r="H62" s="482"/>
      <c r="I62" s="482"/>
      <c r="J62" s="482"/>
      <c r="K62" s="484"/>
      <c r="L62" s="568"/>
      <c r="M62" s="484"/>
      <c r="N62" s="568"/>
      <c r="O62" s="482"/>
      <c r="P62" s="482"/>
      <c r="Q62" s="482"/>
      <c r="R62" s="484"/>
      <c r="S62" s="484"/>
      <c r="T62" s="644"/>
      <c r="U62" s="484"/>
      <c r="V62" s="484"/>
      <c r="W62" s="484"/>
      <c r="X62" s="484"/>
      <c r="Y62" s="484"/>
      <c r="Z62" s="484"/>
      <c r="AA62" s="484"/>
      <c r="AB62" s="484"/>
      <c r="AC62" s="484"/>
      <c r="AD62" s="484"/>
      <c r="AE62" s="484"/>
      <c r="AF62" s="484"/>
      <c r="AG62" s="484"/>
      <c r="AH62" s="484"/>
      <c r="AI62" s="484"/>
      <c r="AJ62" s="484"/>
    </row>
    <row r="63" spans="1:36" s="627" customFormat="1" x14ac:dyDescent="0.35">
      <c r="A63" s="570"/>
      <c r="B63" s="571" t="s">
        <v>2</v>
      </c>
      <c r="C63" s="571" t="s">
        <v>13</v>
      </c>
      <c r="D63" s="571" t="s">
        <v>272</v>
      </c>
      <c r="E63" s="570"/>
      <c r="F63" s="485"/>
      <c r="G63" s="570"/>
      <c r="H63" s="574"/>
      <c r="I63" s="574"/>
      <c r="J63" s="574"/>
      <c r="K63" s="575"/>
      <c r="L63" s="582"/>
      <c r="M63" s="575"/>
      <c r="N63" s="582"/>
      <c r="O63" s="574"/>
      <c r="P63" s="574"/>
      <c r="Q63" s="574"/>
      <c r="R63" s="575"/>
      <c r="S63" s="575"/>
      <c r="T63" s="649"/>
      <c r="U63" s="575"/>
      <c r="V63" s="575"/>
      <c r="W63" s="575"/>
      <c r="X63" s="575"/>
      <c r="Y63" s="575"/>
      <c r="Z63" s="575"/>
      <c r="AA63" s="575"/>
      <c r="AB63" s="575"/>
      <c r="AC63" s="575"/>
      <c r="AD63" s="575"/>
      <c r="AE63" s="575"/>
      <c r="AF63" s="575"/>
      <c r="AG63" s="575"/>
      <c r="AH63" s="575"/>
      <c r="AI63" s="575"/>
      <c r="AJ63" s="575"/>
    </row>
    <row r="64" spans="1:36" s="627" customFormat="1" x14ac:dyDescent="0.35">
      <c r="A64" s="570"/>
      <c r="B64" s="570" t="str">
        <f t="shared" ref="B64:D64" si="28">B63</f>
        <v>Ausgrid</v>
      </c>
      <c r="C64" s="570" t="str">
        <f t="shared" si="28"/>
        <v>Small business</v>
      </c>
      <c r="D64" s="570" t="str">
        <f t="shared" si="28"/>
        <v>time of use</v>
      </c>
      <c r="E64" s="570" t="s">
        <v>279</v>
      </c>
      <c r="F64" s="485" cm="1">
        <f t="array" ref="F64">_xlfn.XLOOKUP(1,($B64=DistributionZone)*($C64=CustomerType)*($D64=tariffL2)*($F$5=Description),valuesPY)*_xlfn.XLOOKUP(1,($B64=DistributionZone)*($C64=CustomerType)*($D64=tariffL2)*($E64=tariffType)*("Usage proportion"=Description),valuesFY)</f>
        <v>8809.6821551967714</v>
      </c>
      <c r="G64" s="570" t="s">
        <v>73</v>
      </c>
      <c r="H64" s="574"/>
      <c r="I64" s="574" cm="1">
        <f t="array" ref="I64">_xlfn.XLOOKUP(1,($B64=DistributionZone)*($G64=Description)*($I$5=Desc_FixedOrVar),valuesPY,0)</f>
        <v>6.1170426505850894</v>
      </c>
      <c r="J64" s="574">
        <f>IF(AND(H64="",I64=""),"",H64+I64*$F64/1000)</f>
        <v>53.88920148143702</v>
      </c>
      <c r="K64" s="575" t="str">
        <f>IFERROR(J64/J69,"")</f>
        <v/>
      </c>
      <c r="L64" s="576"/>
      <c r="M64" s="575">
        <f t="shared" ref="M64:M69" si="29">IF(OR(J64=0,Q64=""),"",Q64/J64-1)</f>
        <v>-0.48482055209325348</v>
      </c>
      <c r="N64" s="576"/>
      <c r="O64" s="574"/>
      <c r="P64" s="574" cm="1">
        <f t="array" ref="P64">_xlfn.XLOOKUP(1,($B64=DistributionZone)*($G64=Description)*($I$5=Desc_FixedOrVar),valuesFY,0)</f>
        <v>3.1513746555504474</v>
      </c>
      <c r="Q64" s="574">
        <f t="shared" ref="Q64:Q69" si="30">IF(AND(O64="",P64=""),"",O64+P64*$F64/1000)</f>
        <v>27.762609067342151</v>
      </c>
      <c r="R64" s="575">
        <f>IFERROR(Q64/Q69,"")</f>
        <v>0.28417703464641214</v>
      </c>
      <c r="S64" s="575"/>
      <c r="T64" s="634"/>
      <c r="U64" s="575"/>
      <c r="V64" s="575"/>
      <c r="W64" s="575"/>
      <c r="X64" s="575"/>
      <c r="Y64" s="575"/>
      <c r="Z64" s="575"/>
      <c r="AA64" s="575"/>
      <c r="AB64" s="575"/>
      <c r="AC64" s="575"/>
      <c r="AD64" s="575"/>
      <c r="AE64" s="575"/>
      <c r="AF64" s="575"/>
      <c r="AG64" s="575"/>
      <c r="AH64" s="575"/>
      <c r="AI64" s="575"/>
      <c r="AJ64" s="575"/>
    </row>
    <row r="65" spans="1:36" s="627" customFormat="1" x14ac:dyDescent="0.35">
      <c r="A65" s="570"/>
      <c r="B65" s="570" t="str">
        <f t="shared" ref="B65:D65" si="31">B64</f>
        <v>Ausgrid</v>
      </c>
      <c r="C65" s="570" t="str">
        <f t="shared" si="31"/>
        <v>Small business</v>
      </c>
      <c r="D65" s="570" t="str">
        <f t="shared" si="31"/>
        <v>time of use</v>
      </c>
      <c r="E65" s="570" t="str">
        <f>E64</f>
        <v>time of use (Off-peak)</v>
      </c>
      <c r="F65" s="485">
        <f>F64</f>
        <v>8809.6821551967714</v>
      </c>
      <c r="G65" s="570" t="s">
        <v>74</v>
      </c>
      <c r="H65" s="574"/>
      <c r="I65" s="574" cm="1">
        <f t="array" ref="I65">_xlfn.XLOOKUP(1,($B65=DistributionZone)*($G65=Description)*($I$5=Desc_FixedOrVar),valuesPY,0)</f>
        <v>5.1359999999999992</v>
      </c>
      <c r="J65" s="574">
        <f>IF(AND(H65="",I65=""),"",H65+I65*$F65/1000)</f>
        <v>45.246527549090615</v>
      </c>
      <c r="K65" s="575" t="str">
        <f>IFERROR(J65/J69,"")</f>
        <v/>
      </c>
      <c r="L65" s="576"/>
      <c r="M65" s="575">
        <f t="shared" si="29"/>
        <v>-0.1269470404984423</v>
      </c>
      <c r="N65" s="576"/>
      <c r="O65" s="574"/>
      <c r="P65" s="574" cm="1">
        <f t="array" ref="P65">_xlfn.XLOOKUP(1,($B65=DistributionZone)*($G65=Description)*($I$5=Desc_FixedOrVar),valuesFY,0)</f>
        <v>4.484</v>
      </c>
      <c r="Q65" s="574">
        <f t="shared" si="30"/>
        <v>39.502614783902324</v>
      </c>
      <c r="R65" s="575">
        <f>IFERROR(Q65/Q69,"")</f>
        <v>0.40434729685669191</v>
      </c>
      <c r="S65" s="575"/>
      <c r="T65" s="649"/>
      <c r="U65" s="575"/>
      <c r="V65" s="575"/>
      <c r="W65" s="575"/>
      <c r="X65" s="575"/>
      <c r="Y65" s="575"/>
      <c r="Z65" s="575"/>
      <c r="AA65" s="575"/>
      <c r="AB65" s="575"/>
      <c r="AC65" s="575"/>
      <c r="AD65" s="575"/>
      <c r="AE65" s="575"/>
      <c r="AF65" s="575"/>
      <c r="AG65" s="575"/>
      <c r="AH65" s="575"/>
      <c r="AI65" s="575"/>
      <c r="AJ65" s="575"/>
    </row>
    <row r="66" spans="1:36" s="627" customFormat="1" x14ac:dyDescent="0.35">
      <c r="A66" s="570"/>
      <c r="B66" s="570" t="str">
        <f t="shared" ref="B66:E66" si="32">B65</f>
        <v>Ausgrid</v>
      </c>
      <c r="C66" s="570" t="str">
        <f t="shared" si="32"/>
        <v>Small business</v>
      </c>
      <c r="D66" s="570" t="str">
        <f t="shared" si="32"/>
        <v>time of use</v>
      </c>
      <c r="E66" s="570" t="str">
        <f t="shared" si="32"/>
        <v>time of use (Off-peak)</v>
      </c>
      <c r="F66" s="485">
        <f>F65</f>
        <v>8809.6821551967714</v>
      </c>
      <c r="G66" s="570" t="s">
        <v>75</v>
      </c>
      <c r="H66" s="574"/>
      <c r="I66" s="574" cm="1">
        <f t="array" ref="I66">_xlfn.XLOOKUP(1,($B66=DistributionZone)*($G66=Description)*($I$5=Desc_FixedOrVar),valuesPY,0)</f>
        <v>2.1292191637289464</v>
      </c>
      <c r="J66" s="574">
        <f>IF(AND(H66="",I66=""),"",H66+I66*$F66/1000)</f>
        <v>18.757744071205892</v>
      </c>
      <c r="K66" s="575" t="str">
        <f>IFERROR(J66/J69,"")</f>
        <v/>
      </c>
      <c r="L66" s="576"/>
      <c r="M66" s="575">
        <f t="shared" si="29"/>
        <v>0.30545066908580987</v>
      </c>
      <c r="N66" s="576"/>
      <c r="O66" s="574"/>
      <c r="P66" s="574" cm="1">
        <f t="array" ref="P66">_xlfn.XLOOKUP(1,($B66=DistributionZone)*($G66=Description)*($I$5=Desc_FixedOrVar),valuesFY,0)</f>
        <v>2.7795905819202815</v>
      </c>
      <c r="Q66" s="574">
        <f t="shared" si="30"/>
        <v>24.487309548296114</v>
      </c>
      <c r="R66" s="575">
        <f>IFERROR(Q66/Q69,"")</f>
        <v>0.25065119049236956</v>
      </c>
      <c r="S66" s="575"/>
      <c r="T66" s="649"/>
      <c r="U66" s="575"/>
      <c r="V66" s="575"/>
      <c r="W66" s="575"/>
      <c r="X66" s="575"/>
      <c r="Y66" s="575"/>
      <c r="Z66" s="575"/>
      <c r="AA66" s="575"/>
      <c r="AB66" s="575"/>
      <c r="AC66" s="575"/>
      <c r="AD66" s="575"/>
      <c r="AE66" s="575"/>
      <c r="AF66" s="575"/>
      <c r="AG66" s="575"/>
      <c r="AH66" s="575"/>
      <c r="AI66" s="575"/>
      <c r="AJ66" s="575"/>
    </row>
    <row r="67" spans="1:36" s="627" customFormat="1" x14ac:dyDescent="0.35">
      <c r="A67" s="570"/>
      <c r="B67" s="570" t="str">
        <f t="shared" ref="B67:E69" si="33">B66</f>
        <v>Ausgrid</v>
      </c>
      <c r="C67" s="570" t="str">
        <f t="shared" si="33"/>
        <v>Small business</v>
      </c>
      <c r="D67" s="570" t="str">
        <f t="shared" si="33"/>
        <v>time of use</v>
      </c>
      <c r="E67" s="570" t="str">
        <f t="shared" si="33"/>
        <v>time of use (Off-peak)</v>
      </c>
      <c r="F67" s="485">
        <f>F66</f>
        <v>8809.6821551967714</v>
      </c>
      <c r="G67" s="570" t="s">
        <v>155</v>
      </c>
      <c r="H67" s="574"/>
      <c r="I67" s="574" cm="1">
        <f t="array" ref="I67">_xlfn.XLOOKUP(1,($B67=DistributionZone)*($G67=Description)*($I$5=Desc_FixedOrVar),valuesPY,0)</f>
        <v>1.8634456011480964</v>
      </c>
      <c r="J67" s="574">
        <f>IF(AND(H67="",I67=""),"",H67+I67*$F67/1000)</f>
        <v>16.416363459614306</v>
      </c>
      <c r="K67" s="575" t="str">
        <f>IFERROR(J67/J69,"")</f>
        <v/>
      </c>
      <c r="L67" s="576"/>
      <c r="M67" s="575">
        <f t="shared" si="29"/>
        <v>-0.8994584724775363</v>
      </c>
      <c r="N67" s="576"/>
      <c r="O67" s="574"/>
      <c r="P67" s="574" cm="1">
        <f t="array" ref="P67">_xlfn.XLOOKUP(1,($B67=DistributionZone)*($G67=Description)*($I$5=Desc_FixedOrVar),valuesFY,0)</f>
        <v>0.18735366719444529</v>
      </c>
      <c r="Q67" s="574">
        <f t="shared" si="30"/>
        <v>1.6505262585935796</v>
      </c>
      <c r="R67" s="575">
        <f>IFERROR(Q67/Q69,"")</f>
        <v>1.68947254429666E-2</v>
      </c>
      <c r="S67" s="575"/>
      <c r="T67" s="649"/>
      <c r="U67" s="575"/>
      <c r="V67" s="575"/>
      <c r="W67" s="575"/>
      <c r="X67" s="575"/>
      <c r="Y67" s="575"/>
      <c r="Z67" s="575"/>
      <c r="AA67" s="575"/>
      <c r="AB67" s="575"/>
      <c r="AC67" s="575"/>
      <c r="AD67" s="575"/>
      <c r="AE67" s="575"/>
      <c r="AF67" s="575"/>
      <c r="AG67" s="575"/>
      <c r="AH67" s="575"/>
      <c r="AI67" s="575"/>
      <c r="AJ67" s="575"/>
    </row>
    <row r="68" spans="1:36" s="627" customFormat="1" x14ac:dyDescent="0.35">
      <c r="A68" s="570"/>
      <c r="B68" s="570" t="str">
        <f t="shared" ref="B68:D68" si="34">B67</f>
        <v>Ausgrid</v>
      </c>
      <c r="C68" s="570" t="str">
        <f t="shared" si="34"/>
        <v>Small business</v>
      </c>
      <c r="D68" s="570" t="str">
        <f t="shared" si="34"/>
        <v>time of use</v>
      </c>
      <c r="E68" s="570" t="str">
        <f t="shared" si="33"/>
        <v>time of use (Off-peak)</v>
      </c>
      <c r="F68" s="485">
        <f>F67</f>
        <v>8809.6821551967714</v>
      </c>
      <c r="G68" s="570" t="s">
        <v>72</v>
      </c>
      <c r="H68" s="574"/>
      <c r="I68" s="574" cm="1">
        <f t="array" ref="I68">_xlfn.XLOOKUP(1,($B68=DistributionZone)*($C68=CustomerType)*($D68=tariffL2)*($G68=Description)*($I$5=Desc_FixedOrVar),valuesPY,0)*SUM(I64:I67)</f>
        <v>0</v>
      </c>
      <c r="J68" s="574">
        <f>IF(AND(H68="",I68=""),"",H68+I68*$F68/1000)</f>
        <v>0</v>
      </c>
      <c r="K68" s="575" t="str">
        <f>IFERROR(J68/J69,"")</f>
        <v/>
      </c>
      <c r="L68" s="576"/>
      <c r="M68" s="575" t="str">
        <f t="shared" si="29"/>
        <v/>
      </c>
      <c r="N68" s="576"/>
      <c r="O68" s="574"/>
      <c r="P68" s="574" cm="1">
        <f t="array" ref="P68">_xlfn.XLOOKUP(1,($B68=DistributionZone)*($C68=CustomerType)*($D68=tariffL2)*($G68=Description)*($P$5=Desc_FixedOrVar),valuesFY,0)*SUM(P64:P67)</f>
        <v>0.48715797537741123</v>
      </c>
      <c r="Q68" s="574">
        <f t="shared" si="30"/>
        <v>4.2917069224441677</v>
      </c>
      <c r="R68" s="575">
        <f>IFERROR(Q68/Q69,"")</f>
        <v>4.3929752561560009E-2</v>
      </c>
      <c r="S68" s="575"/>
      <c r="T68" s="649"/>
      <c r="U68" s="575"/>
      <c r="V68" s="575"/>
      <c r="W68" s="575"/>
      <c r="X68" s="575"/>
      <c r="Y68" s="575"/>
      <c r="Z68" s="575"/>
      <c r="AA68" s="575"/>
      <c r="AB68" s="575"/>
      <c r="AC68" s="575"/>
      <c r="AD68" s="575"/>
      <c r="AE68" s="575"/>
      <c r="AF68" s="575"/>
      <c r="AG68" s="575"/>
      <c r="AH68" s="575"/>
      <c r="AI68" s="575"/>
      <c r="AJ68" s="575"/>
    </row>
    <row r="69" spans="1:36" s="627" customFormat="1" x14ac:dyDescent="0.35">
      <c r="A69" s="570"/>
      <c r="B69" s="570" t="str">
        <f t="shared" ref="B69:D69" si="35">B68</f>
        <v>Ausgrid</v>
      </c>
      <c r="C69" s="570" t="str">
        <f t="shared" si="35"/>
        <v>Small business</v>
      </c>
      <c r="D69" s="570" t="str">
        <f t="shared" si="35"/>
        <v>time of use</v>
      </c>
      <c r="E69" s="570" t="str">
        <f t="shared" si="33"/>
        <v>time of use (Off-peak)</v>
      </c>
      <c r="F69" s="485">
        <f>F68</f>
        <v>8809.6821551967714</v>
      </c>
      <c r="G69" s="571" t="s">
        <v>55</v>
      </c>
      <c r="H69" s="577">
        <f>SUM(H64:H68)</f>
        <v>0</v>
      </c>
      <c r="I69" s="577">
        <f>IF($H$3=PY,0,SUM(I64:I68))</f>
        <v>0</v>
      </c>
      <c r="J69" s="577">
        <f>IF($H$3=PY,0,SUM(J64:J68))</f>
        <v>0</v>
      </c>
      <c r="K69" s="578"/>
      <c r="L69" s="580"/>
      <c r="M69" s="578" t="str">
        <f t="shared" si="29"/>
        <v/>
      </c>
      <c r="N69" s="580"/>
      <c r="O69" s="577">
        <f>SUM(O64:O68)</f>
        <v>0</v>
      </c>
      <c r="P69" s="577">
        <f>SUM(P64:P68)</f>
        <v>11.089476880042584</v>
      </c>
      <c r="Q69" s="577">
        <f t="shared" si="30"/>
        <v>97.694766580578317</v>
      </c>
      <c r="R69" s="575"/>
      <c r="S69" s="575"/>
      <c r="T69" s="649"/>
      <c r="U69" s="575"/>
      <c r="V69" s="575"/>
      <c r="W69" s="575"/>
      <c r="X69" s="575"/>
      <c r="Y69" s="575"/>
      <c r="Z69" s="575"/>
      <c r="AA69" s="575"/>
      <c r="AB69" s="575"/>
      <c r="AC69" s="575"/>
      <c r="AD69" s="575"/>
      <c r="AE69" s="575"/>
      <c r="AF69" s="575"/>
      <c r="AG69" s="575"/>
      <c r="AH69" s="575"/>
      <c r="AI69" s="575"/>
      <c r="AJ69" s="575"/>
    </row>
    <row r="70" spans="1:36" s="627" customFormat="1" x14ac:dyDescent="0.35">
      <c r="A70" s="570"/>
      <c r="B70" s="570" t="str">
        <f t="shared" ref="B70:D70" si="36">B69</f>
        <v>Ausgrid</v>
      </c>
      <c r="C70" s="570" t="str">
        <f t="shared" si="36"/>
        <v>Small business</v>
      </c>
      <c r="D70" s="570" t="str">
        <f t="shared" si="36"/>
        <v>time of use</v>
      </c>
      <c r="E70" s="570" t="s">
        <v>278</v>
      </c>
      <c r="F70" s="485" cm="1">
        <f t="array" ref="F70">_xlfn.XLOOKUP(1,($B70=DistributionZone)*($C70=CustomerType)*($D70=tariffL2)*($F$5=Description),valuesPY)*_xlfn.XLOOKUP(1,($B70=DistributionZone)*($C70=CustomerType)*($D70=tariffL2)*($E70=tariffType)*("Usage proportion"=Description),valuesFY)</f>
        <v>1190.317844803229</v>
      </c>
      <c r="G70" s="570" t="s">
        <v>73</v>
      </c>
      <c r="H70" s="574"/>
      <c r="I70" s="574" cm="1">
        <f t="array" ref="I70">_xlfn.XLOOKUP(1,($B70=DistributionZone)*($G70=Description)*($I$5=Desc_FixedOrVar),valuesPY,0)</f>
        <v>6.1170426505850894</v>
      </c>
      <c r="J70" s="574">
        <f>IF(AND(H70="",I70=""),"",H70+I70*$F70/1000)</f>
        <v>7.2812250244138745</v>
      </c>
      <c r="K70" s="575" t="str">
        <f>IFERROR(J70/J75,"")</f>
        <v/>
      </c>
      <c r="L70" s="576"/>
      <c r="M70" s="575">
        <f t="shared" ref="M70:M75" si="37">IF(OR(J70=0,Q70=""),"",Q70/J70-1)</f>
        <v>-0.48482055209325348</v>
      </c>
      <c r="N70" s="576"/>
      <c r="O70" s="574"/>
      <c r="P70" s="574" cm="1">
        <f t="array" ref="P70">_xlfn.XLOOKUP(1,($B70=DistributionZone)*($G70=Description)*($I$5=Desc_FixedOrVar),valuesFY,0)</f>
        <v>3.1513746555504474</v>
      </c>
      <c r="Q70" s="574">
        <f t="shared" ref="Q70:Q75" si="38">IF(AND(O70="",P70=""),"",O70+P70*$F70/1000)</f>
        <v>3.7511374881623269</v>
      </c>
      <c r="R70" s="575">
        <f>IFERROR(Q70/Q75,"")</f>
        <v>0.28417703464641214</v>
      </c>
      <c r="S70" s="575"/>
      <c r="T70" s="634"/>
      <c r="U70" s="575"/>
      <c r="V70" s="575"/>
      <c r="W70" s="575"/>
      <c r="X70" s="575"/>
      <c r="Y70" s="575"/>
      <c r="Z70" s="575"/>
      <c r="AA70" s="575"/>
      <c r="AB70" s="575"/>
      <c r="AC70" s="575"/>
      <c r="AD70" s="575"/>
      <c r="AE70" s="575"/>
      <c r="AF70" s="575"/>
      <c r="AG70" s="575"/>
      <c r="AH70" s="575"/>
      <c r="AI70" s="575"/>
      <c r="AJ70" s="575"/>
    </row>
    <row r="71" spans="1:36" s="627" customFormat="1" x14ac:dyDescent="0.35">
      <c r="A71" s="570"/>
      <c r="B71" s="570" t="str">
        <f t="shared" ref="B71:D78" si="39">B70</f>
        <v>Ausgrid</v>
      </c>
      <c r="C71" s="570" t="str">
        <f t="shared" si="39"/>
        <v>Small business</v>
      </c>
      <c r="D71" s="570" t="str">
        <f>D70</f>
        <v>time of use</v>
      </c>
      <c r="E71" s="570" t="str">
        <f t="shared" ref="E71:E75" si="40">E70</f>
        <v>time of use (Peak)</v>
      </c>
      <c r="F71" s="485">
        <f>F70</f>
        <v>1190.317844803229</v>
      </c>
      <c r="G71" s="570" t="s">
        <v>74</v>
      </c>
      <c r="H71" s="574"/>
      <c r="I71" s="574" cm="1">
        <f t="array" ref="I71">_xlfn.XLOOKUP(1,($B71=DistributionZone)*($G71=Description)*($I$5=Desc_FixedOrVar),valuesPY,0)</f>
        <v>5.1359999999999992</v>
      </c>
      <c r="J71" s="574">
        <f>IF(AND(H71="",I71=""),"",H71+I71*$F71/1000)</f>
        <v>6.1134724509093834</v>
      </c>
      <c r="K71" s="575" t="str">
        <f>IFERROR(J71/J75,"")</f>
        <v/>
      </c>
      <c r="L71" s="576"/>
      <c r="M71" s="575">
        <f t="shared" si="37"/>
        <v>-0.12694704049844219</v>
      </c>
      <c r="N71" s="576"/>
      <c r="O71" s="574"/>
      <c r="P71" s="574" cm="1">
        <f t="array" ref="P71">_xlfn.XLOOKUP(1,($B71=DistributionZone)*($G71=Description)*($I$5=Desc_FixedOrVar),valuesFY,0)</f>
        <v>4.484</v>
      </c>
      <c r="Q71" s="574">
        <f t="shared" si="38"/>
        <v>5.3373852160976796</v>
      </c>
      <c r="R71" s="575">
        <f>IFERROR(Q71/Q75,"")</f>
        <v>0.40434729685669196</v>
      </c>
      <c r="S71" s="575"/>
      <c r="T71" s="649"/>
      <c r="U71" s="575"/>
      <c r="V71" s="575"/>
      <c r="W71" s="575"/>
      <c r="X71" s="575"/>
      <c r="Y71" s="575"/>
      <c r="Z71" s="575"/>
      <c r="AA71" s="575"/>
      <c r="AB71" s="575"/>
      <c r="AC71" s="575"/>
      <c r="AD71" s="575"/>
      <c r="AE71" s="575"/>
      <c r="AF71" s="575"/>
      <c r="AG71" s="575"/>
      <c r="AH71" s="575"/>
      <c r="AI71" s="575"/>
      <c r="AJ71" s="575"/>
    </row>
    <row r="72" spans="1:36" s="627" customFormat="1" x14ac:dyDescent="0.35">
      <c r="A72" s="570"/>
      <c r="B72" s="570" t="str">
        <f t="shared" si="39"/>
        <v>Ausgrid</v>
      </c>
      <c r="C72" s="570" t="str">
        <f t="shared" si="39"/>
        <v>Small business</v>
      </c>
      <c r="D72" s="570" t="str">
        <f t="shared" si="39"/>
        <v>time of use</v>
      </c>
      <c r="E72" s="570" t="str">
        <f t="shared" si="40"/>
        <v>time of use (Peak)</v>
      </c>
      <c r="F72" s="485">
        <f>F71</f>
        <v>1190.317844803229</v>
      </c>
      <c r="G72" s="570" t="s">
        <v>75</v>
      </c>
      <c r="H72" s="574"/>
      <c r="I72" s="574" cm="1">
        <f t="array" ref="I72">_xlfn.XLOOKUP(1,($B72=DistributionZone)*($G72=Description)*($I$5=Desc_FixedOrVar),valuesPY,0)</f>
        <v>2.1292191637289464</v>
      </c>
      <c r="J72" s="574">
        <f>IF(AND(H72="",I72=""),"",H72+I72*$F72/1000)</f>
        <v>2.5344475660835735</v>
      </c>
      <c r="K72" s="575" t="str">
        <f>IFERROR(J72/J75,"")</f>
        <v/>
      </c>
      <c r="L72" s="576"/>
      <c r="M72" s="575">
        <f t="shared" si="37"/>
        <v>0.30545066908580965</v>
      </c>
      <c r="N72" s="576"/>
      <c r="O72" s="574"/>
      <c r="P72" s="574" cm="1">
        <f t="array" ref="P72">_xlfn.XLOOKUP(1,($B72=DistributionZone)*($G72=Description)*($I$5=Desc_FixedOrVar),valuesFY,0)</f>
        <v>2.7795905819202815</v>
      </c>
      <c r="Q72" s="574">
        <f t="shared" si="38"/>
        <v>3.3085962709067025</v>
      </c>
      <c r="R72" s="575">
        <f>IFERROR(Q72/Q75,"")</f>
        <v>0.2506511904923695</v>
      </c>
      <c r="S72" s="575"/>
      <c r="T72" s="649"/>
      <c r="U72" s="575"/>
      <c r="V72" s="575"/>
      <c r="W72" s="575"/>
      <c r="X72" s="575"/>
      <c r="Y72" s="575"/>
      <c r="Z72" s="575"/>
      <c r="AA72" s="575"/>
      <c r="AB72" s="575"/>
      <c r="AC72" s="575"/>
      <c r="AD72" s="575"/>
      <c r="AE72" s="575"/>
      <c r="AF72" s="575"/>
      <c r="AG72" s="575"/>
      <c r="AH72" s="575"/>
      <c r="AI72" s="575"/>
      <c r="AJ72" s="575"/>
    </row>
    <row r="73" spans="1:36" s="627" customFormat="1" x14ac:dyDescent="0.35">
      <c r="A73" s="570"/>
      <c r="B73" s="570" t="str">
        <f t="shared" si="39"/>
        <v>Ausgrid</v>
      </c>
      <c r="C73" s="570" t="str">
        <f t="shared" si="39"/>
        <v>Small business</v>
      </c>
      <c r="D73" s="570" t="str">
        <f t="shared" si="39"/>
        <v>time of use</v>
      </c>
      <c r="E73" s="570" t="str">
        <f t="shared" si="40"/>
        <v>time of use (Peak)</v>
      </c>
      <c r="F73" s="485">
        <f>F72</f>
        <v>1190.317844803229</v>
      </c>
      <c r="G73" s="570" t="s">
        <v>155</v>
      </c>
      <c r="H73" s="574"/>
      <c r="I73" s="574" cm="1">
        <f t="array" ref="I73">_xlfn.XLOOKUP(1,($B73=DistributionZone)*($G73=Description)*($I$5=Desc_FixedOrVar),valuesPY,0)</f>
        <v>1.8634456011480964</v>
      </c>
      <c r="J73" s="574">
        <f>IF(AND(H73="",I73=""),"",H73+I73*$F73/1000)</f>
        <v>2.2180925518666594</v>
      </c>
      <c r="K73" s="575" t="str">
        <f>IFERROR(J73/J75,"")</f>
        <v/>
      </c>
      <c r="L73" s="576"/>
      <c r="M73" s="575">
        <f t="shared" si="37"/>
        <v>-0.8994584724775363</v>
      </c>
      <c r="N73" s="576"/>
      <c r="O73" s="574"/>
      <c r="P73" s="574" cm="1">
        <f t="array" ref="P73">_xlfn.XLOOKUP(1,($B73=DistributionZone)*($G73=Description)*($I$5=Desc_FixedOrVar),valuesFY,0)</f>
        <v>0.18735366719444529</v>
      </c>
      <c r="Q73" s="574">
        <f t="shared" si="38"/>
        <v>0.22301041335087357</v>
      </c>
      <c r="R73" s="575">
        <f>IFERROR(Q73/Q75,"")</f>
        <v>1.68947254429666E-2</v>
      </c>
      <c r="S73" s="575"/>
      <c r="T73" s="649"/>
      <c r="U73" s="575"/>
      <c r="V73" s="575"/>
      <c r="W73" s="575"/>
      <c r="X73" s="575"/>
      <c r="Y73" s="575"/>
      <c r="Z73" s="575"/>
      <c r="AA73" s="575"/>
      <c r="AB73" s="575"/>
      <c r="AC73" s="575"/>
      <c r="AD73" s="575"/>
      <c r="AE73" s="575"/>
      <c r="AF73" s="575"/>
      <c r="AG73" s="575"/>
      <c r="AH73" s="575"/>
      <c r="AI73" s="575"/>
      <c r="AJ73" s="575"/>
    </row>
    <row r="74" spans="1:36" s="627" customFormat="1" x14ac:dyDescent="0.35">
      <c r="A74" s="570"/>
      <c r="B74" s="570" t="str">
        <f t="shared" si="39"/>
        <v>Ausgrid</v>
      </c>
      <c r="C74" s="570" t="str">
        <f t="shared" si="39"/>
        <v>Small business</v>
      </c>
      <c r="D74" s="570" t="str">
        <f t="shared" si="39"/>
        <v>time of use</v>
      </c>
      <c r="E74" s="570" t="str">
        <f t="shared" si="40"/>
        <v>time of use (Peak)</v>
      </c>
      <c r="F74" s="485">
        <f>F73</f>
        <v>1190.317844803229</v>
      </c>
      <c r="G74" s="570" t="s">
        <v>72</v>
      </c>
      <c r="H74" s="574"/>
      <c r="I74" s="574" cm="1">
        <f t="array" ref="I74">_xlfn.XLOOKUP(1,($B74=DistributionZone)*($C74=CustomerType)*($D74=tariffL2)*($G74=Description)*($I$5=Desc_FixedOrVar),valuesPY,0)*SUM(I70:I73)</f>
        <v>0</v>
      </c>
      <c r="J74" s="574">
        <f>IF(AND(H74="",I74=""),"",H74+I74*$F74/1000)</f>
        <v>0</v>
      </c>
      <c r="K74" s="575" t="str">
        <f>IFERROR(J74/J75,"")</f>
        <v/>
      </c>
      <c r="L74" s="576"/>
      <c r="M74" s="575" t="str">
        <f t="shared" si="37"/>
        <v/>
      </c>
      <c r="N74" s="576"/>
      <c r="O74" s="574"/>
      <c r="P74" s="574" cm="1">
        <f t="array" ref="P74">_xlfn.XLOOKUP(1,($B74=DistributionZone)*($C74=CustomerType)*($D74=tariffL2)*($G74=Description)*($P$5=Desc_FixedOrVar),valuesFY,0)*SUM(P70:P73)</f>
        <v>0.48715797537741123</v>
      </c>
      <c r="Q74" s="574">
        <f t="shared" si="38"/>
        <v>0.57987283132994472</v>
      </c>
      <c r="R74" s="575">
        <f>IFERROR(Q74/Q75,"")</f>
        <v>4.3929752561560016E-2</v>
      </c>
      <c r="S74" s="575"/>
      <c r="T74" s="649"/>
      <c r="U74" s="575"/>
      <c r="V74" s="575"/>
      <c r="W74" s="575"/>
      <c r="X74" s="575"/>
      <c r="Y74" s="575"/>
      <c r="Z74" s="575"/>
      <c r="AA74" s="575"/>
      <c r="AB74" s="575"/>
      <c r="AC74" s="575"/>
      <c r="AD74" s="575"/>
      <c r="AE74" s="575"/>
      <c r="AF74" s="575"/>
      <c r="AG74" s="575"/>
      <c r="AH74" s="575"/>
      <c r="AI74" s="575"/>
      <c r="AJ74" s="575"/>
    </row>
    <row r="75" spans="1:36" s="627" customFormat="1" x14ac:dyDescent="0.35">
      <c r="A75" s="570"/>
      <c r="B75" s="570" t="str">
        <f t="shared" si="39"/>
        <v>Ausgrid</v>
      </c>
      <c r="C75" s="570" t="str">
        <f t="shared" si="39"/>
        <v>Small business</v>
      </c>
      <c r="D75" s="570" t="str">
        <f t="shared" si="39"/>
        <v>time of use</v>
      </c>
      <c r="E75" s="570" t="str">
        <f t="shared" si="40"/>
        <v>time of use (Peak)</v>
      </c>
      <c r="F75" s="485">
        <f>F74</f>
        <v>1190.317844803229</v>
      </c>
      <c r="G75" s="571" t="s">
        <v>55</v>
      </c>
      <c r="H75" s="577">
        <f>SUM(H70:H74)</f>
        <v>0</v>
      </c>
      <c r="I75" s="577">
        <f>IF($H$3=PY,0,SUM(I70:I74))</f>
        <v>0</v>
      </c>
      <c r="J75" s="577">
        <f>IF($H$3=PY,0,SUM(J70:J74))</f>
        <v>0</v>
      </c>
      <c r="K75" s="578"/>
      <c r="L75" s="580"/>
      <c r="M75" s="578" t="str">
        <f t="shared" si="37"/>
        <v/>
      </c>
      <c r="N75" s="580"/>
      <c r="O75" s="577">
        <f>SUM(O70:O74)</f>
        <v>0</v>
      </c>
      <c r="P75" s="577">
        <f>SUM(P70:P74)</f>
        <v>11.089476880042584</v>
      </c>
      <c r="Q75" s="577">
        <f t="shared" si="38"/>
        <v>13.200002219847525</v>
      </c>
      <c r="R75" s="575"/>
      <c r="S75" s="575"/>
      <c r="T75" s="649"/>
      <c r="U75" s="575"/>
      <c r="V75" s="575"/>
      <c r="W75" s="575"/>
      <c r="X75" s="575"/>
      <c r="Y75" s="575"/>
      <c r="Z75" s="575"/>
      <c r="AA75" s="575"/>
      <c r="AB75" s="575"/>
      <c r="AC75" s="575"/>
      <c r="AD75" s="575"/>
      <c r="AE75" s="575"/>
      <c r="AF75" s="575"/>
      <c r="AG75" s="575"/>
      <c r="AH75" s="575"/>
      <c r="AI75" s="575"/>
      <c r="AJ75" s="575"/>
    </row>
    <row r="76" spans="1:36" s="627" customFormat="1" x14ac:dyDescent="0.35">
      <c r="A76" s="570"/>
      <c r="B76" s="570"/>
      <c r="C76" s="570"/>
      <c r="D76" s="570"/>
      <c r="E76" s="570"/>
      <c r="F76" s="485"/>
      <c r="G76" s="571" t="s">
        <v>55</v>
      </c>
      <c r="H76" s="577">
        <f>SUM(H75,H69)</f>
        <v>0</v>
      </c>
      <c r="I76" s="577">
        <f>SUM(I75,I69)</f>
        <v>0</v>
      </c>
      <c r="J76" s="577">
        <f>SUM(J75,J69)</f>
        <v>0</v>
      </c>
      <c r="K76" s="578"/>
      <c r="L76" s="580"/>
      <c r="M76" s="578"/>
      <c r="N76" s="580"/>
      <c r="O76" s="577">
        <f>SUM(O75,O69)</f>
        <v>0</v>
      </c>
      <c r="P76" s="577">
        <f>SUM(P75,P69)</f>
        <v>22.178953760085168</v>
      </c>
      <c r="Q76" s="577">
        <f>SUM(Q75,Q69)</f>
        <v>110.89476880042584</v>
      </c>
      <c r="R76" s="575"/>
      <c r="S76" s="575"/>
      <c r="T76" s="649"/>
      <c r="U76" s="575"/>
      <c r="V76" s="575"/>
      <c r="W76" s="575"/>
      <c r="X76" s="575"/>
      <c r="Y76" s="575"/>
      <c r="Z76" s="575"/>
      <c r="AA76" s="575"/>
      <c r="AB76" s="575"/>
      <c r="AC76" s="575"/>
      <c r="AD76" s="575"/>
      <c r="AE76" s="575"/>
      <c r="AF76" s="575"/>
      <c r="AG76" s="575"/>
      <c r="AH76" s="575"/>
      <c r="AI76" s="575"/>
      <c r="AJ76" s="575"/>
    </row>
    <row r="77" spans="1:36" s="627" customFormat="1" x14ac:dyDescent="0.35">
      <c r="A77" s="570"/>
      <c r="B77" s="570" t="str">
        <f>B75</f>
        <v>Ausgrid</v>
      </c>
      <c r="C77" s="570" t="str">
        <f>C75</f>
        <v>Small business</v>
      </c>
      <c r="D77" s="570" t="str">
        <f>D75</f>
        <v>time of use</v>
      </c>
      <c r="E77" s="570"/>
      <c r="F77" s="485"/>
      <c r="G77" s="570" t="s">
        <v>38</v>
      </c>
      <c r="H77" s="574"/>
      <c r="I77" s="574"/>
      <c r="J77" s="574">
        <f>J76*GST</f>
        <v>0</v>
      </c>
      <c r="K77" s="575"/>
      <c r="L77" s="582"/>
      <c r="M77" s="575"/>
      <c r="N77" s="582"/>
      <c r="O77" s="574"/>
      <c r="P77" s="574"/>
      <c r="Q77" s="574">
        <f>Q76*GST</f>
        <v>11.089476880042584</v>
      </c>
      <c r="R77" s="575"/>
      <c r="S77" s="575"/>
      <c r="T77" s="649"/>
      <c r="U77" s="575"/>
      <c r="V77" s="575"/>
      <c r="W77" s="575"/>
      <c r="X77" s="575"/>
      <c r="Y77" s="575"/>
      <c r="Z77" s="575"/>
      <c r="AA77" s="575"/>
      <c r="AB77" s="575"/>
      <c r="AC77" s="575"/>
      <c r="AD77" s="575"/>
      <c r="AE77" s="575"/>
      <c r="AF77" s="575"/>
      <c r="AG77" s="575"/>
      <c r="AH77" s="575"/>
      <c r="AI77" s="575"/>
      <c r="AJ77" s="575"/>
    </row>
    <row r="78" spans="1:36" s="627" customFormat="1" x14ac:dyDescent="0.35">
      <c r="A78" s="570"/>
      <c r="B78" s="570" t="str">
        <f t="shared" si="39"/>
        <v>Ausgrid</v>
      </c>
      <c r="C78" s="570" t="str">
        <f t="shared" si="39"/>
        <v>Small business</v>
      </c>
      <c r="D78" s="570" t="str">
        <f t="shared" si="39"/>
        <v>time of use</v>
      </c>
      <c r="E78" s="570" t="s">
        <v>272</v>
      </c>
      <c r="F78" s="485">
        <f>SUM(F75,F69)</f>
        <v>10000</v>
      </c>
      <c r="G78" s="571" t="s">
        <v>79</v>
      </c>
      <c r="H78" s="577"/>
      <c r="I78" s="577"/>
      <c r="J78" s="577">
        <f>SUM(J76:J77)</f>
        <v>0</v>
      </c>
      <c r="K78" s="578"/>
      <c r="L78" s="580"/>
      <c r="M78" s="578" t="str">
        <f>IF(OR(J78=0,Q78=""),"",Q78/J78-1)</f>
        <v/>
      </c>
      <c r="N78" s="580"/>
      <c r="O78" s="577"/>
      <c r="P78" s="577"/>
      <c r="Q78" s="577">
        <f>SUM(Q76:Q77)</f>
        <v>121.98424568046842</v>
      </c>
      <c r="R78" s="575"/>
      <c r="S78" s="575"/>
      <c r="T78" s="649"/>
      <c r="U78" s="575"/>
      <c r="V78" s="575"/>
      <c r="W78" s="575"/>
      <c r="X78" s="575"/>
      <c r="Y78" s="575"/>
      <c r="Z78" s="575"/>
      <c r="AA78" s="575"/>
      <c r="AB78" s="575"/>
      <c r="AC78" s="575"/>
      <c r="AD78" s="575"/>
      <c r="AE78" s="575"/>
      <c r="AF78" s="575"/>
      <c r="AG78" s="575"/>
      <c r="AH78" s="575"/>
      <c r="AI78" s="575"/>
      <c r="AJ78" s="575"/>
    </row>
    <row r="79" spans="1:36" s="627" customFormat="1" x14ac:dyDescent="0.35">
      <c r="A79" s="570"/>
      <c r="B79" s="570"/>
      <c r="C79" s="570"/>
      <c r="D79" s="570"/>
      <c r="E79" s="570"/>
      <c r="F79" s="485"/>
      <c r="G79" s="570"/>
      <c r="H79" s="574"/>
      <c r="I79" s="574"/>
      <c r="J79" s="574"/>
      <c r="K79" s="575"/>
      <c r="L79" s="582"/>
      <c r="M79" s="575"/>
      <c r="N79" s="582"/>
      <c r="O79" s="574"/>
      <c r="P79" s="574"/>
      <c r="Q79" s="574"/>
      <c r="R79" s="575"/>
      <c r="S79" s="575"/>
      <c r="T79" s="649"/>
      <c r="U79" s="575"/>
      <c r="V79" s="575"/>
      <c r="W79" s="575"/>
      <c r="X79" s="575"/>
      <c r="Y79" s="575"/>
      <c r="Z79" s="575"/>
      <c r="AA79" s="575"/>
      <c r="AB79" s="575"/>
      <c r="AC79" s="575"/>
      <c r="AD79" s="575"/>
      <c r="AE79" s="575"/>
      <c r="AF79" s="575"/>
      <c r="AG79" s="575"/>
      <c r="AH79" s="575"/>
      <c r="AI79" s="575"/>
      <c r="AJ79" s="575"/>
    </row>
    <row r="80" spans="1:36" s="65" customFormat="1" x14ac:dyDescent="0.35">
      <c r="A80" s="30"/>
      <c r="B80" s="64" t="s">
        <v>4</v>
      </c>
      <c r="C80" s="64" t="s">
        <v>6</v>
      </c>
      <c r="D80" s="64" t="s">
        <v>276</v>
      </c>
      <c r="E80" s="30"/>
      <c r="F80" s="258"/>
      <c r="G80" s="30"/>
      <c r="H80" s="482"/>
      <c r="I80" s="482"/>
      <c r="J80" s="482"/>
      <c r="K80" s="484"/>
      <c r="L80" s="568"/>
      <c r="M80" s="484"/>
      <c r="N80" s="568"/>
      <c r="O80" s="482"/>
      <c r="P80" s="482"/>
      <c r="Q80" s="482"/>
      <c r="R80" s="484"/>
      <c r="S80" s="484"/>
      <c r="T80" s="644"/>
      <c r="U80" s="484"/>
      <c r="V80" s="484"/>
      <c r="W80" s="484"/>
      <c r="X80" s="484"/>
      <c r="Y80" s="484"/>
      <c r="Z80" s="484"/>
      <c r="AA80" s="484"/>
      <c r="AB80" s="484"/>
      <c r="AC80" s="484"/>
      <c r="AD80" s="484"/>
      <c r="AE80" s="484"/>
      <c r="AF80" s="484"/>
      <c r="AG80" s="484"/>
      <c r="AH80" s="484"/>
      <c r="AI80" s="484"/>
      <c r="AJ80" s="484"/>
    </row>
    <row r="81" spans="1:36" s="65" customFormat="1" x14ac:dyDescent="0.35">
      <c r="A81" s="30"/>
      <c r="B81" s="30" t="str">
        <f t="shared" ref="B81:D88" si="41">B80</f>
        <v>Endeavour</v>
      </c>
      <c r="C81" s="30" t="str">
        <f t="shared" si="41"/>
        <v>Residential</v>
      </c>
      <c r="D81" s="30" t="str">
        <f t="shared" si="41"/>
        <v>flat rate</v>
      </c>
      <c r="E81" s="30" t="s">
        <v>19</v>
      </c>
      <c r="F81" s="258" cm="1">
        <f t="array" ref="F81">IFERROR(_xlfn.XLOOKUP(1,($B81=DistributionZone)*($C81=CustomerType)*($E81=tariffType)*(F$5=Description)*($D81=tariffL2),valuesFY),0)</f>
        <v>4900</v>
      </c>
      <c r="G81" s="30" t="s">
        <v>73</v>
      </c>
      <c r="H81" s="482"/>
      <c r="I81" s="482" cm="1">
        <f t="array" ref="I81">_xlfn.XLOOKUP(1,($B81=DistributionZone)*($G81=Description)*($I$5=Desc_FixedOrVar),valuesPY,0)</f>
        <v>6.1170426505850894</v>
      </c>
      <c r="J81" s="482">
        <f>IF(AND(H81="",I81=""),"",H81+I81*$F81/1000)</f>
        <v>29.973508987866939</v>
      </c>
      <c r="K81" s="484">
        <f>IFERROR(J81/J86,"")</f>
        <v>0.37720934580656779</v>
      </c>
      <c r="L81" s="563"/>
      <c r="M81" s="484">
        <f t="shared" ref="M81:M86" si="42">IF(OR(J81=0,Q81=""),"",Q81/J81-1)</f>
        <v>-0.48482055209325359</v>
      </c>
      <c r="N81" s="563"/>
      <c r="O81" s="482"/>
      <c r="P81" s="482" cm="1">
        <f t="array" ref="P81">_xlfn.XLOOKUP(1,($B81=DistributionZone)*($G81=Description)*($I$5=Desc_FixedOrVar),valuesFY,0)</f>
        <v>3.1513746555504474</v>
      </c>
      <c r="Q81" s="482">
        <f t="shared" ref="Q81:Q86" si="43">IF(AND(O81="",P81=""),"",O81+P81*$F81/1000)</f>
        <v>15.441735812197193</v>
      </c>
      <c r="R81" s="484">
        <f>IFERROR(Q81/Q86,"")</f>
        <v>0.28063902917303041</v>
      </c>
      <c r="S81" s="484"/>
      <c r="T81" s="645"/>
      <c r="U81" s="484"/>
      <c r="V81" s="484"/>
      <c r="W81" s="484"/>
      <c r="X81" s="484"/>
      <c r="Y81" s="484"/>
      <c r="Z81" s="484"/>
      <c r="AA81" s="484"/>
      <c r="AB81" s="484"/>
      <c r="AC81" s="484"/>
      <c r="AD81" s="484"/>
      <c r="AE81" s="484"/>
      <c r="AF81" s="484"/>
      <c r="AG81" s="484"/>
      <c r="AH81" s="484"/>
      <c r="AI81" s="484"/>
      <c r="AJ81" s="484"/>
    </row>
    <row r="82" spans="1:36" s="65" customFormat="1" x14ac:dyDescent="0.35">
      <c r="A82" s="30"/>
      <c r="B82" s="30" t="str">
        <f t="shared" si="41"/>
        <v>Endeavour</v>
      </c>
      <c r="C82" s="30" t="str">
        <f t="shared" si="41"/>
        <v>Residential</v>
      </c>
      <c r="D82" s="30" t="str">
        <f t="shared" si="41"/>
        <v>flat rate</v>
      </c>
      <c r="E82" s="30" t="s">
        <v>19</v>
      </c>
      <c r="F82" s="258">
        <f>F81</f>
        <v>4900</v>
      </c>
      <c r="G82" s="30" t="s">
        <v>74</v>
      </c>
      <c r="H82" s="482"/>
      <c r="I82" s="482" cm="1">
        <f t="array" ref="I82">_xlfn.XLOOKUP(1,($B82=DistributionZone)*($G82=Description)*($I$5=Desc_FixedOrVar),valuesPY,0)</f>
        <v>5.1359999999999992</v>
      </c>
      <c r="J82" s="482">
        <f>IF(AND(H82="",I82=""),"",H82+I82*$F82/1000)</f>
        <v>25.166399999999999</v>
      </c>
      <c r="K82" s="484">
        <f>IFERROR(J82/J86,"")</f>
        <v>0.31671304431353386</v>
      </c>
      <c r="L82" s="563"/>
      <c r="M82" s="484">
        <f t="shared" si="42"/>
        <v>-0.12694704049844241</v>
      </c>
      <c r="N82" s="563"/>
      <c r="O82" s="482"/>
      <c r="P82" s="482" cm="1">
        <f t="array" ref="P82">_xlfn.XLOOKUP(1,($B82=DistributionZone)*($G82=Description)*($I$5=Desc_FixedOrVar),valuesFY,0)</f>
        <v>4.484</v>
      </c>
      <c r="Q82" s="482">
        <f t="shared" si="43"/>
        <v>21.971599999999999</v>
      </c>
      <c r="R82" s="484">
        <f>IFERROR(Q82/Q86,"")</f>
        <v>0.39931317103014119</v>
      </c>
      <c r="S82" s="484"/>
      <c r="T82" s="644"/>
      <c r="U82" s="484"/>
      <c r="V82" s="484"/>
      <c r="W82" s="484"/>
      <c r="X82" s="484"/>
      <c r="Y82" s="484"/>
      <c r="Z82" s="484"/>
      <c r="AA82" s="484"/>
      <c r="AB82" s="484"/>
      <c r="AC82" s="484"/>
      <c r="AD82" s="484"/>
      <c r="AE82" s="484"/>
      <c r="AF82" s="484"/>
      <c r="AG82" s="484"/>
      <c r="AH82" s="484"/>
      <c r="AI82" s="484"/>
      <c r="AJ82" s="484"/>
    </row>
    <row r="83" spans="1:36" s="65" customFormat="1" x14ac:dyDescent="0.35">
      <c r="A83" s="30"/>
      <c r="B83" s="30" t="str">
        <f t="shared" si="41"/>
        <v>Endeavour</v>
      </c>
      <c r="C83" s="30" t="str">
        <f t="shared" si="41"/>
        <v>Residential</v>
      </c>
      <c r="D83" s="30" t="str">
        <f t="shared" si="41"/>
        <v>flat rate</v>
      </c>
      <c r="E83" s="30" t="s">
        <v>19</v>
      </c>
      <c r="F83" s="258">
        <f>F82</f>
        <v>4900</v>
      </c>
      <c r="G83" s="30" t="s">
        <v>75</v>
      </c>
      <c r="H83" s="482"/>
      <c r="I83" s="482" cm="1">
        <f t="array" ref="I83">_xlfn.XLOOKUP(1,($B83=DistributionZone)*($G83=Description)*($I$5=Desc_FixedOrVar),valuesPY,0)</f>
        <v>2.1292191637289464</v>
      </c>
      <c r="J83" s="482">
        <f>IF(AND(H83="",I83=""),"",H83+I83*$F83/1000)</f>
        <v>10.433173902271838</v>
      </c>
      <c r="K83" s="484">
        <f>IFERROR(J83/J86,"")</f>
        <v>0.13129896482774753</v>
      </c>
      <c r="L83" s="563"/>
      <c r="M83" s="484">
        <f t="shared" si="42"/>
        <v>0.30545066908580987</v>
      </c>
      <c r="N83" s="563"/>
      <c r="O83" s="482"/>
      <c r="P83" s="482" cm="1">
        <f t="array" ref="P83">_xlfn.XLOOKUP(1,($B83=DistributionZone)*($G83=Description)*($I$5=Desc_FixedOrVar),valuesFY,0)</f>
        <v>2.7795905819202815</v>
      </c>
      <c r="Q83" s="482">
        <f t="shared" si="43"/>
        <v>13.619993851409379</v>
      </c>
      <c r="R83" s="484">
        <f>IFERROR(Q83/Q86,"")</f>
        <v>0.24753058194293112</v>
      </c>
      <c r="S83" s="484"/>
      <c r="T83" s="644"/>
      <c r="U83" s="484"/>
      <c r="V83" s="484"/>
      <c r="W83" s="484"/>
      <c r="X83" s="484"/>
      <c r="Y83" s="484"/>
      <c r="Z83" s="484"/>
      <c r="AA83" s="484"/>
      <c r="AB83" s="484"/>
      <c r="AC83" s="484"/>
      <c r="AD83" s="484"/>
      <c r="AE83" s="484"/>
      <c r="AF83" s="484"/>
      <c r="AG83" s="484"/>
      <c r="AH83" s="484"/>
      <c r="AI83" s="484"/>
      <c r="AJ83" s="484"/>
    </row>
    <row r="84" spans="1:36" s="65" customFormat="1" x14ac:dyDescent="0.35">
      <c r="A84" s="30"/>
      <c r="B84" s="30" t="str">
        <f t="shared" si="41"/>
        <v>Endeavour</v>
      </c>
      <c r="C84" s="30" t="str">
        <f t="shared" si="41"/>
        <v>Residential</v>
      </c>
      <c r="D84" s="30" t="str">
        <f t="shared" si="41"/>
        <v>flat rate</v>
      </c>
      <c r="E84" s="30" t="s">
        <v>19</v>
      </c>
      <c r="F84" s="258">
        <f>F83</f>
        <v>4900</v>
      </c>
      <c r="G84" s="30" t="s">
        <v>155</v>
      </c>
      <c r="H84" s="482"/>
      <c r="I84" s="482" cm="1">
        <f t="array" ref="I84">_xlfn.XLOOKUP(1,($B84=DistributionZone)*($G84=Description)*($I$5=Desc_FixedOrVar),valuesPY,0)</f>
        <v>1.8634456011480964</v>
      </c>
      <c r="J84" s="482">
        <f>IF(AND(H84="",I84=""),"",H84+I84*$F84/1000)</f>
        <v>9.1308834456256722</v>
      </c>
      <c r="K84" s="484">
        <f>IFERROR(J84/J86,"")</f>
        <v>0.1149099550724838</v>
      </c>
      <c r="L84" s="563"/>
      <c r="M84" s="484">
        <f t="shared" si="42"/>
        <v>-0.8994584724775363</v>
      </c>
      <c r="N84" s="563"/>
      <c r="O84" s="482"/>
      <c r="P84" s="482" cm="1">
        <f t="array" ref="P84">_xlfn.XLOOKUP(1,($B84=DistributionZone)*($G84=Description)*($I$5=Desc_FixedOrVar),valuesFY,0)</f>
        <v>0.18735366719444529</v>
      </c>
      <c r="Q84" s="482">
        <f t="shared" si="43"/>
        <v>0.91803296925278199</v>
      </c>
      <c r="R84" s="484">
        <f>IFERROR(Q84/Q86,"")</f>
        <v>1.6684386028443288E-2</v>
      </c>
      <c r="S84" s="484"/>
      <c r="T84" s="644"/>
      <c r="U84" s="484"/>
      <c r="V84" s="484"/>
      <c r="W84" s="484"/>
      <c r="X84" s="484"/>
      <c r="Y84" s="484"/>
      <c r="Z84" s="484"/>
      <c r="AA84" s="484"/>
      <c r="AB84" s="484"/>
      <c r="AC84" s="484"/>
      <c r="AD84" s="484"/>
      <c r="AE84" s="484"/>
      <c r="AF84" s="484"/>
      <c r="AG84" s="484"/>
      <c r="AH84" s="484"/>
      <c r="AI84" s="484"/>
      <c r="AJ84" s="484"/>
    </row>
    <row r="85" spans="1:36" s="65" customFormat="1" x14ac:dyDescent="0.35">
      <c r="A85" s="30"/>
      <c r="B85" s="30" t="str">
        <f t="shared" si="41"/>
        <v>Endeavour</v>
      </c>
      <c r="C85" s="30" t="str">
        <f t="shared" si="41"/>
        <v>Residential</v>
      </c>
      <c r="D85" s="30" t="str">
        <f t="shared" si="41"/>
        <v>flat rate</v>
      </c>
      <c r="E85" s="30" t="s">
        <v>19</v>
      </c>
      <c r="F85" s="258">
        <f>F84</f>
        <v>4900</v>
      </c>
      <c r="G85" s="30" t="s">
        <v>72</v>
      </c>
      <c r="H85" s="482"/>
      <c r="I85" s="482" cm="1">
        <f t="array" ref="I85">_xlfn.XLOOKUP(1,($B85=DistributionZone)*($C85=CustomerType)*($D85=tariffL2)*($E85=tariffType)*($G85=Description)*($I$5=Desc_FixedOrVar),valuesPY,0)*SUM(I81:I84)</f>
        <v>0.97086494306553039</v>
      </c>
      <c r="J85" s="482">
        <f>IF(AND(H85="",I85=""),"",H85+I85*$F85/1000)</f>
        <v>4.7572382210210993</v>
      </c>
      <c r="K85" s="484">
        <f>IFERROR(J85/J86,"")</f>
        <v>5.9868689979667031E-2</v>
      </c>
      <c r="L85" s="563"/>
      <c r="M85" s="484">
        <f t="shared" si="42"/>
        <v>-0.35422265536794861</v>
      </c>
      <c r="N85" s="563"/>
      <c r="O85" s="482"/>
      <c r="P85" s="482" cm="1">
        <f t="array" ref="P85">_xlfn.XLOOKUP(1,($B85=DistributionZone)*($C85=CustomerType)*($D85=tariffL2)*($E85=tariffType)*($G85=Description)*($P$5=Desc_FixedOrVar),valuesFY,0)*SUM(P81:P84)</f>
        <v>0.62696258492920598</v>
      </c>
      <c r="Q85" s="482">
        <f t="shared" si="43"/>
        <v>3.0721166661531094</v>
      </c>
      <c r="R85" s="484">
        <f>IFERROR(Q85/Q86,"")</f>
        <v>5.5832831825453941E-2</v>
      </c>
      <c r="S85" s="484"/>
      <c r="T85" s="644"/>
      <c r="U85" s="484"/>
      <c r="V85" s="484"/>
      <c r="W85" s="484"/>
      <c r="X85" s="484"/>
      <c r="Y85" s="484"/>
      <c r="Z85" s="484"/>
      <c r="AA85" s="484"/>
      <c r="AB85" s="484"/>
      <c r="AC85" s="484"/>
      <c r="AD85" s="484"/>
      <c r="AE85" s="484"/>
      <c r="AF85" s="484"/>
      <c r="AG85" s="484"/>
      <c r="AH85" s="484"/>
      <c r="AI85" s="484"/>
      <c r="AJ85" s="484"/>
    </row>
    <row r="86" spans="1:36" s="65" customFormat="1" x14ac:dyDescent="0.35">
      <c r="A86" s="30"/>
      <c r="B86" s="30" t="str">
        <f t="shared" si="41"/>
        <v>Endeavour</v>
      </c>
      <c r="C86" s="30" t="str">
        <f t="shared" si="41"/>
        <v>Residential</v>
      </c>
      <c r="D86" s="30" t="str">
        <f t="shared" si="41"/>
        <v>flat rate</v>
      </c>
      <c r="E86" s="30" t="s">
        <v>19</v>
      </c>
      <c r="F86" s="258">
        <f>F85</f>
        <v>4900</v>
      </c>
      <c r="G86" s="64" t="s">
        <v>55</v>
      </c>
      <c r="H86" s="487">
        <f>SUM(H81:H85)</f>
        <v>0</v>
      </c>
      <c r="I86" s="487">
        <f>SUM(I81:I85)</f>
        <v>16.216572358527664</v>
      </c>
      <c r="J86" s="487">
        <f>IF(AND(H86="",I86=""),"",H86+I86*+Usage!C$39/1000)</f>
        <v>79.461204556785546</v>
      </c>
      <c r="K86" s="564"/>
      <c r="L86" s="566"/>
      <c r="M86" s="564">
        <f t="shared" si="42"/>
        <v>-0.30754284929457731</v>
      </c>
      <c r="N86" s="566"/>
      <c r="O86" s="487">
        <f>SUM(O81:O85)</f>
        <v>0</v>
      </c>
      <c r="P86" s="487">
        <f>SUM(P81:P85)</f>
        <v>11.22928148959438</v>
      </c>
      <c r="Q86" s="487">
        <f t="shared" si="43"/>
        <v>55.023479299012465</v>
      </c>
      <c r="R86" s="564"/>
      <c r="S86" s="564"/>
      <c r="T86" s="646"/>
      <c r="U86" s="564"/>
      <c r="V86" s="564"/>
      <c r="W86" s="564"/>
      <c r="X86" s="564"/>
      <c r="Y86" s="564"/>
      <c r="Z86" s="564"/>
      <c r="AA86" s="564"/>
      <c r="AB86" s="564"/>
      <c r="AC86" s="564"/>
      <c r="AD86" s="564"/>
      <c r="AE86" s="564"/>
      <c r="AF86" s="564"/>
      <c r="AG86" s="564"/>
      <c r="AH86" s="564"/>
      <c r="AI86" s="564"/>
      <c r="AJ86" s="564"/>
    </row>
    <row r="87" spans="1:36" s="65" customFormat="1" x14ac:dyDescent="0.35">
      <c r="A87" s="30"/>
      <c r="B87" s="30" t="str">
        <f t="shared" si="41"/>
        <v>Endeavour</v>
      </c>
      <c r="C87" s="30" t="str">
        <f t="shared" si="41"/>
        <v>Residential</v>
      </c>
      <c r="D87" s="30" t="str">
        <f t="shared" si="41"/>
        <v>flat rate</v>
      </c>
      <c r="E87" s="30"/>
      <c r="F87" s="258"/>
      <c r="G87" s="30" t="s">
        <v>38</v>
      </c>
      <c r="H87" s="482"/>
      <c r="I87" s="482"/>
      <c r="J87" s="482">
        <f>J86*GST</f>
        <v>7.946120455678555</v>
      </c>
      <c r="K87" s="484"/>
      <c r="L87" s="568"/>
      <c r="M87" s="484"/>
      <c r="N87" s="568"/>
      <c r="O87" s="482"/>
      <c r="P87" s="482"/>
      <c r="Q87" s="482">
        <f>Q86*GST</f>
        <v>5.502347929901247</v>
      </c>
      <c r="R87" s="564"/>
      <c r="S87" s="564"/>
      <c r="T87" s="646"/>
      <c r="U87" s="564"/>
      <c r="V87" s="564"/>
      <c r="W87" s="564"/>
      <c r="X87" s="564"/>
      <c r="Y87" s="564"/>
      <c r="Z87" s="564"/>
      <c r="AA87" s="564"/>
      <c r="AB87" s="564"/>
      <c r="AC87" s="564"/>
      <c r="AD87" s="564"/>
      <c r="AE87" s="564"/>
      <c r="AF87" s="564"/>
      <c r="AG87" s="564"/>
      <c r="AH87" s="564"/>
      <c r="AI87" s="564"/>
      <c r="AJ87" s="564"/>
    </row>
    <row r="88" spans="1:36" s="65" customFormat="1" x14ac:dyDescent="0.35">
      <c r="A88" s="30"/>
      <c r="B88" s="30" t="str">
        <f t="shared" si="41"/>
        <v>Endeavour</v>
      </c>
      <c r="C88" s="30" t="str">
        <f t="shared" si="41"/>
        <v>Residential</v>
      </c>
      <c r="D88" s="30" t="str">
        <f t="shared" si="41"/>
        <v>flat rate</v>
      </c>
      <c r="E88" s="30" t="s">
        <v>19</v>
      </c>
      <c r="F88" s="258"/>
      <c r="G88" s="64" t="s">
        <v>79</v>
      </c>
      <c r="H88" s="487"/>
      <c r="I88" s="487"/>
      <c r="J88" s="487">
        <f>SUM(J86:J87)</f>
        <v>87.407325012464099</v>
      </c>
      <c r="K88" s="564"/>
      <c r="L88" s="566"/>
      <c r="M88" s="564">
        <f>IF(OR(J88=0,Q88=""),"",Q88/J88-1)</f>
        <v>-0.30754284929457731</v>
      </c>
      <c r="N88" s="566"/>
      <c r="O88" s="487"/>
      <c r="P88" s="487"/>
      <c r="Q88" s="487">
        <f>SUM(Q86:Q87)</f>
        <v>60.525827228913712</v>
      </c>
      <c r="R88" s="564"/>
      <c r="S88" s="564"/>
      <c r="T88" s="646"/>
      <c r="U88" s="564"/>
      <c r="V88" s="564"/>
      <c r="W88" s="564"/>
      <c r="X88" s="564"/>
      <c r="Y88" s="564"/>
      <c r="Z88" s="564"/>
      <c r="AA88" s="564"/>
      <c r="AB88" s="564"/>
      <c r="AC88" s="564"/>
      <c r="AD88" s="564"/>
      <c r="AE88" s="564"/>
      <c r="AF88" s="564"/>
      <c r="AG88" s="564"/>
      <c r="AH88" s="564"/>
      <c r="AI88" s="564"/>
      <c r="AJ88" s="564"/>
    </row>
    <row r="89" spans="1:36" s="65" customFormat="1" x14ac:dyDescent="0.35">
      <c r="A89" s="30"/>
      <c r="B89" s="30"/>
      <c r="C89" s="30"/>
      <c r="D89" s="30"/>
      <c r="E89" s="30"/>
      <c r="F89" s="258"/>
      <c r="G89" s="30"/>
      <c r="H89" s="482"/>
      <c r="I89" s="482"/>
      <c r="J89" s="482"/>
      <c r="K89" s="484"/>
      <c r="L89" s="568"/>
      <c r="M89" s="484"/>
      <c r="N89" s="568"/>
      <c r="O89" s="482"/>
      <c r="P89" s="482"/>
      <c r="Q89" s="482"/>
      <c r="R89" s="484"/>
      <c r="S89" s="484"/>
      <c r="T89" s="644"/>
      <c r="U89" s="484"/>
      <c r="V89" s="484"/>
      <c r="W89" s="484"/>
      <c r="X89" s="484"/>
      <c r="Y89" s="484"/>
      <c r="Z89" s="484"/>
      <c r="AA89" s="484"/>
      <c r="AB89" s="484"/>
      <c r="AC89" s="484"/>
      <c r="AD89" s="484"/>
      <c r="AE89" s="484"/>
      <c r="AF89" s="484"/>
      <c r="AG89" s="484"/>
      <c r="AH89" s="484"/>
      <c r="AI89" s="484"/>
      <c r="AJ89" s="484"/>
    </row>
    <row r="90" spans="1:36" s="627" customFormat="1" x14ac:dyDescent="0.35">
      <c r="A90" s="570"/>
      <c r="B90" s="571" t="s">
        <v>4</v>
      </c>
      <c r="C90" s="571" t="s">
        <v>6</v>
      </c>
      <c r="D90" s="701" t="s">
        <v>272</v>
      </c>
      <c r="E90" s="570"/>
      <c r="F90" s="485"/>
      <c r="G90" s="570"/>
      <c r="H90" s="574"/>
      <c r="I90" s="574"/>
      <c r="J90" s="574"/>
      <c r="K90" s="575"/>
      <c r="L90" s="582"/>
      <c r="M90" s="575"/>
      <c r="N90" s="582"/>
      <c r="O90" s="574"/>
      <c r="P90" s="574"/>
      <c r="Q90" s="574"/>
      <c r="R90" s="575"/>
      <c r="S90" s="575"/>
      <c r="T90" s="649"/>
      <c r="U90" s="575"/>
      <c r="V90" s="575"/>
      <c r="W90" s="575"/>
      <c r="X90" s="575"/>
      <c r="Y90" s="575"/>
      <c r="Z90" s="575"/>
      <c r="AA90" s="575"/>
      <c r="AB90" s="575"/>
      <c r="AC90" s="575"/>
      <c r="AD90" s="575"/>
      <c r="AE90" s="575"/>
      <c r="AF90" s="575"/>
      <c r="AG90" s="575"/>
      <c r="AH90" s="575"/>
      <c r="AI90" s="575"/>
      <c r="AJ90" s="575"/>
    </row>
    <row r="91" spans="1:36" s="627" customFormat="1" x14ac:dyDescent="0.35">
      <c r="A91" s="30"/>
      <c r="B91" s="30" t="str">
        <f t="shared" ref="B91:D91" si="44">B90</f>
        <v>Endeavour</v>
      </c>
      <c r="C91" s="30" t="str">
        <f t="shared" si="44"/>
        <v>Residential</v>
      </c>
      <c r="D91" s="30" t="str">
        <f t="shared" si="44"/>
        <v>time of use</v>
      </c>
      <c r="E91" s="615" t="s">
        <v>279</v>
      </c>
      <c r="F91" s="485" cm="1">
        <f t="array" ref="F91">_xlfn.XLOOKUP(1,($B91=DistributionZone)*($C91=CustomerType)*($D91=tariffL2)*($F$5=Description),valuesPY)*_xlfn.XLOOKUP(1,($B91=DistributionZone)*($C91=CustomerType)*($D91=tariffL2)*($E91=tariffType)*("Usage proportion"=Description),valuesFY)</f>
        <v>3254.3760390086245</v>
      </c>
      <c r="G91" s="570" t="s">
        <v>73</v>
      </c>
      <c r="H91" s="574"/>
      <c r="I91" s="574" cm="1">
        <f t="array" ref="I91">_xlfn.XLOOKUP(1,($B91=DistributionZone)*($G91=Description)*($I$5=Desc_FixedOrVar),valuesPY,0)</f>
        <v>6.1170426505850894</v>
      </c>
      <c r="J91" s="574">
        <f>IF(AND(H91="",I91=""),"",H91+I91*$F91/1000)</f>
        <v>19.90715703165792</v>
      </c>
      <c r="K91" s="575" t="str">
        <f>IFERROR(J91/J96,"")</f>
        <v/>
      </c>
      <c r="L91" s="576"/>
      <c r="M91" s="575">
        <f t="shared" ref="M91:M102" si="45">IF(OR(J91=0,Q91=""),"",Q91/J91-1)</f>
        <v>-0.48482055209325348</v>
      </c>
      <c r="N91" s="576"/>
      <c r="O91" s="574"/>
      <c r="P91" s="574" cm="1">
        <f t="array" ref="P91">_xlfn.XLOOKUP(1,($B91=DistributionZone)*($G91=Description)*($I$5=Desc_FixedOrVar),valuesFY,0)</f>
        <v>3.1513746555504474</v>
      </c>
      <c r="Q91" s="574">
        <f t="shared" ref="Q91:Q102" si="46">IF(AND(O91="",P91=""),"",O91+P91*$F91/1000)</f>
        <v>10.255758168962434</v>
      </c>
      <c r="R91" s="575">
        <f>IFERROR(Q91/Q96,"")</f>
        <v>0.28063902917303041</v>
      </c>
      <c r="S91" s="575"/>
      <c r="T91" s="634"/>
      <c r="U91" s="575"/>
      <c r="V91" s="575"/>
      <c r="W91" s="575"/>
      <c r="X91" s="575"/>
      <c r="Y91" s="575"/>
      <c r="Z91" s="575"/>
      <c r="AA91" s="575"/>
      <c r="AB91" s="575"/>
      <c r="AC91" s="575"/>
      <c r="AD91" s="575"/>
      <c r="AE91" s="575"/>
      <c r="AF91" s="575"/>
      <c r="AG91" s="575"/>
      <c r="AH91" s="575"/>
      <c r="AI91" s="575"/>
      <c r="AJ91" s="575"/>
    </row>
    <row r="92" spans="1:36" s="627" customFormat="1" x14ac:dyDescent="0.35">
      <c r="A92" s="30"/>
      <c r="B92" s="30" t="str">
        <f t="shared" ref="B92:E92" si="47">B91</f>
        <v>Endeavour</v>
      </c>
      <c r="C92" s="30" t="str">
        <f t="shared" si="47"/>
        <v>Residential</v>
      </c>
      <c r="D92" s="30" t="str">
        <f t="shared" si="47"/>
        <v>time of use</v>
      </c>
      <c r="E92" s="570" t="str">
        <f t="shared" si="47"/>
        <v>time of use (Off-peak)</v>
      </c>
      <c r="F92" s="485">
        <f>F91</f>
        <v>3254.3760390086245</v>
      </c>
      <c r="G92" s="570" t="s">
        <v>74</v>
      </c>
      <c r="H92" s="574"/>
      <c r="I92" s="574" cm="1">
        <f t="array" ref="I92">_xlfn.XLOOKUP(1,($B92=DistributionZone)*($G92=Description)*($I$5=Desc_FixedOrVar),valuesPY,0)</f>
        <v>5.1359999999999992</v>
      </c>
      <c r="J92" s="574">
        <f>IF(AND(H92="",I92=""),"",H92+I92*$F92/1000)</f>
        <v>16.714475336348293</v>
      </c>
      <c r="K92" s="575" t="str">
        <f>IFERROR(J92/J96,"")</f>
        <v/>
      </c>
      <c r="L92" s="576"/>
      <c r="M92" s="575">
        <f t="shared" si="45"/>
        <v>-0.1269470404984423</v>
      </c>
      <c r="N92" s="576"/>
      <c r="O92" s="574"/>
      <c r="P92" s="574" cm="1">
        <f t="array" ref="P92">_xlfn.XLOOKUP(1,($B92=DistributionZone)*($G92=Description)*($I$5=Desc_FixedOrVar),valuesFY,0)</f>
        <v>4.484</v>
      </c>
      <c r="Q92" s="574">
        <f t="shared" si="46"/>
        <v>14.592622158914672</v>
      </c>
      <c r="R92" s="575">
        <f>IFERROR(Q92/Q96,"")</f>
        <v>0.3993131710301413</v>
      </c>
      <c r="S92" s="575"/>
      <c r="T92" s="649"/>
      <c r="U92" s="575"/>
      <c r="V92" s="575"/>
      <c r="W92" s="575"/>
      <c r="X92" s="575"/>
      <c r="Y92" s="575"/>
      <c r="Z92" s="575"/>
      <c r="AA92" s="575"/>
      <c r="AB92" s="575"/>
      <c r="AC92" s="575"/>
      <c r="AD92" s="575"/>
      <c r="AE92" s="575"/>
      <c r="AF92" s="575"/>
      <c r="AG92" s="575"/>
      <c r="AH92" s="575"/>
      <c r="AI92" s="575"/>
      <c r="AJ92" s="575"/>
    </row>
    <row r="93" spans="1:36" s="627" customFormat="1" x14ac:dyDescent="0.35">
      <c r="A93" s="30"/>
      <c r="B93" s="30" t="str">
        <f t="shared" ref="B93:E93" si="48">B92</f>
        <v>Endeavour</v>
      </c>
      <c r="C93" s="30" t="str">
        <f t="shared" si="48"/>
        <v>Residential</v>
      </c>
      <c r="D93" s="30" t="str">
        <f t="shared" si="48"/>
        <v>time of use</v>
      </c>
      <c r="E93" s="570" t="str">
        <f t="shared" si="48"/>
        <v>time of use (Off-peak)</v>
      </c>
      <c r="F93" s="485">
        <f>F92</f>
        <v>3254.3760390086245</v>
      </c>
      <c r="G93" s="570" t="s">
        <v>75</v>
      </c>
      <c r="H93" s="574"/>
      <c r="I93" s="574" cm="1">
        <f t="array" ref="I93">_xlfn.XLOOKUP(1,($B93=DistributionZone)*($G93=Description)*($I$5=Desc_FixedOrVar),valuesPY,0)</f>
        <v>2.1292191637289464</v>
      </c>
      <c r="J93" s="574">
        <f>IF(AND(H93="",I93=""),"",H93+I93*$F93/1000)</f>
        <v>6.9292798282374646</v>
      </c>
      <c r="K93" s="575" t="str">
        <f>IFERROR(J93/J96,"")</f>
        <v/>
      </c>
      <c r="L93" s="576"/>
      <c r="M93" s="575">
        <f t="shared" si="45"/>
        <v>0.30545066908580987</v>
      </c>
      <c r="N93" s="576"/>
      <c r="O93" s="574"/>
      <c r="P93" s="574" cm="1">
        <f t="array" ref="P93">_xlfn.XLOOKUP(1,($B93=DistributionZone)*($G93=Description)*($I$5=Desc_FixedOrVar),valuesFY,0)</f>
        <v>2.7795905819202815</v>
      </c>
      <c r="Q93" s="574">
        <f t="shared" si="46"/>
        <v>9.0458329880554036</v>
      </c>
      <c r="R93" s="575">
        <f>IFERROR(Q93/Q96,"")</f>
        <v>0.24753058194293115</v>
      </c>
      <c r="S93" s="575"/>
      <c r="T93" s="649"/>
      <c r="U93" s="575"/>
      <c r="V93" s="575"/>
      <c r="W93" s="575"/>
      <c r="X93" s="575"/>
      <c r="Y93" s="575"/>
      <c r="Z93" s="575"/>
      <c r="AA93" s="575"/>
      <c r="AB93" s="575"/>
      <c r="AC93" s="575"/>
      <c r="AD93" s="575"/>
      <c r="AE93" s="575"/>
      <c r="AF93" s="575"/>
      <c r="AG93" s="575"/>
      <c r="AH93" s="575"/>
      <c r="AI93" s="575"/>
      <c r="AJ93" s="575"/>
    </row>
    <row r="94" spans="1:36" s="627" customFormat="1" x14ac:dyDescent="0.35">
      <c r="A94" s="30"/>
      <c r="B94" s="30" t="str">
        <f t="shared" ref="B94:E96" si="49">B93</f>
        <v>Endeavour</v>
      </c>
      <c r="C94" s="30" t="str">
        <f t="shared" si="49"/>
        <v>Residential</v>
      </c>
      <c r="D94" s="30" t="str">
        <f t="shared" si="49"/>
        <v>time of use</v>
      </c>
      <c r="E94" s="570" t="str">
        <f t="shared" si="49"/>
        <v>time of use (Off-peak)</v>
      </c>
      <c r="F94" s="485">
        <f>F93</f>
        <v>3254.3760390086245</v>
      </c>
      <c r="G94" s="570" t="s">
        <v>155</v>
      </c>
      <c r="H94" s="574"/>
      <c r="I94" s="574" cm="1">
        <f t="array" ref="I94">_xlfn.XLOOKUP(1,($B94=DistributionZone)*($G94=Description)*($I$5=Desc_FixedOrVar),valuesPY,0)</f>
        <v>1.8634456011480964</v>
      </c>
      <c r="J94" s="574">
        <f>IF(AND(H94="",I94=""),"",H94+I94*$F94/1000)</f>
        <v>6.0643527143723865</v>
      </c>
      <c r="K94" s="575" t="str">
        <f>IFERROR(J94/J96,"")</f>
        <v/>
      </c>
      <c r="L94" s="576"/>
      <c r="M94" s="575">
        <f t="shared" si="45"/>
        <v>-0.8994584724775363</v>
      </c>
      <c r="N94" s="576"/>
      <c r="O94" s="574"/>
      <c r="P94" s="574" cm="1">
        <f t="array" ref="P94">_xlfn.XLOOKUP(1,($B94=DistributionZone)*($G94=Description)*($I$5=Desc_FixedOrVar),valuesFY,0)</f>
        <v>0.18735366719444529</v>
      </c>
      <c r="Q94" s="574">
        <f t="shared" si="46"/>
        <v>0.60971928533799891</v>
      </c>
      <c r="R94" s="575">
        <f>IFERROR(Q94/Q96,"")</f>
        <v>1.6684386028443288E-2</v>
      </c>
      <c r="S94" s="575"/>
      <c r="T94" s="649"/>
      <c r="U94" s="575"/>
      <c r="V94" s="575"/>
      <c r="W94" s="575"/>
      <c r="X94" s="575"/>
      <c r="Y94" s="575"/>
      <c r="Z94" s="575"/>
      <c r="AA94" s="575"/>
      <c r="AB94" s="575"/>
      <c r="AC94" s="575"/>
      <c r="AD94" s="575"/>
      <c r="AE94" s="575"/>
      <c r="AF94" s="575"/>
      <c r="AG94" s="575"/>
      <c r="AH94" s="575"/>
      <c r="AI94" s="575"/>
      <c r="AJ94" s="575"/>
    </row>
    <row r="95" spans="1:36" s="627" customFormat="1" x14ac:dyDescent="0.35">
      <c r="A95" s="30"/>
      <c r="B95" s="30" t="str">
        <f t="shared" ref="B95:D95" si="50">B94</f>
        <v>Endeavour</v>
      </c>
      <c r="C95" s="30" t="str">
        <f t="shared" si="50"/>
        <v>Residential</v>
      </c>
      <c r="D95" s="30" t="str">
        <f t="shared" si="50"/>
        <v>time of use</v>
      </c>
      <c r="E95" s="570" t="str">
        <f t="shared" si="49"/>
        <v>time of use (Off-peak)</v>
      </c>
      <c r="F95" s="485">
        <f>F94</f>
        <v>3254.3760390086245</v>
      </c>
      <c r="G95" s="570" t="s">
        <v>72</v>
      </c>
      <c r="H95" s="574"/>
      <c r="I95" s="574" cm="1">
        <f t="array" ref="I95">_xlfn.XLOOKUP(1,($B95=DistributionZone)*($C95=CustomerType)*($D95=tariffL2)*($G95=Description)*($I$5=Desc_FixedOrVar),valuesPY,0)*SUM(I91:I94)</f>
        <v>0</v>
      </c>
      <c r="J95" s="574">
        <f>IF(AND(H95="",I95=""),"",H95+I95*$F95/1000)</f>
        <v>0</v>
      </c>
      <c r="K95" s="575" t="str">
        <f>IFERROR(J95/J96,"")</f>
        <v/>
      </c>
      <c r="L95" s="576"/>
      <c r="M95" s="575" t="str">
        <f t="shared" si="45"/>
        <v/>
      </c>
      <c r="N95" s="576"/>
      <c r="O95" s="574"/>
      <c r="P95" s="574" cm="1">
        <f t="array" ref="P95">_xlfn.XLOOKUP(1,($B95=DistributionZone)*($C95=CustomerType)*($D95=tariffL2)*($G95=Description)*($P$5=Desc_FixedOrVar),valuesFY,0)*SUM(P91:P94)</f>
        <v>0.62696258492920598</v>
      </c>
      <c r="Q95" s="574">
        <f t="shared" si="46"/>
        <v>2.0403720137485175</v>
      </c>
      <c r="R95" s="575">
        <f>IFERROR(Q95/Q96,"")</f>
        <v>5.5832831825453941E-2</v>
      </c>
      <c r="S95" s="575"/>
      <c r="T95" s="649"/>
      <c r="U95" s="575"/>
      <c r="V95" s="575"/>
      <c r="W95" s="575"/>
      <c r="X95" s="575"/>
      <c r="Y95" s="575"/>
      <c r="Z95" s="575"/>
      <c r="AA95" s="575"/>
      <c r="AB95" s="575"/>
      <c r="AC95" s="575"/>
      <c r="AD95" s="575"/>
      <c r="AE95" s="575"/>
      <c r="AF95" s="575"/>
      <c r="AG95" s="575"/>
      <c r="AH95" s="575"/>
      <c r="AI95" s="575"/>
      <c r="AJ95" s="575"/>
    </row>
    <row r="96" spans="1:36" s="627" customFormat="1" x14ac:dyDescent="0.35">
      <c r="A96" s="30"/>
      <c r="B96" s="30" t="str">
        <f t="shared" ref="B96:D96" si="51">B95</f>
        <v>Endeavour</v>
      </c>
      <c r="C96" s="30" t="str">
        <f t="shared" si="51"/>
        <v>Residential</v>
      </c>
      <c r="D96" s="30" t="str">
        <f t="shared" si="51"/>
        <v>time of use</v>
      </c>
      <c r="E96" s="570" t="str">
        <f t="shared" si="49"/>
        <v>time of use (Off-peak)</v>
      </c>
      <c r="F96" s="485">
        <f>F95</f>
        <v>3254.3760390086245</v>
      </c>
      <c r="G96" s="571" t="s">
        <v>55</v>
      </c>
      <c r="H96" s="577">
        <f>SUM(H91:H95)</f>
        <v>0</v>
      </c>
      <c r="I96" s="577">
        <f>IF($H$3=PY,0,SUM(I91:I95))</f>
        <v>0</v>
      </c>
      <c r="J96" s="577">
        <f>IF($H$3=PY,0,SUM(J91:J95))</f>
        <v>0</v>
      </c>
      <c r="K96" s="578"/>
      <c r="L96" s="580"/>
      <c r="M96" s="578" t="str">
        <f t="shared" si="45"/>
        <v/>
      </c>
      <c r="N96" s="580"/>
      <c r="O96" s="577">
        <f>SUM(O91:O95)</f>
        <v>0</v>
      </c>
      <c r="P96" s="577">
        <f>SUM(P91:P95)</f>
        <v>11.22928148959438</v>
      </c>
      <c r="Q96" s="577">
        <f t="shared" si="46"/>
        <v>36.544304615019023</v>
      </c>
      <c r="R96" s="578"/>
      <c r="S96" s="578"/>
      <c r="T96" s="650"/>
      <c r="U96" s="578"/>
      <c r="V96" s="578"/>
      <c r="W96" s="578"/>
      <c r="X96" s="578"/>
      <c r="Y96" s="578"/>
      <c r="Z96" s="578"/>
      <c r="AA96" s="578"/>
      <c r="AB96" s="578"/>
      <c r="AC96" s="578"/>
      <c r="AD96" s="578"/>
      <c r="AE96" s="578"/>
      <c r="AF96" s="578"/>
      <c r="AG96" s="578"/>
      <c r="AH96" s="578"/>
      <c r="AI96" s="578"/>
      <c r="AJ96" s="578"/>
    </row>
    <row r="97" spans="1:36" s="627" customFormat="1" x14ac:dyDescent="0.35">
      <c r="A97" s="30"/>
      <c r="B97" s="30" t="str">
        <f t="shared" ref="B97:D97" si="52">B96</f>
        <v>Endeavour</v>
      </c>
      <c r="C97" s="30" t="str">
        <f t="shared" si="52"/>
        <v>Residential</v>
      </c>
      <c r="D97" s="30" t="str">
        <f t="shared" si="52"/>
        <v>time of use</v>
      </c>
      <c r="E97" s="615" t="s">
        <v>280</v>
      </c>
      <c r="F97" s="485" cm="1">
        <f t="array" ref="F97">_xlfn.XLOOKUP(1,($B97=DistributionZone)*($C97=CustomerType)*($D97=tariffL2)*($F$5=Description),valuesPY)*_xlfn.XLOOKUP(1,($B97=DistributionZone)*($C97=CustomerType)*($D97=tariffL2)*($E97=tariffType)*("Usage proportion"=Description),valuesFY)</f>
        <v>327.11329612094818</v>
      </c>
      <c r="G97" s="570" t="s">
        <v>73</v>
      </c>
      <c r="H97" s="574"/>
      <c r="I97" s="574" cm="1">
        <f t="array" ref="I97">_xlfn.XLOOKUP(1,($B97=DistributionZone)*($G97=Description)*($I$5=Desc_FixedOrVar),valuesPY,0)</f>
        <v>6.1170426505850894</v>
      </c>
      <c r="J97" s="574">
        <f>IF(AND(H97="",I97=""),"",H97+I97*$F97/1000)</f>
        <v>2.00096598394531</v>
      </c>
      <c r="K97" s="575" t="str">
        <f>IFERROR(J97/J102,"")</f>
        <v/>
      </c>
      <c r="L97" s="576"/>
      <c r="M97" s="575">
        <f t="shared" si="45"/>
        <v>-0.48482055209325348</v>
      </c>
      <c r="N97" s="576"/>
      <c r="O97" s="574"/>
      <c r="P97" s="574" cm="1">
        <f t="array" ref="P97">_xlfn.XLOOKUP(1,($B97=DistributionZone)*($G97=Description)*($I$5=Desc_FixedOrVar),valuesFY,0)</f>
        <v>3.1513746555504474</v>
      </c>
      <c r="Q97" s="574">
        <f t="shared" si="46"/>
        <v>1.0308565508891245</v>
      </c>
      <c r="R97" s="575">
        <f>IFERROR(Q97/Q102,"")</f>
        <v>0.28063902917303041</v>
      </c>
      <c r="S97" s="575"/>
      <c r="T97" s="634"/>
      <c r="U97" s="575"/>
      <c r="V97" s="575"/>
      <c r="W97" s="575"/>
      <c r="X97" s="575"/>
      <c r="Y97" s="575"/>
      <c r="Z97" s="575"/>
      <c r="AA97" s="575"/>
      <c r="AB97" s="575"/>
      <c r="AC97" s="575"/>
      <c r="AD97" s="575"/>
      <c r="AE97" s="575"/>
      <c r="AF97" s="575"/>
      <c r="AG97" s="575"/>
      <c r="AH97" s="575"/>
      <c r="AI97" s="575"/>
      <c r="AJ97" s="575"/>
    </row>
    <row r="98" spans="1:36" s="627" customFormat="1" x14ac:dyDescent="0.35">
      <c r="A98" s="30"/>
      <c r="B98" s="30" t="str">
        <f t="shared" ref="B98:E98" si="53">B97</f>
        <v>Endeavour</v>
      </c>
      <c r="C98" s="30" t="str">
        <f t="shared" si="53"/>
        <v>Residential</v>
      </c>
      <c r="D98" s="30" t="str">
        <f t="shared" si="53"/>
        <v>time of use</v>
      </c>
      <c r="E98" s="570" t="str">
        <f t="shared" si="53"/>
        <v>time of use (HS Peak)</v>
      </c>
      <c r="F98" s="485">
        <f>F97</f>
        <v>327.11329612094818</v>
      </c>
      <c r="G98" s="570" t="s">
        <v>74</v>
      </c>
      <c r="H98" s="574"/>
      <c r="I98" s="574" cm="1">
        <f t="array" ref="I98">_xlfn.XLOOKUP(1,($B98=DistributionZone)*($G98=Description)*($I$5=Desc_FixedOrVar),valuesPY,0)</f>
        <v>5.1359999999999992</v>
      </c>
      <c r="J98" s="574">
        <f>IF(AND(H98="",I98=""),"",H98+I98*$F98/1000)</f>
        <v>1.6800538888771896</v>
      </c>
      <c r="K98" s="575" t="str">
        <f>IFERROR(J98/J102,"")</f>
        <v/>
      </c>
      <c r="L98" s="576"/>
      <c r="M98" s="575">
        <f t="shared" si="45"/>
        <v>-0.1269470404984423</v>
      </c>
      <c r="N98" s="576"/>
      <c r="O98" s="574"/>
      <c r="P98" s="574" cm="1">
        <f t="array" ref="P98">_xlfn.XLOOKUP(1,($B98=DistributionZone)*($G98=Description)*($I$5=Desc_FixedOrVar),valuesFY,0)</f>
        <v>4.484</v>
      </c>
      <c r="Q98" s="574">
        <f t="shared" si="46"/>
        <v>1.4667760198063315</v>
      </c>
      <c r="R98" s="575">
        <f>IFERROR(Q98/Q102,"")</f>
        <v>0.3993131710301413</v>
      </c>
      <c r="S98" s="575"/>
      <c r="T98" s="649"/>
      <c r="U98" s="575"/>
      <c r="V98" s="575"/>
      <c r="W98" s="575"/>
      <c r="X98" s="575"/>
      <c r="Y98" s="575"/>
      <c r="Z98" s="575"/>
      <c r="AA98" s="575"/>
      <c r="AB98" s="575"/>
      <c r="AC98" s="575"/>
      <c r="AD98" s="575"/>
      <c r="AE98" s="575"/>
      <c r="AF98" s="575"/>
      <c r="AG98" s="575"/>
      <c r="AH98" s="575"/>
      <c r="AI98" s="575"/>
      <c r="AJ98" s="575"/>
    </row>
    <row r="99" spans="1:36" s="627" customFormat="1" x14ac:dyDescent="0.35">
      <c r="A99" s="30"/>
      <c r="B99" s="30" t="str">
        <f t="shared" ref="B99:E99" si="54">B98</f>
        <v>Endeavour</v>
      </c>
      <c r="C99" s="30" t="str">
        <f t="shared" si="54"/>
        <v>Residential</v>
      </c>
      <c r="D99" s="30" t="str">
        <f t="shared" si="54"/>
        <v>time of use</v>
      </c>
      <c r="E99" s="570" t="str">
        <f t="shared" si="54"/>
        <v>time of use (HS Peak)</v>
      </c>
      <c r="F99" s="485">
        <f>F98</f>
        <v>327.11329612094818</v>
      </c>
      <c r="G99" s="570" t="s">
        <v>75</v>
      </c>
      <c r="H99" s="574"/>
      <c r="I99" s="574" cm="1">
        <f t="array" ref="I99">_xlfn.XLOOKUP(1,($B99=DistributionZone)*($G99=Description)*($I$5=Desc_FixedOrVar),valuesPY,0)</f>
        <v>2.1292191637289464</v>
      </c>
      <c r="J99" s="574">
        <f>IF(AND(H99="",I99=""),"",H99+I99*$F99/1000)</f>
        <v>0.6964958988112645</v>
      </c>
      <c r="K99" s="575" t="str">
        <f>IFERROR(J99/J102,"")</f>
        <v/>
      </c>
      <c r="L99" s="576"/>
      <c r="M99" s="575">
        <f t="shared" si="45"/>
        <v>0.30545066908580965</v>
      </c>
      <c r="N99" s="576"/>
      <c r="O99" s="574"/>
      <c r="P99" s="574" cm="1">
        <f t="array" ref="P99">_xlfn.XLOOKUP(1,($B99=DistributionZone)*($G99=Description)*($I$5=Desc_FixedOrVar),valuesFY,0)</f>
        <v>2.7795905819202815</v>
      </c>
      <c r="Q99" s="574">
        <f t="shared" si="46"/>
        <v>0.90924103711868764</v>
      </c>
      <c r="R99" s="575">
        <f>IFERROR(Q99/Q102,"")</f>
        <v>0.24753058194293115</v>
      </c>
      <c r="S99" s="575"/>
      <c r="T99" s="649"/>
      <c r="U99" s="575"/>
      <c r="V99" s="575"/>
      <c r="W99" s="575"/>
      <c r="X99" s="575"/>
      <c r="Y99" s="575"/>
      <c r="Z99" s="575"/>
      <c r="AA99" s="575"/>
      <c r="AB99" s="575"/>
      <c r="AC99" s="575"/>
      <c r="AD99" s="575"/>
      <c r="AE99" s="575"/>
      <c r="AF99" s="575"/>
      <c r="AG99" s="575"/>
      <c r="AH99" s="575"/>
      <c r="AI99" s="575"/>
      <c r="AJ99" s="575"/>
    </row>
    <row r="100" spans="1:36" s="627" customFormat="1" x14ac:dyDescent="0.35">
      <c r="A100" s="30"/>
      <c r="B100" s="30" t="str">
        <f t="shared" ref="B100:E100" si="55">B99</f>
        <v>Endeavour</v>
      </c>
      <c r="C100" s="30" t="str">
        <f t="shared" si="55"/>
        <v>Residential</v>
      </c>
      <c r="D100" s="30" t="str">
        <f t="shared" si="55"/>
        <v>time of use</v>
      </c>
      <c r="E100" s="570" t="str">
        <f t="shared" si="55"/>
        <v>time of use (HS Peak)</v>
      </c>
      <c r="F100" s="485">
        <f>F99</f>
        <v>327.11329612094818</v>
      </c>
      <c r="G100" s="570" t="s">
        <v>155</v>
      </c>
      <c r="H100" s="574"/>
      <c r="I100" s="574" cm="1">
        <f t="array" ref="I100">_xlfn.XLOOKUP(1,($B100=DistributionZone)*($G100=Description)*($I$5=Desc_FixedOrVar),valuesPY,0)</f>
        <v>1.8634456011480964</v>
      </c>
      <c r="J100" s="574">
        <f>IF(AND(H100="",I100=""),"",H100+I100*$F100/1000)</f>
        <v>0.60955783273363562</v>
      </c>
      <c r="K100" s="575" t="str">
        <f>IFERROR(J100/J102,"")</f>
        <v/>
      </c>
      <c r="L100" s="576"/>
      <c r="M100" s="575">
        <f t="shared" si="45"/>
        <v>-0.8994584724775363</v>
      </c>
      <c r="N100" s="576"/>
      <c r="O100" s="574"/>
      <c r="P100" s="574" cm="1">
        <f t="array" ref="P100">_xlfn.XLOOKUP(1,($B100=DistributionZone)*($G100=Description)*($I$5=Desc_FixedOrVar),valuesFY,0)</f>
        <v>0.18735366719444529</v>
      </c>
      <c r="Q100" s="574">
        <f t="shared" si="46"/>
        <v>6.1285875616322157E-2</v>
      </c>
      <c r="R100" s="575">
        <f>IFERROR(Q100/Q102,"")</f>
        <v>1.6684386028443288E-2</v>
      </c>
      <c r="S100" s="575"/>
      <c r="T100" s="649"/>
      <c r="U100" s="575"/>
      <c r="V100" s="575"/>
      <c r="W100" s="575"/>
      <c r="X100" s="575"/>
      <c r="Y100" s="575"/>
      <c r="Z100" s="575"/>
      <c r="AA100" s="575"/>
      <c r="AB100" s="575"/>
      <c r="AC100" s="575"/>
      <c r="AD100" s="575"/>
      <c r="AE100" s="575"/>
      <c r="AF100" s="575"/>
      <c r="AG100" s="575"/>
      <c r="AH100" s="575"/>
      <c r="AI100" s="575"/>
      <c r="AJ100" s="575"/>
    </row>
    <row r="101" spans="1:36" s="627" customFormat="1" x14ac:dyDescent="0.35">
      <c r="A101" s="30"/>
      <c r="B101" s="30" t="str">
        <f t="shared" ref="B101:E101" si="56">B100</f>
        <v>Endeavour</v>
      </c>
      <c r="C101" s="30" t="str">
        <f t="shared" si="56"/>
        <v>Residential</v>
      </c>
      <c r="D101" s="30" t="str">
        <f t="shared" si="56"/>
        <v>time of use</v>
      </c>
      <c r="E101" s="570" t="str">
        <f t="shared" si="56"/>
        <v>time of use (HS Peak)</v>
      </c>
      <c r="F101" s="485">
        <f>F100</f>
        <v>327.11329612094818</v>
      </c>
      <c r="G101" s="570" t="s">
        <v>72</v>
      </c>
      <c r="H101" s="574"/>
      <c r="I101" s="574" cm="1">
        <f t="array" ref="I101">_xlfn.XLOOKUP(1,($B101=DistributionZone)*($C101=CustomerType)*($D101=tariffL2)*($G101=Description)*($I$5=Desc_FixedOrVar),valuesPY,0)*SUM(I97:I100)</f>
        <v>0</v>
      </c>
      <c r="J101" s="574">
        <f>IF(AND(H101="",I101=""),"",H101+I101*$F101/1000)</f>
        <v>0</v>
      </c>
      <c r="K101" s="575" t="str">
        <f>IFERROR(J101/J102,"")</f>
        <v/>
      </c>
      <c r="L101" s="576"/>
      <c r="M101" s="575" t="str">
        <f t="shared" si="45"/>
        <v/>
      </c>
      <c r="N101" s="576"/>
      <c r="O101" s="574"/>
      <c r="P101" s="574" cm="1">
        <f t="array" ref="P101">_xlfn.XLOOKUP(1,($B101=DistributionZone)*($C101=CustomerType)*($D101=tariffL2)*($G101=Description)*($P$5=Desc_FixedOrVar),valuesFY,0)*SUM(P97:P100)</f>
        <v>0.62696258492920598</v>
      </c>
      <c r="Q101" s="574">
        <f t="shared" si="46"/>
        <v>0.20508779770070248</v>
      </c>
      <c r="R101" s="575">
        <f>IFERROR(Q101/Q102,"")</f>
        <v>5.5832831825453955E-2</v>
      </c>
      <c r="S101" s="575"/>
      <c r="T101" s="649"/>
      <c r="U101" s="575"/>
      <c r="V101" s="575"/>
      <c r="W101" s="575"/>
      <c r="X101" s="575"/>
      <c r="Y101" s="575"/>
      <c r="Z101" s="575"/>
      <c r="AA101" s="575"/>
      <c r="AB101" s="575"/>
      <c r="AC101" s="575"/>
      <c r="AD101" s="575"/>
      <c r="AE101" s="575"/>
      <c r="AF101" s="575"/>
      <c r="AG101" s="575"/>
      <c r="AH101" s="575"/>
      <c r="AI101" s="575"/>
      <c r="AJ101" s="575"/>
    </row>
    <row r="102" spans="1:36" s="627" customFormat="1" x14ac:dyDescent="0.35">
      <c r="A102" s="30"/>
      <c r="B102" s="30" t="str">
        <f t="shared" ref="B102:E102" si="57">B101</f>
        <v>Endeavour</v>
      </c>
      <c r="C102" s="30" t="str">
        <f t="shared" si="57"/>
        <v>Residential</v>
      </c>
      <c r="D102" s="30" t="str">
        <f t="shared" si="57"/>
        <v>time of use</v>
      </c>
      <c r="E102" s="570" t="str">
        <f t="shared" si="57"/>
        <v>time of use (HS Peak)</v>
      </c>
      <c r="F102" s="485">
        <f>F101</f>
        <v>327.11329612094818</v>
      </c>
      <c r="G102" s="571" t="s">
        <v>55</v>
      </c>
      <c r="H102" s="577">
        <f>SUM(H97:H101)</f>
        <v>0</v>
      </c>
      <c r="I102" s="577">
        <f>IF($H$3=PY,0,SUM(I97:I101))</f>
        <v>0</v>
      </c>
      <c r="J102" s="577">
        <f>IF($H$3=PY,0,SUM(J97:J101))</f>
        <v>0</v>
      </c>
      <c r="K102" s="578"/>
      <c r="L102" s="580"/>
      <c r="M102" s="578" t="str">
        <f t="shared" si="45"/>
        <v/>
      </c>
      <c r="N102" s="580"/>
      <c r="O102" s="577">
        <f>SUM(O97:O101)</f>
        <v>0</v>
      </c>
      <c r="P102" s="577">
        <f>SUM(P97:P101)</f>
        <v>11.22928148959438</v>
      </c>
      <c r="Q102" s="577">
        <f t="shared" si="46"/>
        <v>3.6732472811311681</v>
      </c>
      <c r="R102" s="578"/>
      <c r="S102" s="578"/>
      <c r="T102" s="650"/>
      <c r="U102" s="578"/>
      <c r="V102" s="578"/>
      <c r="W102" s="578"/>
      <c r="X102" s="578"/>
      <c r="Y102" s="578"/>
      <c r="Z102" s="578"/>
      <c r="AA102" s="578"/>
      <c r="AB102" s="578"/>
      <c r="AC102" s="578"/>
      <c r="AD102" s="578"/>
      <c r="AE102" s="578"/>
      <c r="AF102" s="578"/>
      <c r="AG102" s="578"/>
      <c r="AH102" s="578"/>
      <c r="AI102" s="578"/>
      <c r="AJ102" s="578"/>
    </row>
    <row r="103" spans="1:36" s="627" customFormat="1" x14ac:dyDescent="0.35">
      <c r="A103" s="30"/>
      <c r="B103" s="30" t="str">
        <f t="shared" ref="B103:D103" si="58">B102</f>
        <v>Endeavour</v>
      </c>
      <c r="C103" s="30" t="str">
        <f t="shared" si="58"/>
        <v>Residential</v>
      </c>
      <c r="D103" s="30" t="str">
        <f t="shared" si="58"/>
        <v>time of use</v>
      </c>
      <c r="E103" s="615" t="s">
        <v>281</v>
      </c>
      <c r="F103" s="485" cm="1">
        <f t="array" ref="F103">_xlfn.XLOOKUP(1,($B103=DistributionZone)*($C103=CustomerType)*($D103=tariffL2)*($F$5=Description),valuesPY)*_xlfn.XLOOKUP(1,($B103=DistributionZone)*($C103=CustomerType)*($D103=tariffL2)*($E103=tariffType)*("Usage proportion"=Description),valuesFY)</f>
        <v>481.04896488374737</v>
      </c>
      <c r="G103" s="570" t="s">
        <v>73</v>
      </c>
      <c r="H103" s="574"/>
      <c r="I103" s="574" cm="1">
        <f t="array" ref="I103">_xlfn.XLOOKUP(1,($B103=DistributionZone)*($G103=Description)*($I$5=Desc_FixedOrVar),valuesPY,0)</f>
        <v>6.1170426505850894</v>
      </c>
      <c r="J103" s="574">
        <f>IF(AND(H103="",I103=""),"",H103+I103*$F103/1000)</f>
        <v>2.9425970352136916</v>
      </c>
      <c r="K103" s="575" t="str">
        <f>IFERROR(J103/J108,"")</f>
        <v/>
      </c>
      <c r="L103" s="576"/>
      <c r="M103" s="575">
        <f t="shared" ref="M103:M108" si="59">IF(OR(J103=0,Q103=""),"",Q103/J103-1)</f>
        <v>-0.48482055209325348</v>
      </c>
      <c r="N103" s="576"/>
      <c r="O103" s="574"/>
      <c r="P103" s="574" cm="1">
        <f t="array" ref="P103">_xlfn.XLOOKUP(1,($B103=DistributionZone)*($G103=Description)*($I$5=Desc_FixedOrVar),valuesFY,0)</f>
        <v>3.1513746555504474</v>
      </c>
      <c r="Q103" s="574">
        <f t="shared" ref="Q103:Q108" si="60">IF(AND(O103="",P103=""),"",O103+P103*$F103/1000)</f>
        <v>1.5159655160134187</v>
      </c>
      <c r="R103" s="575">
        <f>IFERROR(Q103/Q108,"")</f>
        <v>0.28063902917303041</v>
      </c>
      <c r="S103" s="575"/>
      <c r="T103" s="634"/>
      <c r="U103" s="575"/>
      <c r="V103" s="575"/>
      <c r="W103" s="575"/>
      <c r="X103" s="575"/>
      <c r="Y103" s="575"/>
      <c r="Z103" s="575"/>
      <c r="AA103" s="575"/>
      <c r="AB103" s="575"/>
      <c r="AC103" s="575"/>
      <c r="AD103" s="575"/>
      <c r="AE103" s="575"/>
      <c r="AF103" s="575"/>
      <c r="AG103" s="575"/>
      <c r="AH103" s="575"/>
      <c r="AI103" s="575"/>
      <c r="AJ103" s="575"/>
    </row>
    <row r="104" spans="1:36" s="627" customFormat="1" x14ac:dyDescent="0.35">
      <c r="A104" s="30"/>
      <c r="B104" s="30" t="str">
        <f t="shared" ref="B104:E104" si="61">B103</f>
        <v>Endeavour</v>
      </c>
      <c r="C104" s="30" t="str">
        <f t="shared" si="61"/>
        <v>Residential</v>
      </c>
      <c r="D104" s="30" t="str">
        <f t="shared" si="61"/>
        <v>time of use</v>
      </c>
      <c r="E104" s="570" t="str">
        <f t="shared" si="61"/>
        <v>time of use (LS Peak)</v>
      </c>
      <c r="F104" s="485">
        <f>F103</f>
        <v>481.04896488374737</v>
      </c>
      <c r="G104" s="570" t="s">
        <v>74</v>
      </c>
      <c r="H104" s="574"/>
      <c r="I104" s="574" cm="1">
        <f t="array" ref="I104">_xlfn.XLOOKUP(1,($B104=DistributionZone)*($G104=Description)*($I$5=Desc_FixedOrVar),valuesPY,0)</f>
        <v>5.1359999999999992</v>
      </c>
      <c r="J104" s="574">
        <f>IF(AND(H104="",I104=""),"",H104+I104*$F104/1000)</f>
        <v>2.4706674836429259</v>
      </c>
      <c r="K104" s="575" t="str">
        <f>IFERROR(J104/J108,"")</f>
        <v/>
      </c>
      <c r="L104" s="576"/>
      <c r="M104" s="575">
        <f t="shared" si="59"/>
        <v>-0.1269470404984423</v>
      </c>
      <c r="N104" s="576"/>
      <c r="O104" s="574"/>
      <c r="P104" s="574" cm="1">
        <f t="array" ref="P104">_xlfn.XLOOKUP(1,($B104=DistributionZone)*($G104=Description)*($I$5=Desc_FixedOrVar),valuesFY,0)</f>
        <v>4.484</v>
      </c>
      <c r="Q104" s="574">
        <f t="shared" si="60"/>
        <v>2.157023558538723</v>
      </c>
      <c r="R104" s="575">
        <f>IFERROR(Q104/Q108,"")</f>
        <v>0.39931317103014125</v>
      </c>
      <c r="S104" s="575"/>
      <c r="T104" s="649"/>
      <c r="U104" s="575"/>
      <c r="V104" s="575"/>
      <c r="W104" s="575"/>
      <c r="X104" s="575"/>
      <c r="Y104" s="575"/>
      <c r="Z104" s="575"/>
      <c r="AA104" s="575"/>
      <c r="AB104" s="575"/>
      <c r="AC104" s="575"/>
      <c r="AD104" s="575"/>
      <c r="AE104" s="575"/>
      <c r="AF104" s="575"/>
      <c r="AG104" s="575"/>
      <c r="AH104" s="575"/>
      <c r="AI104" s="575"/>
      <c r="AJ104" s="575"/>
    </row>
    <row r="105" spans="1:36" s="627" customFormat="1" x14ac:dyDescent="0.35">
      <c r="A105" s="30"/>
      <c r="B105" s="30" t="str">
        <f t="shared" ref="B105:E105" si="62">B104</f>
        <v>Endeavour</v>
      </c>
      <c r="C105" s="30" t="str">
        <f t="shared" si="62"/>
        <v>Residential</v>
      </c>
      <c r="D105" s="30" t="str">
        <f t="shared" si="62"/>
        <v>time of use</v>
      </c>
      <c r="E105" s="570" t="str">
        <f t="shared" si="62"/>
        <v>time of use (LS Peak)</v>
      </c>
      <c r="F105" s="485">
        <f>F104</f>
        <v>481.04896488374737</v>
      </c>
      <c r="G105" s="570" t="s">
        <v>75</v>
      </c>
      <c r="H105" s="574"/>
      <c r="I105" s="574" cm="1">
        <f t="array" ref="I105">_xlfn.XLOOKUP(1,($B105=DistributionZone)*($G105=Description)*($I$5=Desc_FixedOrVar),valuesPY,0)</f>
        <v>2.1292191637289464</v>
      </c>
      <c r="J105" s="574">
        <f>IF(AND(H105="",I105=""),"",H105+I105*$F105/1000)</f>
        <v>1.024258674722448</v>
      </c>
      <c r="K105" s="575" t="str">
        <f>IFERROR(J105/J108,"")</f>
        <v/>
      </c>
      <c r="L105" s="576"/>
      <c r="M105" s="575">
        <f t="shared" si="59"/>
        <v>0.30545066908580965</v>
      </c>
      <c r="N105" s="576"/>
      <c r="O105" s="574"/>
      <c r="P105" s="574" cm="1">
        <f t="array" ref="P105">_xlfn.XLOOKUP(1,($B105=DistributionZone)*($G105=Description)*($I$5=Desc_FixedOrVar),valuesFY,0)</f>
        <v>2.7795905819202815</v>
      </c>
      <c r="Q105" s="574">
        <f t="shared" si="60"/>
        <v>1.3371191722333644</v>
      </c>
      <c r="R105" s="575">
        <f>IFERROR(Q105/Q108,"")</f>
        <v>0.24753058194293115</v>
      </c>
      <c r="S105" s="575"/>
      <c r="T105" s="649"/>
      <c r="U105" s="575"/>
      <c r="V105" s="575"/>
      <c r="W105" s="575"/>
      <c r="X105" s="575"/>
      <c r="Y105" s="575"/>
      <c r="Z105" s="575"/>
      <c r="AA105" s="575"/>
      <c r="AB105" s="575"/>
      <c r="AC105" s="575"/>
      <c r="AD105" s="575"/>
      <c r="AE105" s="575"/>
      <c r="AF105" s="575"/>
      <c r="AG105" s="575"/>
      <c r="AH105" s="575"/>
      <c r="AI105" s="575"/>
      <c r="AJ105" s="575"/>
    </row>
    <row r="106" spans="1:36" s="627" customFormat="1" x14ac:dyDescent="0.35">
      <c r="A106" s="30"/>
      <c r="B106" s="30" t="str">
        <f t="shared" ref="B106:E106" si="63">B105</f>
        <v>Endeavour</v>
      </c>
      <c r="C106" s="30" t="str">
        <f t="shared" si="63"/>
        <v>Residential</v>
      </c>
      <c r="D106" s="30" t="str">
        <f t="shared" si="63"/>
        <v>time of use</v>
      </c>
      <c r="E106" s="570" t="str">
        <f t="shared" si="63"/>
        <v>time of use (LS Peak)</v>
      </c>
      <c r="F106" s="485">
        <f>F105</f>
        <v>481.04896488374737</v>
      </c>
      <c r="G106" s="570" t="s">
        <v>155</v>
      </c>
      <c r="H106" s="574"/>
      <c r="I106" s="574" cm="1">
        <f t="array" ref="I106">_xlfn.XLOOKUP(1,($B106=DistributionZone)*($G106=Description)*($I$5=Desc_FixedOrVar),valuesPY,0)</f>
        <v>1.8634456011480964</v>
      </c>
      <c r="J106" s="574">
        <f>IF(AND(H106="",I106=""),"",H106+I106*$F106/1000)</f>
        <v>0.89640857754946413</v>
      </c>
      <c r="K106" s="575" t="str">
        <f>IFERROR(J106/J108,"")</f>
        <v/>
      </c>
      <c r="L106" s="576"/>
      <c r="M106" s="575">
        <f t="shared" si="59"/>
        <v>-0.8994584724775363</v>
      </c>
      <c r="N106" s="576"/>
      <c r="O106" s="574"/>
      <c r="P106" s="574" cm="1">
        <f t="array" ref="P106">_xlfn.XLOOKUP(1,($B106=DistributionZone)*($G106=Description)*($I$5=Desc_FixedOrVar),valuesFY,0)</f>
        <v>0.18735366719444529</v>
      </c>
      <c r="Q106" s="574">
        <f t="shared" si="60"/>
        <v>9.0126287671061997E-2</v>
      </c>
      <c r="R106" s="575">
        <f>IFERROR(Q106/Q108,"")</f>
        <v>1.6684386028443285E-2</v>
      </c>
      <c r="S106" s="575"/>
      <c r="T106" s="649"/>
      <c r="U106" s="575"/>
      <c r="V106" s="575"/>
      <c r="W106" s="575"/>
      <c r="X106" s="575"/>
      <c r="Y106" s="575"/>
      <c r="Z106" s="575"/>
      <c r="AA106" s="575"/>
      <c r="AB106" s="575"/>
      <c r="AC106" s="575"/>
      <c r="AD106" s="575"/>
      <c r="AE106" s="575"/>
      <c r="AF106" s="575"/>
      <c r="AG106" s="575"/>
      <c r="AH106" s="575"/>
      <c r="AI106" s="575"/>
      <c r="AJ106" s="575"/>
    </row>
    <row r="107" spans="1:36" s="627" customFormat="1" x14ac:dyDescent="0.35">
      <c r="A107" s="30"/>
      <c r="B107" s="30" t="str">
        <f t="shared" ref="B107:E107" si="64">B106</f>
        <v>Endeavour</v>
      </c>
      <c r="C107" s="30" t="str">
        <f t="shared" si="64"/>
        <v>Residential</v>
      </c>
      <c r="D107" s="30" t="str">
        <f t="shared" si="64"/>
        <v>time of use</v>
      </c>
      <c r="E107" s="570" t="str">
        <f t="shared" si="64"/>
        <v>time of use (LS Peak)</v>
      </c>
      <c r="F107" s="485">
        <f>F106</f>
        <v>481.04896488374737</v>
      </c>
      <c r="G107" s="570" t="s">
        <v>72</v>
      </c>
      <c r="H107" s="574"/>
      <c r="I107" s="574" cm="1">
        <f t="array" ref="I107">_xlfn.XLOOKUP(1,($B107=DistributionZone)*($C107=CustomerType)*($D107=tariffL2)*($G107=Description)*($I$5=Desc_FixedOrVar),valuesPY,0)*SUM(I103:I106)</f>
        <v>0</v>
      </c>
      <c r="J107" s="574">
        <f>IF(AND(H107="",I107=""),"",H107+I107*$F107/1000)</f>
        <v>0</v>
      </c>
      <c r="K107" s="575" t="str">
        <f>IFERROR(J107/J108,"")</f>
        <v/>
      </c>
      <c r="L107" s="576"/>
      <c r="M107" s="575" t="str">
        <f t="shared" si="59"/>
        <v/>
      </c>
      <c r="N107" s="576"/>
      <c r="O107" s="574"/>
      <c r="P107" s="574" cm="1">
        <f t="array" ref="P107">_xlfn.XLOOKUP(1,($B107=DistributionZone)*($C107=CustomerType)*($D107=tariffL2)*($G107=Description)*($P$5=Desc_FixedOrVar),valuesFY,0)*SUM(P103:P106)</f>
        <v>0.62696258492920598</v>
      </c>
      <c r="Q107" s="574">
        <f t="shared" si="60"/>
        <v>0.30159970250103313</v>
      </c>
      <c r="R107" s="575">
        <f>IFERROR(Q107/Q108,"")</f>
        <v>5.5832831825453955E-2</v>
      </c>
      <c r="S107" s="575"/>
      <c r="T107" s="649"/>
      <c r="U107" s="575"/>
      <c r="V107" s="575"/>
      <c r="W107" s="575"/>
      <c r="X107" s="575"/>
      <c r="Y107" s="575"/>
      <c r="Z107" s="575"/>
      <c r="AA107" s="575"/>
      <c r="AB107" s="575"/>
      <c r="AC107" s="575"/>
      <c r="AD107" s="575"/>
      <c r="AE107" s="575"/>
      <c r="AF107" s="575"/>
      <c r="AG107" s="575"/>
      <c r="AH107" s="575"/>
      <c r="AI107" s="575"/>
      <c r="AJ107" s="575"/>
    </row>
    <row r="108" spans="1:36" s="627" customFormat="1" x14ac:dyDescent="0.35">
      <c r="A108" s="30"/>
      <c r="B108" s="30" t="str">
        <f t="shared" ref="B108:E108" si="65">B107</f>
        <v>Endeavour</v>
      </c>
      <c r="C108" s="30" t="str">
        <f t="shared" si="65"/>
        <v>Residential</v>
      </c>
      <c r="D108" s="30" t="str">
        <f t="shared" si="65"/>
        <v>time of use</v>
      </c>
      <c r="E108" s="570" t="str">
        <f t="shared" si="65"/>
        <v>time of use (LS Peak)</v>
      </c>
      <c r="F108" s="485">
        <f>F107</f>
        <v>481.04896488374737</v>
      </c>
      <c r="G108" s="571" t="s">
        <v>55</v>
      </c>
      <c r="H108" s="577">
        <f>SUM(H103:H107)</f>
        <v>0</v>
      </c>
      <c r="I108" s="577">
        <f>IF($H$3=PY,0,SUM(I103:I107))</f>
        <v>0</v>
      </c>
      <c r="J108" s="577">
        <f>IF($H$3=PY,0,SUM(J103:J107))</f>
        <v>0</v>
      </c>
      <c r="K108" s="578"/>
      <c r="L108" s="580"/>
      <c r="M108" s="578" t="str">
        <f t="shared" si="59"/>
        <v/>
      </c>
      <c r="N108" s="580"/>
      <c r="O108" s="577">
        <f>SUM(O103:O107)</f>
        <v>0</v>
      </c>
      <c r="P108" s="577">
        <f>SUM(P103:P107)</f>
        <v>11.22928148959438</v>
      </c>
      <c r="Q108" s="577">
        <f t="shared" si="60"/>
        <v>5.4018342369576011</v>
      </c>
      <c r="R108" s="578"/>
      <c r="S108" s="578"/>
      <c r="T108" s="650"/>
      <c r="U108" s="578"/>
      <c r="V108" s="578"/>
      <c r="W108" s="578"/>
      <c r="X108" s="578"/>
      <c r="Y108" s="578"/>
      <c r="Z108" s="578"/>
      <c r="AA108" s="578"/>
      <c r="AB108" s="578"/>
      <c r="AC108" s="578"/>
      <c r="AD108" s="578"/>
      <c r="AE108" s="578"/>
      <c r="AF108" s="578"/>
      <c r="AG108" s="578"/>
      <c r="AH108" s="578"/>
      <c r="AI108" s="578"/>
      <c r="AJ108" s="578"/>
    </row>
    <row r="109" spans="1:36" s="627" customFormat="1" x14ac:dyDescent="0.35">
      <c r="A109" s="30"/>
      <c r="B109" s="30" t="str">
        <f t="shared" ref="B109:D109" si="66">B108</f>
        <v>Endeavour</v>
      </c>
      <c r="C109" s="30" t="str">
        <f t="shared" si="66"/>
        <v>Residential</v>
      </c>
      <c r="D109" s="30" t="str">
        <f t="shared" si="66"/>
        <v>time of use</v>
      </c>
      <c r="E109" s="615" t="s">
        <v>282</v>
      </c>
      <c r="F109" s="485" cm="1">
        <f t="array" ref="F109">_xlfn.XLOOKUP(1,($B109=DistributionZone)*($C109=CustomerType)*($D109=tariffL2)*($F$5=Description),valuesPY)*_xlfn.XLOOKUP(1,($B109=DistributionZone)*($C109=CustomerType)*($D109=tariffL2)*($E109=tariffType)*("Usage proportion"=Description),valuesFY)</f>
        <v>837.46169998667972</v>
      </c>
      <c r="G109" s="570" t="s">
        <v>73</v>
      </c>
      <c r="H109" s="574"/>
      <c r="I109" s="574" cm="1">
        <f t="array" ref="I109">_xlfn.XLOOKUP(1,($B109=DistributionZone)*($G109=Description)*($I$5=Desc_FixedOrVar),valuesPY,0)</f>
        <v>6.1170426505850894</v>
      </c>
      <c r="J109" s="574">
        <f>IF(AND(H109="",I109=""),"",H109+I109*$F109/1000)</f>
        <v>5.1227889370500144</v>
      </c>
      <c r="K109" s="575" t="str">
        <f>IFERROR(J109/J114,"")</f>
        <v/>
      </c>
      <c r="L109" s="576"/>
      <c r="M109" s="575">
        <f t="shared" ref="M109:M114" si="67">IF(OR(J109=0,Q109=""),"",Q109/J109-1)</f>
        <v>-0.48482055209325359</v>
      </c>
      <c r="N109" s="576"/>
      <c r="O109" s="574"/>
      <c r="P109" s="574" cm="1">
        <f t="array" ref="P109">_xlfn.XLOOKUP(1,($B109=DistributionZone)*($G109=Description)*($I$5=Desc_FixedOrVar),valuesFY,0)</f>
        <v>3.1513746555504474</v>
      </c>
      <c r="Q109" s="574">
        <f t="shared" ref="Q109:Q114" si="68">IF(AND(O109="",P109=""),"",O109+P109*$F109/1000)</f>
        <v>2.639155576332215</v>
      </c>
      <c r="R109" s="575">
        <f>IFERROR(Q109/Q114,"")</f>
        <v>0.28063902917303041</v>
      </c>
      <c r="S109" s="575"/>
      <c r="T109" s="634"/>
      <c r="U109" s="575"/>
      <c r="V109" s="575"/>
      <c r="W109" s="575"/>
      <c r="X109" s="575"/>
      <c r="Y109" s="575"/>
      <c r="Z109" s="575"/>
      <c r="AA109" s="575"/>
      <c r="AB109" s="575"/>
      <c r="AC109" s="575"/>
      <c r="AD109" s="575"/>
      <c r="AE109" s="575"/>
      <c r="AF109" s="575"/>
      <c r="AG109" s="575"/>
      <c r="AH109" s="575"/>
      <c r="AI109" s="575"/>
      <c r="AJ109" s="575"/>
    </row>
    <row r="110" spans="1:36" s="627" customFormat="1" x14ac:dyDescent="0.35">
      <c r="A110" s="30"/>
      <c r="B110" s="30" t="str">
        <f t="shared" ref="B110:E110" si="69">B109</f>
        <v>Endeavour</v>
      </c>
      <c r="C110" s="30" t="str">
        <f t="shared" si="69"/>
        <v>Residential</v>
      </c>
      <c r="D110" s="30" t="str">
        <f t="shared" si="69"/>
        <v>time of use</v>
      </c>
      <c r="E110" s="570" t="str">
        <f t="shared" si="69"/>
        <v>time of use (Solar soak)</v>
      </c>
      <c r="F110" s="485">
        <f>F109</f>
        <v>837.46169998667972</v>
      </c>
      <c r="G110" s="570" t="s">
        <v>74</v>
      </c>
      <c r="H110" s="574"/>
      <c r="I110" s="574" cm="1">
        <f t="array" ref="I110">_xlfn.XLOOKUP(1,($B110=DistributionZone)*($G110=Description)*($I$5=Desc_FixedOrVar),valuesPY,0)</f>
        <v>5.1359999999999992</v>
      </c>
      <c r="J110" s="574">
        <f>IF(AND(H110="",I110=""),"",H110+I110*$F110/1000)</f>
        <v>4.3012032911315865</v>
      </c>
      <c r="K110" s="575" t="str">
        <f>IFERROR(J110/J114,"")</f>
        <v/>
      </c>
      <c r="L110" s="576"/>
      <c r="M110" s="575">
        <f t="shared" si="67"/>
        <v>-0.1269470404984423</v>
      </c>
      <c r="N110" s="576"/>
      <c r="O110" s="574"/>
      <c r="P110" s="574" cm="1">
        <f t="array" ref="P110">_xlfn.XLOOKUP(1,($B110=DistributionZone)*($G110=Description)*($I$5=Desc_FixedOrVar),valuesFY,0)</f>
        <v>4.484</v>
      </c>
      <c r="Q110" s="574">
        <f t="shared" si="68"/>
        <v>3.7551782627402717</v>
      </c>
      <c r="R110" s="575">
        <f>IFERROR(Q110/Q114,"")</f>
        <v>0.39931317103014125</v>
      </c>
      <c r="S110" s="575"/>
      <c r="T110" s="649"/>
      <c r="U110" s="575"/>
      <c r="V110" s="575"/>
      <c r="W110" s="575"/>
      <c r="X110" s="575"/>
      <c r="Y110" s="575"/>
      <c r="Z110" s="575"/>
      <c r="AA110" s="575"/>
      <c r="AB110" s="575"/>
      <c r="AC110" s="575"/>
      <c r="AD110" s="575"/>
      <c r="AE110" s="575"/>
      <c r="AF110" s="575"/>
      <c r="AG110" s="575"/>
      <c r="AH110" s="575"/>
      <c r="AI110" s="575"/>
      <c r="AJ110" s="575"/>
    </row>
    <row r="111" spans="1:36" s="627" customFormat="1" x14ac:dyDescent="0.35">
      <c r="A111" s="30"/>
      <c r="B111" s="30" t="str">
        <f t="shared" ref="B111:E111" si="70">B110</f>
        <v>Endeavour</v>
      </c>
      <c r="C111" s="30" t="str">
        <f t="shared" si="70"/>
        <v>Residential</v>
      </c>
      <c r="D111" s="30" t="str">
        <f t="shared" si="70"/>
        <v>time of use</v>
      </c>
      <c r="E111" s="570" t="str">
        <f t="shared" si="70"/>
        <v>time of use (Solar soak)</v>
      </c>
      <c r="F111" s="485">
        <f>F110</f>
        <v>837.46169998667972</v>
      </c>
      <c r="G111" s="570" t="s">
        <v>75</v>
      </c>
      <c r="H111" s="574"/>
      <c r="I111" s="574" cm="1">
        <f t="array" ref="I111">_xlfn.XLOOKUP(1,($B111=DistributionZone)*($G111=Description)*($I$5=Desc_FixedOrVar),valuesPY,0)</f>
        <v>2.1292191637289464</v>
      </c>
      <c r="J111" s="574">
        <f>IF(AND(H111="",I111=""),"",H111+I111*$F111/1000)</f>
        <v>1.7831395005006601</v>
      </c>
      <c r="K111" s="575" t="str">
        <f>IFERROR(J111/J114,"")</f>
        <v/>
      </c>
      <c r="L111" s="576"/>
      <c r="M111" s="575">
        <f t="shared" si="67"/>
        <v>0.30545066908580965</v>
      </c>
      <c r="N111" s="576"/>
      <c r="O111" s="574"/>
      <c r="P111" s="574" cm="1">
        <f t="array" ref="P111">_xlfn.XLOOKUP(1,($B111=DistributionZone)*($G111=Description)*($I$5=Desc_FixedOrVar),valuesFY,0)</f>
        <v>2.7795905819202815</v>
      </c>
      <c r="Q111" s="574">
        <f t="shared" si="68"/>
        <v>2.3278006540019232</v>
      </c>
      <c r="R111" s="575">
        <f>IFERROR(Q111/Q114,"")</f>
        <v>0.24753058194293115</v>
      </c>
      <c r="S111" s="575"/>
      <c r="T111" s="649"/>
      <c r="U111" s="575"/>
      <c r="V111" s="575"/>
      <c r="W111" s="575"/>
      <c r="X111" s="575"/>
      <c r="Y111" s="575"/>
      <c r="Z111" s="575"/>
      <c r="AA111" s="575"/>
      <c r="AB111" s="575"/>
      <c r="AC111" s="575"/>
      <c r="AD111" s="575"/>
      <c r="AE111" s="575"/>
      <c r="AF111" s="575"/>
      <c r="AG111" s="575"/>
      <c r="AH111" s="575"/>
      <c r="AI111" s="575"/>
      <c r="AJ111" s="575"/>
    </row>
    <row r="112" spans="1:36" s="627" customFormat="1" x14ac:dyDescent="0.35">
      <c r="A112" s="30"/>
      <c r="B112" s="30" t="str">
        <f t="shared" ref="B112:E112" si="71">B111</f>
        <v>Endeavour</v>
      </c>
      <c r="C112" s="30" t="str">
        <f t="shared" si="71"/>
        <v>Residential</v>
      </c>
      <c r="D112" s="30" t="str">
        <f t="shared" si="71"/>
        <v>time of use</v>
      </c>
      <c r="E112" s="570" t="str">
        <f t="shared" si="71"/>
        <v>time of use (Solar soak)</v>
      </c>
      <c r="F112" s="485">
        <f>F111</f>
        <v>837.46169998667972</v>
      </c>
      <c r="G112" s="570" t="s">
        <v>155</v>
      </c>
      <c r="H112" s="574"/>
      <c r="I112" s="574" cm="1">
        <f t="array" ref="I112">_xlfn.XLOOKUP(1,($B112=DistributionZone)*($G112=Description)*($I$5=Desc_FixedOrVar),valuesPY,0)</f>
        <v>1.8634456011480964</v>
      </c>
      <c r="J112" s="574">
        <f>IF(AND(H112="",I112=""),"",H112+I112*$F112/1000)</f>
        <v>1.5605643209701852</v>
      </c>
      <c r="K112" s="575" t="str">
        <f>IFERROR(J112/J114,"")</f>
        <v/>
      </c>
      <c r="L112" s="576"/>
      <c r="M112" s="575">
        <f t="shared" si="67"/>
        <v>-0.8994584724775363</v>
      </c>
      <c r="N112" s="576"/>
      <c r="O112" s="574"/>
      <c r="P112" s="574" cm="1">
        <f t="array" ref="P112">_xlfn.XLOOKUP(1,($B112=DistributionZone)*($G112=Description)*($I$5=Desc_FixedOrVar),valuesFY,0)</f>
        <v>0.18735366719444529</v>
      </c>
      <c r="Q112" s="574">
        <f t="shared" si="68"/>
        <v>0.15690152062739879</v>
      </c>
      <c r="R112" s="575">
        <f>IFERROR(Q112/Q114,"")</f>
        <v>1.6684386028443288E-2</v>
      </c>
      <c r="S112" s="575"/>
      <c r="T112" s="649"/>
      <c r="U112" s="575"/>
      <c r="V112" s="575"/>
      <c r="W112" s="575"/>
      <c r="X112" s="575"/>
      <c r="Y112" s="575"/>
      <c r="Z112" s="575"/>
      <c r="AA112" s="575"/>
      <c r="AB112" s="575"/>
      <c r="AC112" s="575"/>
      <c r="AD112" s="575"/>
      <c r="AE112" s="575"/>
      <c r="AF112" s="575"/>
      <c r="AG112" s="575"/>
      <c r="AH112" s="575"/>
      <c r="AI112" s="575"/>
      <c r="AJ112" s="575"/>
    </row>
    <row r="113" spans="1:36" s="627" customFormat="1" x14ac:dyDescent="0.35">
      <c r="A113" s="30"/>
      <c r="B113" s="30" t="str">
        <f t="shared" ref="B113:E113" si="72">B112</f>
        <v>Endeavour</v>
      </c>
      <c r="C113" s="30" t="str">
        <f t="shared" si="72"/>
        <v>Residential</v>
      </c>
      <c r="D113" s="30" t="str">
        <f t="shared" si="72"/>
        <v>time of use</v>
      </c>
      <c r="E113" s="570" t="str">
        <f t="shared" si="72"/>
        <v>time of use (Solar soak)</v>
      </c>
      <c r="F113" s="485">
        <f>F112</f>
        <v>837.46169998667972</v>
      </c>
      <c r="G113" s="570" t="s">
        <v>72</v>
      </c>
      <c r="H113" s="574"/>
      <c r="I113" s="574" cm="1">
        <f t="array" ref="I113">_xlfn.XLOOKUP(1,($B113=DistributionZone)*($C113=CustomerType)*($D113=tariffL2)*($G113=Description)*($I$5=Desc_FixedOrVar),valuesPY,0)*SUM(I109:I112)</f>
        <v>0</v>
      </c>
      <c r="J113" s="574">
        <f>IF(AND(H113="",I113=""),"",H113+I113*$F113/1000)</f>
        <v>0</v>
      </c>
      <c r="K113" s="575" t="str">
        <f>IFERROR(J113/J114,"")</f>
        <v/>
      </c>
      <c r="L113" s="576"/>
      <c r="M113" s="575" t="str">
        <f t="shared" si="67"/>
        <v/>
      </c>
      <c r="N113" s="576"/>
      <c r="O113" s="574"/>
      <c r="P113" s="574" cm="1">
        <f t="array" ref="P113">_xlfn.XLOOKUP(1,($B113=DistributionZone)*($C113=CustomerType)*($D113=tariffL2)*($G113=Description)*($P$5=Desc_FixedOrVar),valuesFY,0)*SUM(P109:P112)</f>
        <v>0.62696258492920598</v>
      </c>
      <c r="Q113" s="574">
        <f t="shared" si="68"/>
        <v>0.52505715220285598</v>
      </c>
      <c r="R113" s="575">
        <f>IFERROR(Q113/Q114,"")</f>
        <v>5.5832831825453955E-2</v>
      </c>
      <c r="S113" s="575"/>
      <c r="T113" s="649"/>
      <c r="U113" s="575"/>
      <c r="V113" s="575"/>
      <c r="W113" s="575"/>
      <c r="X113" s="575"/>
      <c r="Y113" s="575"/>
      <c r="Z113" s="575"/>
      <c r="AA113" s="575"/>
      <c r="AB113" s="575"/>
      <c r="AC113" s="575"/>
      <c r="AD113" s="575"/>
      <c r="AE113" s="575"/>
      <c r="AF113" s="575"/>
      <c r="AG113" s="575"/>
      <c r="AH113" s="575"/>
      <c r="AI113" s="575"/>
      <c r="AJ113" s="575"/>
    </row>
    <row r="114" spans="1:36" s="627" customFormat="1" x14ac:dyDescent="0.35">
      <c r="A114" s="30"/>
      <c r="B114" s="30" t="str">
        <f t="shared" ref="B114:E114" si="73">B113</f>
        <v>Endeavour</v>
      </c>
      <c r="C114" s="30" t="str">
        <f t="shared" si="73"/>
        <v>Residential</v>
      </c>
      <c r="D114" s="30" t="str">
        <f t="shared" si="73"/>
        <v>time of use</v>
      </c>
      <c r="E114" s="570" t="str">
        <f t="shared" si="73"/>
        <v>time of use (Solar soak)</v>
      </c>
      <c r="F114" s="485">
        <f>F113</f>
        <v>837.46169998667972</v>
      </c>
      <c r="G114" s="571" t="s">
        <v>55</v>
      </c>
      <c r="H114" s="577">
        <f>SUM(H109:H113)</f>
        <v>0</v>
      </c>
      <c r="I114" s="577">
        <f>IF($H$3=PY,0,SUM(I109:I113))</f>
        <v>0</v>
      </c>
      <c r="J114" s="577">
        <f>IF($H$3=PY,0,SUM(J109:J113))</f>
        <v>0</v>
      </c>
      <c r="K114" s="578"/>
      <c r="L114" s="580"/>
      <c r="M114" s="578" t="str">
        <f t="shared" si="67"/>
        <v/>
      </c>
      <c r="N114" s="580"/>
      <c r="O114" s="577">
        <f>SUM(O109:O113)</f>
        <v>0</v>
      </c>
      <c r="P114" s="577">
        <f>SUM(P109:P113)</f>
        <v>11.22928148959438</v>
      </c>
      <c r="Q114" s="577">
        <f t="shared" si="68"/>
        <v>9.4040931659046638</v>
      </c>
      <c r="R114" s="578"/>
      <c r="S114" s="578"/>
      <c r="T114" s="650"/>
      <c r="U114" s="578"/>
      <c r="V114" s="578"/>
      <c r="W114" s="578"/>
      <c r="X114" s="578"/>
      <c r="Y114" s="578"/>
      <c r="Z114" s="578"/>
      <c r="AA114" s="578"/>
      <c r="AB114" s="578"/>
      <c r="AC114" s="578"/>
      <c r="AD114" s="578"/>
      <c r="AE114" s="578"/>
      <c r="AF114" s="578"/>
      <c r="AG114" s="578"/>
      <c r="AH114" s="578"/>
      <c r="AI114" s="578"/>
      <c r="AJ114" s="578"/>
    </row>
    <row r="115" spans="1:36" s="627" customFormat="1" x14ac:dyDescent="0.35">
      <c r="A115" s="30"/>
      <c r="B115" s="30"/>
      <c r="C115" s="30"/>
      <c r="D115" s="30"/>
      <c r="E115" s="570"/>
      <c r="F115" s="485">
        <f>SUM(F91,F97,F103,F109)</f>
        <v>4900</v>
      </c>
      <c r="G115" s="571" t="s">
        <v>55</v>
      </c>
      <c r="H115" s="577">
        <f>SUM(H114,H108,H102,H96)</f>
        <v>0</v>
      </c>
      <c r="I115" s="577">
        <f t="shared" ref="I115:J115" si="74">SUM(I114,I108,I102,I96)</f>
        <v>0</v>
      </c>
      <c r="J115" s="577">
        <f t="shared" si="74"/>
        <v>0</v>
      </c>
      <c r="K115" s="578"/>
      <c r="L115" s="580"/>
      <c r="M115" s="578"/>
      <c r="N115" s="580"/>
      <c r="O115" s="577">
        <f t="shared" ref="O115:Q115" si="75">SUM(O114,O108,O102,O96)</f>
        <v>0</v>
      </c>
      <c r="P115" s="577">
        <f t="shared" si="75"/>
        <v>44.917125958377518</v>
      </c>
      <c r="Q115" s="577">
        <f t="shared" si="75"/>
        <v>55.023479299012457</v>
      </c>
      <c r="R115" s="578"/>
      <c r="S115" s="578"/>
      <c r="T115" s="650"/>
      <c r="U115" s="578"/>
      <c r="V115" s="578"/>
      <c r="W115" s="578"/>
      <c r="X115" s="578"/>
      <c r="Y115" s="578"/>
      <c r="Z115" s="578"/>
      <c r="AA115" s="578"/>
      <c r="AB115" s="578"/>
      <c r="AC115" s="578"/>
      <c r="AD115" s="578"/>
      <c r="AE115" s="578"/>
      <c r="AF115" s="578"/>
      <c r="AG115" s="578"/>
      <c r="AH115" s="578"/>
      <c r="AI115" s="578"/>
      <c r="AJ115" s="578"/>
    </row>
    <row r="116" spans="1:36" s="627" customFormat="1" x14ac:dyDescent="0.35">
      <c r="A116" s="30"/>
      <c r="B116" s="30" t="str">
        <f t="shared" ref="B116:D116" si="76">B114</f>
        <v>Endeavour</v>
      </c>
      <c r="C116" s="30" t="str">
        <f t="shared" si="76"/>
        <v>Residential</v>
      </c>
      <c r="D116" s="30" t="str">
        <f t="shared" si="76"/>
        <v>time of use</v>
      </c>
      <c r="E116" s="570"/>
      <c r="F116" s="485"/>
      <c r="G116" s="570" t="s">
        <v>38</v>
      </c>
      <c r="H116" s="574"/>
      <c r="I116" s="574"/>
      <c r="J116" s="574">
        <f>J115*GST</f>
        <v>0</v>
      </c>
      <c r="K116" s="575"/>
      <c r="L116" s="582"/>
      <c r="M116" s="575"/>
      <c r="N116" s="582"/>
      <c r="O116" s="574"/>
      <c r="P116" s="574"/>
      <c r="Q116" s="574">
        <f>Q115*GST</f>
        <v>5.5023479299012461</v>
      </c>
      <c r="R116" s="578"/>
      <c r="S116" s="578"/>
      <c r="T116" s="650"/>
      <c r="U116" s="578"/>
      <c r="V116" s="578"/>
      <c r="W116" s="578"/>
      <c r="X116" s="578"/>
      <c r="Y116" s="578"/>
      <c r="Z116" s="578"/>
      <c r="AA116" s="578"/>
      <c r="AB116" s="578"/>
      <c r="AC116" s="578"/>
      <c r="AD116" s="578"/>
      <c r="AE116" s="578"/>
      <c r="AF116" s="578"/>
      <c r="AG116" s="578"/>
      <c r="AH116" s="578"/>
      <c r="AI116" s="578"/>
      <c r="AJ116" s="578"/>
    </row>
    <row r="117" spans="1:36" s="627" customFormat="1" x14ac:dyDescent="0.35">
      <c r="A117" s="30"/>
      <c r="B117" s="30" t="str">
        <f t="shared" ref="B117:D117" si="77">B116</f>
        <v>Endeavour</v>
      </c>
      <c r="C117" s="30" t="str">
        <f t="shared" si="77"/>
        <v>Residential</v>
      </c>
      <c r="D117" s="30" t="str">
        <f t="shared" si="77"/>
        <v>time of use</v>
      </c>
      <c r="E117" s="570" t="s">
        <v>272</v>
      </c>
      <c r="G117" s="571" t="s">
        <v>79</v>
      </c>
      <c r="H117" s="577"/>
      <c r="I117" s="577"/>
      <c r="J117" s="577">
        <f>SUM(J115:J116)</f>
        <v>0</v>
      </c>
      <c r="K117" s="578"/>
      <c r="L117" s="580"/>
      <c r="M117" s="578" t="str">
        <f>IF(OR(J117=0,Q117=""),"",Q117/J117-1)</f>
        <v/>
      </c>
      <c r="N117" s="580"/>
      <c r="O117" s="577"/>
      <c r="P117" s="577"/>
      <c r="Q117" s="577">
        <f>SUM(Q115:Q116)</f>
        <v>60.525827228913705</v>
      </c>
      <c r="R117" s="578"/>
      <c r="S117" s="578"/>
      <c r="T117" s="650"/>
      <c r="U117" s="578"/>
      <c r="V117" s="578"/>
      <c r="W117" s="578"/>
      <c r="X117" s="578"/>
      <c r="Y117" s="578"/>
      <c r="Z117" s="578"/>
      <c r="AA117" s="578"/>
      <c r="AB117" s="578"/>
      <c r="AC117" s="578"/>
      <c r="AD117" s="578"/>
      <c r="AE117" s="578"/>
      <c r="AF117" s="578"/>
      <c r="AG117" s="578"/>
      <c r="AH117" s="578"/>
      <c r="AI117" s="578"/>
      <c r="AJ117" s="578"/>
    </row>
    <row r="118" spans="1:36" s="627" customFormat="1" x14ac:dyDescent="0.35">
      <c r="A118" s="570"/>
      <c r="B118" s="570"/>
      <c r="C118" s="570"/>
      <c r="D118" s="570"/>
      <c r="E118" s="570"/>
      <c r="F118" s="485"/>
      <c r="G118" s="570"/>
      <c r="H118" s="574"/>
      <c r="I118" s="574"/>
      <c r="J118" s="574"/>
      <c r="K118" s="575"/>
      <c r="L118" s="582"/>
      <c r="M118" s="575"/>
      <c r="N118" s="582"/>
      <c r="O118" s="574"/>
      <c r="P118" s="574"/>
      <c r="Q118" s="574"/>
      <c r="R118" s="575"/>
      <c r="S118" s="575"/>
      <c r="T118" s="649"/>
      <c r="U118" s="575"/>
      <c r="V118" s="575"/>
      <c r="W118" s="575"/>
      <c r="X118" s="575"/>
      <c r="Y118" s="575"/>
      <c r="Z118" s="575"/>
      <c r="AA118" s="575"/>
      <c r="AB118" s="575"/>
      <c r="AC118" s="575"/>
      <c r="AD118" s="575"/>
      <c r="AE118" s="575"/>
      <c r="AF118" s="575"/>
      <c r="AG118" s="575"/>
      <c r="AH118" s="575"/>
      <c r="AI118" s="575"/>
      <c r="AJ118" s="575"/>
    </row>
    <row r="119" spans="1:36" s="65" customFormat="1" x14ac:dyDescent="0.35">
      <c r="A119" s="30"/>
      <c r="B119" s="64" t="s">
        <v>4</v>
      </c>
      <c r="C119" s="64"/>
      <c r="D119" s="64" t="s">
        <v>285</v>
      </c>
      <c r="E119" s="30"/>
      <c r="F119" s="258"/>
      <c r="G119" s="30"/>
      <c r="H119" s="482"/>
      <c r="I119" s="482"/>
      <c r="J119" s="482"/>
      <c r="K119" s="484"/>
      <c r="L119" s="568"/>
      <c r="M119" s="484"/>
      <c r="N119" s="568"/>
      <c r="O119" s="482"/>
      <c r="P119" s="482"/>
      <c r="Q119" s="482"/>
      <c r="R119" s="484"/>
      <c r="S119" s="484"/>
      <c r="T119" s="644"/>
      <c r="U119" s="484"/>
      <c r="V119" s="484"/>
      <c r="W119" s="484"/>
      <c r="X119" s="484"/>
      <c r="Y119" s="484"/>
      <c r="Z119" s="484"/>
      <c r="AA119" s="484"/>
      <c r="AB119" s="484"/>
      <c r="AC119" s="484"/>
      <c r="AD119" s="484"/>
      <c r="AE119" s="484"/>
      <c r="AF119" s="484"/>
      <c r="AG119" s="484"/>
      <c r="AH119" s="484"/>
      <c r="AI119" s="484"/>
      <c r="AJ119" s="484"/>
    </row>
    <row r="120" spans="1:36" s="65" customFormat="1" x14ac:dyDescent="0.35">
      <c r="A120" s="30"/>
      <c r="B120" s="30" t="str">
        <f t="shared" ref="B120:B135" si="78">B119</f>
        <v>Endeavour</v>
      </c>
      <c r="C120" s="30"/>
      <c r="D120" s="30" t="str">
        <f t="shared" ref="D120:D135" si="79">D119</f>
        <v>controlled load</v>
      </c>
      <c r="E120" s="30"/>
      <c r="F120" s="258"/>
      <c r="G120" s="64"/>
      <c r="H120" s="487"/>
      <c r="I120" s="487"/>
      <c r="J120" s="487"/>
      <c r="K120" s="564"/>
      <c r="L120" s="566"/>
      <c r="M120" s="564"/>
      <c r="N120" s="566"/>
      <c r="O120" s="487"/>
      <c r="P120" s="487"/>
      <c r="Q120" s="487"/>
      <c r="R120" s="564"/>
      <c r="S120" s="564"/>
      <c r="T120" s="646"/>
      <c r="U120" s="564"/>
      <c r="V120" s="564"/>
      <c r="W120" s="564"/>
      <c r="X120" s="564"/>
      <c r="Y120" s="564"/>
      <c r="Z120" s="564"/>
      <c r="AA120" s="564"/>
      <c r="AB120" s="564"/>
      <c r="AC120" s="564"/>
      <c r="AD120" s="564"/>
      <c r="AE120" s="564"/>
      <c r="AF120" s="564"/>
      <c r="AG120" s="564"/>
      <c r="AH120" s="564"/>
      <c r="AI120" s="564"/>
      <c r="AJ120" s="564"/>
    </row>
    <row r="121" spans="1:36" s="65" customFormat="1" x14ac:dyDescent="0.35">
      <c r="A121" s="30"/>
      <c r="B121" s="30" t="str">
        <f t="shared" si="78"/>
        <v>Endeavour</v>
      </c>
      <c r="C121" s="30"/>
      <c r="D121" s="30" t="str">
        <f t="shared" si="79"/>
        <v>controlled load</v>
      </c>
      <c r="E121" s="30" t="s">
        <v>14</v>
      </c>
      <c r="F121" s="258" cm="1">
        <f t="array" ref="F121">IFERROR(_xlfn.XLOOKUP(1,($B121=DistributionZone)*($C121=CustomerType)*($E121=tariffType)*(F$5=Description)*($D121=tariffL2),valuesFY),0)</f>
        <v>1474</v>
      </c>
      <c r="G121" s="30" t="s">
        <v>73</v>
      </c>
      <c r="H121" s="482"/>
      <c r="I121" s="482" cm="1">
        <f t="array" ref="I121">_xlfn.XLOOKUP(1,($B121=DistributionZone)*($G121=Description)*($I$5=Desc_FixedOrVar),valuesPY,0)</f>
        <v>6.1170426505850894</v>
      </c>
      <c r="J121" s="482">
        <f>IF(AND(H121="",I121=""),"",H121+I121*$F121/1000)</f>
        <v>9.0165208669624217</v>
      </c>
      <c r="K121" s="484">
        <f>IFERROR(J121/J126,"")</f>
        <v>0.37720934580656779</v>
      </c>
      <c r="L121" s="563"/>
      <c r="M121" s="484">
        <f t="shared" ref="M121:M133" si="80">IF(OR(J121=0,Q121=""),"",Q121/J121-1)</f>
        <v>-0.48482055209325348</v>
      </c>
      <c r="N121" s="563"/>
      <c r="O121" s="482"/>
      <c r="P121" s="482" cm="1">
        <f t="array" ref="P121">_xlfn.XLOOKUP(1,($B121=DistributionZone)*($G121=Description)*($I$5=Desc_FixedOrVar),valuesFY,0)</f>
        <v>3.1513746555504474</v>
      </c>
      <c r="Q121" s="482">
        <f t="shared" ref="Q121:Q132" si="81">IF(AND(O121="",P121=""),"",O121+P121*$F121/1000)</f>
        <v>4.6451262422813597</v>
      </c>
      <c r="R121" s="484">
        <f>IFERROR(Q121/Q126,"")</f>
        <v>0.28063902917303046</v>
      </c>
      <c r="S121" s="484"/>
      <c r="T121" s="645"/>
      <c r="U121" s="484"/>
      <c r="V121" s="484"/>
      <c r="W121" s="484"/>
      <c r="X121" s="484"/>
      <c r="Y121" s="484"/>
      <c r="Z121" s="484"/>
      <c r="AA121" s="484"/>
      <c r="AB121" s="484"/>
      <c r="AC121" s="484"/>
      <c r="AD121" s="484"/>
      <c r="AE121" s="484"/>
      <c r="AF121" s="484"/>
      <c r="AG121" s="484"/>
      <c r="AH121" s="484"/>
      <c r="AI121" s="484"/>
      <c r="AJ121" s="484"/>
    </row>
    <row r="122" spans="1:36" s="65" customFormat="1" x14ac:dyDescent="0.35">
      <c r="A122" s="30"/>
      <c r="B122" s="30" t="str">
        <f t="shared" si="78"/>
        <v>Endeavour</v>
      </c>
      <c r="C122" s="30"/>
      <c r="D122" s="30" t="str">
        <f t="shared" si="79"/>
        <v>controlled load</v>
      </c>
      <c r="E122" s="30" t="s">
        <v>14</v>
      </c>
      <c r="F122" s="258">
        <f>F121</f>
        <v>1474</v>
      </c>
      <c r="G122" s="30" t="s">
        <v>74</v>
      </c>
      <c r="H122" s="482"/>
      <c r="I122" s="482" cm="1">
        <f t="array" ref="I122">_xlfn.XLOOKUP(1,($B122=DistributionZone)*($G122=Description)*($I$5=Desc_FixedOrVar),valuesPY,0)</f>
        <v>5.1359999999999992</v>
      </c>
      <c r="J122" s="482">
        <f>IF(AND(H122="",I122=""),"",H122+I122*$F122/1000)</f>
        <v>7.5704639999999994</v>
      </c>
      <c r="K122" s="484">
        <f>IFERROR(J122/J126,"")</f>
        <v>0.31671304431353386</v>
      </c>
      <c r="L122" s="563"/>
      <c r="M122" s="484">
        <f t="shared" si="80"/>
        <v>-0.1269470404984423</v>
      </c>
      <c r="N122" s="563"/>
      <c r="O122" s="482"/>
      <c r="P122" s="482" cm="1">
        <f t="array" ref="P122">_xlfn.XLOOKUP(1,($B122=DistributionZone)*($G122=Description)*($I$5=Desc_FixedOrVar),valuesFY,0)</f>
        <v>4.484</v>
      </c>
      <c r="Q122" s="482">
        <f t="shared" si="81"/>
        <v>6.6094160000000004</v>
      </c>
      <c r="R122" s="484">
        <f>IFERROR(Q122/Q126,"")</f>
        <v>0.3993131710301413</v>
      </c>
      <c r="S122" s="484"/>
      <c r="T122" s="644"/>
      <c r="U122" s="484"/>
      <c r="V122" s="484"/>
      <c r="W122" s="484"/>
      <c r="X122" s="484"/>
      <c r="Y122" s="484"/>
      <c r="Z122" s="484"/>
      <c r="AA122" s="484"/>
      <c r="AB122" s="484"/>
      <c r="AC122" s="484"/>
      <c r="AD122" s="484"/>
      <c r="AE122" s="484"/>
      <c r="AF122" s="484"/>
      <c r="AG122" s="484"/>
      <c r="AH122" s="484"/>
      <c r="AI122" s="484"/>
      <c r="AJ122" s="484"/>
    </row>
    <row r="123" spans="1:36" s="65" customFormat="1" x14ac:dyDescent="0.35">
      <c r="A123" s="30"/>
      <c r="B123" s="30" t="str">
        <f t="shared" si="78"/>
        <v>Endeavour</v>
      </c>
      <c r="C123" s="30"/>
      <c r="D123" s="30" t="str">
        <f t="shared" si="79"/>
        <v>controlled load</v>
      </c>
      <c r="E123" s="30" t="s">
        <v>14</v>
      </c>
      <c r="F123" s="258">
        <f>F122</f>
        <v>1474</v>
      </c>
      <c r="G123" s="30" t="s">
        <v>75</v>
      </c>
      <c r="H123" s="482"/>
      <c r="I123" s="482" cm="1">
        <f t="array" ref="I123">_xlfn.XLOOKUP(1,($B123=DistributionZone)*($G123=Description)*($I$5=Desc_FixedOrVar),valuesPY,0)</f>
        <v>2.1292191637289464</v>
      </c>
      <c r="J123" s="482">
        <f>IF(AND(H123="",I123=""),"",H123+I123*$F123/1000)</f>
        <v>3.1384690473364674</v>
      </c>
      <c r="K123" s="484">
        <f>IFERROR(J123/J126,"")</f>
        <v>0.13129896482774756</v>
      </c>
      <c r="L123" s="563"/>
      <c r="M123" s="484">
        <f t="shared" si="80"/>
        <v>0.30545066908580987</v>
      </c>
      <c r="N123" s="563"/>
      <c r="O123" s="482"/>
      <c r="P123" s="482" cm="1">
        <f t="array" ref="P123">_xlfn.XLOOKUP(1,($B123=DistributionZone)*($G123=Description)*($I$5=Desc_FixedOrVar),valuesFY,0)</f>
        <v>2.7795905819202815</v>
      </c>
      <c r="Q123" s="482">
        <f t="shared" si="81"/>
        <v>4.0971165177504956</v>
      </c>
      <c r="R123" s="484">
        <f>IFERROR(Q123/Q126,"")</f>
        <v>0.2475305819429312</v>
      </c>
      <c r="S123" s="484"/>
      <c r="T123" s="644"/>
      <c r="U123" s="484"/>
      <c r="V123" s="484"/>
      <c r="W123" s="484"/>
      <c r="X123" s="484"/>
      <c r="Y123" s="484"/>
      <c r="Z123" s="484"/>
      <c r="AA123" s="484"/>
      <c r="AB123" s="484"/>
      <c r="AC123" s="484"/>
      <c r="AD123" s="484"/>
      <c r="AE123" s="484"/>
      <c r="AF123" s="484"/>
      <c r="AG123" s="484"/>
      <c r="AH123" s="484"/>
      <c r="AI123" s="484"/>
      <c r="AJ123" s="484"/>
    </row>
    <row r="124" spans="1:36" s="65" customFormat="1" x14ac:dyDescent="0.35">
      <c r="A124" s="30"/>
      <c r="B124" s="30" t="str">
        <f t="shared" si="78"/>
        <v>Endeavour</v>
      </c>
      <c r="C124" s="30"/>
      <c r="D124" s="30" t="str">
        <f t="shared" si="79"/>
        <v>controlled load</v>
      </c>
      <c r="E124" s="30" t="s">
        <v>14</v>
      </c>
      <c r="F124" s="258">
        <f>F123</f>
        <v>1474</v>
      </c>
      <c r="G124" s="30" t="s">
        <v>155</v>
      </c>
      <c r="H124" s="482"/>
      <c r="I124" s="482" cm="1">
        <f t="array" ref="I124">_xlfn.XLOOKUP(1,($B124=DistributionZone)*($G124=Description)*($I$5=Desc_FixedOrVar),valuesPY,0)</f>
        <v>1.8634456011480964</v>
      </c>
      <c r="J124" s="482">
        <f>IF(AND(H124="",I124=""),"",H124+I124*$F124/1000)</f>
        <v>2.7467188160922942</v>
      </c>
      <c r="K124" s="484">
        <f>IFERROR(J124/J126,"")</f>
        <v>0.1149099550724838</v>
      </c>
      <c r="L124" s="563"/>
      <c r="M124" s="484">
        <f t="shared" si="80"/>
        <v>-0.8994584724775363</v>
      </c>
      <c r="N124" s="563"/>
      <c r="O124" s="482"/>
      <c r="P124" s="482" cm="1">
        <f t="array" ref="P124">_xlfn.XLOOKUP(1,($B124=DistributionZone)*($G124=Description)*($I$5=Desc_FixedOrVar),valuesFY,0)</f>
        <v>0.18735366719444529</v>
      </c>
      <c r="Q124" s="482">
        <f t="shared" si="81"/>
        <v>0.27615930544461237</v>
      </c>
      <c r="R124" s="484">
        <f>IFERROR(Q124/Q126,"")</f>
        <v>1.6684386028443288E-2</v>
      </c>
      <c r="S124" s="484"/>
      <c r="T124" s="644"/>
      <c r="U124" s="484"/>
      <c r="V124" s="484"/>
      <c r="W124" s="484"/>
      <c r="X124" s="484"/>
      <c r="Y124" s="484"/>
      <c r="Z124" s="484"/>
      <c r="AA124" s="484"/>
      <c r="AB124" s="484"/>
      <c r="AC124" s="484"/>
      <c r="AD124" s="484"/>
      <c r="AE124" s="484"/>
      <c r="AF124" s="484"/>
      <c r="AG124" s="484"/>
      <c r="AH124" s="484"/>
      <c r="AI124" s="484"/>
      <c r="AJ124" s="484"/>
    </row>
    <row r="125" spans="1:36" s="65" customFormat="1" x14ac:dyDescent="0.35">
      <c r="A125" s="30"/>
      <c r="B125" s="30" t="str">
        <f t="shared" si="78"/>
        <v>Endeavour</v>
      </c>
      <c r="C125" s="30"/>
      <c r="D125" s="30" t="str">
        <f t="shared" si="79"/>
        <v>controlled load</v>
      </c>
      <c r="E125" s="30" t="s">
        <v>14</v>
      </c>
      <c r="F125" s="258">
        <f>F124</f>
        <v>1474</v>
      </c>
      <c r="G125" s="30" t="s">
        <v>72</v>
      </c>
      <c r="H125" s="482"/>
      <c r="I125" s="482" cm="1">
        <f t="array" ref="I125">_xlfn.XLOOKUP(1,($B125=DistributionZone)*($C125=CustomerType)*($D125=tariffL2)*($E125=tariffType)*($G125=Description)*($I$5=Desc_FixedOrVar),valuesPY,0)*SUM(I121:I124)</f>
        <v>0.97086494306553039</v>
      </c>
      <c r="J125" s="482">
        <f>IF(AND(H125="",I125=""),"",H125+I125*$F125/1000)</f>
        <v>1.4310549260785916</v>
      </c>
      <c r="K125" s="484">
        <f>IFERROR(J125/J126,"")</f>
        <v>5.9868689979667024E-2</v>
      </c>
      <c r="L125" s="563"/>
      <c r="M125" s="484">
        <f t="shared" si="80"/>
        <v>-0.3542226553679485</v>
      </c>
      <c r="N125" s="563"/>
      <c r="O125" s="482"/>
      <c r="P125" s="482" cm="1">
        <f t="array" ref="P125">_xlfn.XLOOKUP(1,($B125=DistributionZone)*($C125=CustomerType)*($D125=tariffL2)*($E125=tariffType)*($G125=Description)*($P$5=Desc_FixedOrVar),valuesFY,0)*SUM(P121:P124)</f>
        <v>0.62696258492920598</v>
      </c>
      <c r="Q125" s="482">
        <f t="shared" si="81"/>
        <v>0.92414285018564968</v>
      </c>
      <c r="R125" s="484">
        <f>IFERROR(Q125/Q126,"")</f>
        <v>5.5832831825453955E-2</v>
      </c>
      <c r="S125" s="484"/>
      <c r="T125" s="644"/>
      <c r="U125" s="484"/>
      <c r="V125" s="484"/>
      <c r="W125" s="484"/>
      <c r="X125" s="484"/>
      <c r="Y125" s="484"/>
      <c r="Z125" s="484"/>
      <c r="AA125" s="484"/>
      <c r="AB125" s="484"/>
      <c r="AC125" s="484"/>
      <c r="AD125" s="484"/>
      <c r="AE125" s="484"/>
      <c r="AF125" s="484"/>
      <c r="AG125" s="484"/>
      <c r="AH125" s="484"/>
      <c r="AI125" s="484"/>
      <c r="AJ125" s="484"/>
    </row>
    <row r="126" spans="1:36" s="65" customFormat="1" x14ac:dyDescent="0.35">
      <c r="A126" s="30"/>
      <c r="B126" s="30" t="str">
        <f t="shared" si="78"/>
        <v>Endeavour</v>
      </c>
      <c r="C126" s="30"/>
      <c r="D126" s="30" t="str">
        <f t="shared" si="79"/>
        <v>controlled load</v>
      </c>
      <c r="E126" s="30" t="s">
        <v>14</v>
      </c>
      <c r="F126" s="258">
        <f>F125</f>
        <v>1474</v>
      </c>
      <c r="G126" s="64" t="s">
        <v>55</v>
      </c>
      <c r="H126" s="487">
        <f>SUM(H121:H125)</f>
        <v>0</v>
      </c>
      <c r="I126" s="487">
        <f>SUM(I121:I125)</f>
        <v>16.216572358527664</v>
      </c>
      <c r="J126" s="487">
        <f>IF(AND(H126="",I126=""),"",H126+I126*+Usage!H$39/1000)</f>
        <v>23.903227656469774</v>
      </c>
      <c r="K126" s="564"/>
      <c r="L126" s="566"/>
      <c r="M126" s="564">
        <f t="shared" si="80"/>
        <v>-0.30754284929457743</v>
      </c>
      <c r="N126" s="566"/>
      <c r="O126" s="487">
        <f>SUM(O121:O125)</f>
        <v>0</v>
      </c>
      <c r="P126" s="487">
        <f>SUM(P121:P125)</f>
        <v>11.22928148959438</v>
      </c>
      <c r="Q126" s="487">
        <f t="shared" si="81"/>
        <v>16.551960915662114</v>
      </c>
      <c r="R126" s="564"/>
      <c r="S126" s="564"/>
      <c r="T126" s="646"/>
      <c r="U126" s="564"/>
      <c r="V126" s="564"/>
      <c r="W126" s="564"/>
      <c r="X126" s="564"/>
      <c r="Y126" s="564"/>
      <c r="Z126" s="564"/>
      <c r="AA126" s="564"/>
      <c r="AB126" s="564"/>
      <c r="AC126" s="564"/>
      <c r="AD126" s="564"/>
      <c r="AE126" s="564"/>
      <c r="AF126" s="564"/>
      <c r="AG126" s="564"/>
      <c r="AH126" s="564"/>
      <c r="AI126" s="564"/>
      <c r="AJ126" s="564"/>
    </row>
    <row r="127" spans="1:36" s="65" customFormat="1" x14ac:dyDescent="0.35">
      <c r="A127" s="30"/>
      <c r="B127" s="30" t="str">
        <f t="shared" si="78"/>
        <v>Endeavour</v>
      </c>
      <c r="C127" s="30"/>
      <c r="D127" s="30" t="str">
        <f t="shared" si="79"/>
        <v>controlled load</v>
      </c>
      <c r="E127" s="30" t="s">
        <v>15</v>
      </c>
      <c r="F127" s="258" cm="1">
        <f t="array" ref="F127">IFERROR(_xlfn.XLOOKUP(1,($B127=DistributionZone)*($C127=CustomerType)*($E127=tariffType)*(F$5=Description)*($D127=tariffL2),valuesFY),0)</f>
        <v>726</v>
      </c>
      <c r="G127" s="30" t="s">
        <v>73</v>
      </c>
      <c r="H127" s="482"/>
      <c r="I127" s="482" cm="1">
        <f t="array" ref="I127">_xlfn.XLOOKUP(1,($B127=DistributionZone)*($G127=Description)*($I$5=Desc_FixedOrVar),valuesPY,0)</f>
        <v>6.1170426505850894</v>
      </c>
      <c r="J127" s="482">
        <f>IF(AND(H127="",I127=""),"",H127+I127*$F127/1000)</f>
        <v>4.4409729643247751</v>
      </c>
      <c r="K127" s="484">
        <f>IFERROR(J127/J132,"")</f>
        <v>0.37720934580656779</v>
      </c>
      <c r="L127" s="563"/>
      <c r="M127" s="484">
        <f t="shared" si="80"/>
        <v>-0.48482055209325348</v>
      </c>
      <c r="N127" s="563"/>
      <c r="O127" s="482"/>
      <c r="P127" s="482" cm="1">
        <f t="array" ref="P127">_xlfn.XLOOKUP(1,($B127=DistributionZone)*($G127=Description)*($I$5=Desc_FixedOrVar),valuesFY,0)</f>
        <v>3.1513746555504474</v>
      </c>
      <c r="Q127" s="482">
        <f t="shared" si="81"/>
        <v>2.2878979999296249</v>
      </c>
      <c r="R127" s="484">
        <f>IFERROR(Q127/Q132,"")</f>
        <v>0.28063902917303041</v>
      </c>
      <c r="S127" s="484"/>
      <c r="T127" s="645"/>
      <c r="U127" s="484"/>
      <c r="V127" s="484"/>
      <c r="W127" s="484"/>
      <c r="X127" s="484"/>
      <c r="Y127" s="484"/>
      <c r="Z127" s="484"/>
      <c r="AA127" s="484"/>
      <c r="AB127" s="484"/>
      <c r="AC127" s="484"/>
      <c r="AD127" s="484"/>
      <c r="AE127" s="484"/>
      <c r="AF127" s="484"/>
      <c r="AG127" s="484"/>
      <c r="AH127" s="484"/>
      <c r="AI127" s="484"/>
      <c r="AJ127" s="484"/>
    </row>
    <row r="128" spans="1:36" s="65" customFormat="1" x14ac:dyDescent="0.35">
      <c r="A128" s="30"/>
      <c r="B128" s="30" t="str">
        <f t="shared" si="78"/>
        <v>Endeavour</v>
      </c>
      <c r="C128" s="30"/>
      <c r="D128" s="30" t="str">
        <f t="shared" si="79"/>
        <v>controlled load</v>
      </c>
      <c r="E128" s="30" t="s">
        <v>15</v>
      </c>
      <c r="F128" s="258">
        <f>F127</f>
        <v>726</v>
      </c>
      <c r="G128" s="30" t="s">
        <v>74</v>
      </c>
      <c r="H128" s="482"/>
      <c r="I128" s="482" cm="1">
        <f t="array" ref="I128">_xlfn.XLOOKUP(1,($B128=DistributionZone)*($G128=Description)*($I$5=Desc_FixedOrVar),valuesPY,0)</f>
        <v>5.1359999999999992</v>
      </c>
      <c r="J128" s="482">
        <f>IF(AND(H128="",I128=""),"",H128+I128*$F128/1000)</f>
        <v>3.7287359999999996</v>
      </c>
      <c r="K128" s="484">
        <f>IFERROR(J128/J132,"")</f>
        <v>0.31671304431353381</v>
      </c>
      <c r="L128" s="563"/>
      <c r="M128" s="484">
        <f t="shared" si="80"/>
        <v>-0.1269470404984423</v>
      </c>
      <c r="N128" s="563"/>
      <c r="O128" s="482"/>
      <c r="P128" s="482" cm="1">
        <f t="array" ref="P128">_xlfn.XLOOKUP(1,($B128=DistributionZone)*($G128=Description)*($I$5=Desc_FixedOrVar),valuesFY,0)</f>
        <v>4.484</v>
      </c>
      <c r="Q128" s="482">
        <f t="shared" si="81"/>
        <v>3.2553839999999998</v>
      </c>
      <c r="R128" s="484">
        <f>IFERROR(Q128/Q132,"")</f>
        <v>0.39931317103014125</v>
      </c>
      <c r="S128" s="484"/>
      <c r="T128" s="644"/>
      <c r="U128" s="484"/>
      <c r="V128" s="484"/>
      <c r="W128" s="484"/>
      <c r="X128" s="484"/>
      <c r="Y128" s="484"/>
      <c r="Z128" s="484"/>
      <c r="AA128" s="484"/>
      <c r="AB128" s="484"/>
      <c r="AC128" s="484"/>
      <c r="AD128" s="484"/>
      <c r="AE128" s="484"/>
      <c r="AF128" s="484"/>
      <c r="AG128" s="484"/>
      <c r="AH128" s="484"/>
      <c r="AI128" s="484"/>
      <c r="AJ128" s="484"/>
    </row>
    <row r="129" spans="1:36" s="65" customFormat="1" x14ac:dyDescent="0.35">
      <c r="A129" s="30"/>
      <c r="B129" s="30" t="str">
        <f t="shared" si="78"/>
        <v>Endeavour</v>
      </c>
      <c r="C129" s="30"/>
      <c r="D129" s="30" t="str">
        <f t="shared" si="79"/>
        <v>controlled load</v>
      </c>
      <c r="E129" s="30" t="s">
        <v>15</v>
      </c>
      <c r="F129" s="258">
        <f>F128</f>
        <v>726</v>
      </c>
      <c r="G129" s="30" t="s">
        <v>75</v>
      </c>
      <c r="H129" s="482"/>
      <c r="I129" s="482" cm="1">
        <f t="array" ref="I129">_xlfn.XLOOKUP(1,($B129=DistributionZone)*($G129=Description)*($I$5=Desc_FixedOrVar),valuesPY,0)</f>
        <v>2.1292191637289464</v>
      </c>
      <c r="J129" s="482">
        <f>IF(AND(H129="",I129=""),"",H129+I129*$F129/1000)</f>
        <v>1.545813112867215</v>
      </c>
      <c r="K129" s="484">
        <f>IFERROR(J129/J132,"")</f>
        <v>0.13129896482774753</v>
      </c>
      <c r="L129" s="563"/>
      <c r="M129" s="484">
        <f t="shared" si="80"/>
        <v>0.30545066908581009</v>
      </c>
      <c r="N129" s="563"/>
      <c r="O129" s="482"/>
      <c r="P129" s="482" cm="1">
        <f t="array" ref="P129">_xlfn.XLOOKUP(1,($B129=DistributionZone)*($G129=Description)*($I$5=Desc_FixedOrVar),valuesFY,0)</f>
        <v>2.7795905819202815</v>
      </c>
      <c r="Q129" s="482">
        <f t="shared" si="81"/>
        <v>2.0179827624741247</v>
      </c>
      <c r="R129" s="484">
        <f>IFERROR(Q129/Q132,"")</f>
        <v>0.24753058194293118</v>
      </c>
      <c r="S129" s="484"/>
      <c r="T129" s="644"/>
      <c r="U129" s="484"/>
      <c r="V129" s="484"/>
      <c r="W129" s="484"/>
      <c r="X129" s="484"/>
      <c r="Y129" s="484"/>
      <c r="Z129" s="484"/>
      <c r="AA129" s="484"/>
      <c r="AB129" s="484"/>
      <c r="AC129" s="484"/>
      <c r="AD129" s="484"/>
      <c r="AE129" s="484"/>
      <c r="AF129" s="484"/>
      <c r="AG129" s="484"/>
      <c r="AH129" s="484"/>
      <c r="AI129" s="484"/>
      <c r="AJ129" s="484"/>
    </row>
    <row r="130" spans="1:36" s="65" customFormat="1" x14ac:dyDescent="0.35">
      <c r="A130" s="30"/>
      <c r="B130" s="30" t="str">
        <f t="shared" si="78"/>
        <v>Endeavour</v>
      </c>
      <c r="C130" s="30"/>
      <c r="D130" s="30" t="str">
        <f t="shared" si="79"/>
        <v>controlled load</v>
      </c>
      <c r="E130" s="30" t="s">
        <v>15</v>
      </c>
      <c r="F130" s="258">
        <f>F129</f>
        <v>726</v>
      </c>
      <c r="G130" s="30" t="s">
        <v>155</v>
      </c>
      <c r="H130" s="482"/>
      <c r="I130" s="482" cm="1">
        <f t="array" ref="I130">_xlfn.XLOOKUP(1,($B130=DistributionZone)*($G130=Description)*($I$5=Desc_FixedOrVar),valuesPY,0)</f>
        <v>1.8634456011480964</v>
      </c>
      <c r="J130" s="482">
        <f>IF(AND(H130="",I130=""),"",H130+I130*$F130/1000)</f>
        <v>1.3528615064335181</v>
      </c>
      <c r="K130" s="484">
        <f>IFERROR(J130/J132,"")</f>
        <v>0.1149099550724838</v>
      </c>
      <c r="L130" s="563"/>
      <c r="M130" s="484">
        <f t="shared" si="80"/>
        <v>-0.8994584724775363</v>
      </c>
      <c r="N130" s="563"/>
      <c r="O130" s="482"/>
      <c r="P130" s="482" cm="1">
        <f t="array" ref="P130">_xlfn.XLOOKUP(1,($B130=DistributionZone)*($G130=Description)*($I$5=Desc_FixedOrVar),valuesFY,0)</f>
        <v>0.18735366719444529</v>
      </c>
      <c r="Q130" s="482">
        <f t="shared" si="81"/>
        <v>0.13601876238316729</v>
      </c>
      <c r="R130" s="484">
        <f>IFERROR(Q130/Q132,"")</f>
        <v>1.6684386028443288E-2</v>
      </c>
      <c r="S130" s="484"/>
      <c r="T130" s="644"/>
      <c r="U130" s="484"/>
      <c r="V130" s="484"/>
      <c r="W130" s="484"/>
      <c r="X130" s="484"/>
      <c r="Y130" s="484"/>
      <c r="Z130" s="484"/>
      <c r="AA130" s="484"/>
      <c r="AB130" s="484"/>
      <c r="AC130" s="484"/>
      <c r="AD130" s="484"/>
      <c r="AE130" s="484"/>
      <c r="AF130" s="484"/>
      <c r="AG130" s="484"/>
      <c r="AH130" s="484"/>
      <c r="AI130" s="484"/>
      <c r="AJ130" s="484"/>
    </row>
    <row r="131" spans="1:36" s="65" customFormat="1" x14ac:dyDescent="0.35">
      <c r="A131" s="30"/>
      <c r="B131" s="30" t="str">
        <f t="shared" si="78"/>
        <v>Endeavour</v>
      </c>
      <c r="C131" s="30"/>
      <c r="D131" s="30" t="str">
        <f t="shared" si="79"/>
        <v>controlled load</v>
      </c>
      <c r="E131" s="30" t="s">
        <v>15</v>
      </c>
      <c r="F131" s="258">
        <f>F130</f>
        <v>726</v>
      </c>
      <c r="G131" s="30" t="s">
        <v>72</v>
      </c>
      <c r="H131" s="482"/>
      <c r="I131" s="482" cm="1">
        <f t="array" ref="I131">_xlfn.XLOOKUP(1,($B131=DistributionZone)*($C131=CustomerType)*($D131=tariffL2)*($E131=tariffType)*($G131=Description)*($I$5=Desc_FixedOrVar),valuesPY,0)*SUM(I127:I130)</f>
        <v>0.97086494306553039</v>
      </c>
      <c r="J131" s="482">
        <f>IF(AND(H131="",I131=""),"",H131+I131*$F131/1000)</f>
        <v>0.70484794866557499</v>
      </c>
      <c r="K131" s="484">
        <f>IFERROR(J131/J132,"")</f>
        <v>5.9868689979667024E-2</v>
      </c>
      <c r="L131" s="563"/>
      <c r="M131" s="484">
        <f t="shared" si="80"/>
        <v>-0.3542226553679485</v>
      </c>
      <c r="N131" s="563"/>
      <c r="O131" s="482"/>
      <c r="P131" s="482" cm="1">
        <f t="array" ref="P131">_xlfn.XLOOKUP(1,($B131=DistributionZone)*($C131=CustomerType)*($D131=tariffL2)*($E131=tariffType)*($G131=Description)*($P$5=Desc_FixedOrVar),valuesFY,0)*SUM(P127:P130)</f>
        <v>0.62696258492920598</v>
      </c>
      <c r="Q131" s="482">
        <f t="shared" si="81"/>
        <v>0.45517483665860359</v>
      </c>
      <c r="R131" s="484">
        <f>IFERROR(Q131/Q132,"")</f>
        <v>5.5832831825453948E-2</v>
      </c>
      <c r="S131" s="484"/>
      <c r="T131" s="644"/>
      <c r="U131" s="484"/>
      <c r="V131" s="484"/>
      <c r="W131" s="484"/>
      <c r="X131" s="484"/>
      <c r="Y131" s="484"/>
      <c r="Z131" s="484"/>
      <c r="AA131" s="484"/>
      <c r="AB131" s="484"/>
      <c r="AC131" s="484"/>
      <c r="AD131" s="484"/>
      <c r="AE131" s="484"/>
      <c r="AF131" s="484"/>
      <c r="AG131" s="484"/>
      <c r="AH131" s="484"/>
      <c r="AI131" s="484"/>
      <c r="AJ131" s="484"/>
    </row>
    <row r="132" spans="1:36" s="65" customFormat="1" x14ac:dyDescent="0.35">
      <c r="A132" s="30"/>
      <c r="B132" s="30" t="str">
        <f t="shared" si="78"/>
        <v>Endeavour</v>
      </c>
      <c r="C132" s="30"/>
      <c r="D132" s="30" t="str">
        <f t="shared" si="79"/>
        <v>controlled load</v>
      </c>
      <c r="E132" s="30" t="s">
        <v>15</v>
      </c>
      <c r="F132" s="258">
        <f>F131</f>
        <v>726</v>
      </c>
      <c r="G132" s="64" t="s">
        <v>55</v>
      </c>
      <c r="H132" s="487">
        <f>SUM(H127:H131)</f>
        <v>0</v>
      </c>
      <c r="I132" s="487">
        <f>SUM(I127:I131)</f>
        <v>16.216572358527664</v>
      </c>
      <c r="J132" s="487">
        <f>IF(AND(H132="",I132=""),"",H132+I132*+Usage!I$39/1000)</f>
        <v>11.773231532291083</v>
      </c>
      <c r="K132" s="564"/>
      <c r="L132" s="566"/>
      <c r="M132" s="564">
        <f t="shared" si="80"/>
        <v>-0.30754284929457743</v>
      </c>
      <c r="N132" s="566"/>
      <c r="O132" s="487">
        <f>SUM(O127:O131)</f>
        <v>0</v>
      </c>
      <c r="P132" s="487">
        <f>SUM(P127:P131)</f>
        <v>11.22928148959438</v>
      </c>
      <c r="Q132" s="487">
        <f t="shared" si="81"/>
        <v>8.1524583614455199</v>
      </c>
      <c r="R132" s="564"/>
      <c r="S132" s="564"/>
      <c r="T132" s="646"/>
      <c r="U132" s="564"/>
      <c r="V132" s="564"/>
      <c r="W132" s="564"/>
      <c r="X132" s="564"/>
      <c r="Y132" s="564"/>
      <c r="Z132" s="564"/>
      <c r="AA132" s="564"/>
      <c r="AB132" s="564"/>
      <c r="AC132" s="564"/>
      <c r="AD132" s="564"/>
      <c r="AE132" s="564"/>
      <c r="AF132" s="564"/>
      <c r="AG132" s="564"/>
      <c r="AH132" s="564"/>
      <c r="AI132" s="564"/>
      <c r="AJ132" s="564"/>
    </row>
    <row r="133" spans="1:36" s="65" customFormat="1" x14ac:dyDescent="0.35">
      <c r="A133" s="30"/>
      <c r="B133" s="30" t="str">
        <f t="shared" si="78"/>
        <v>Endeavour</v>
      </c>
      <c r="C133" s="30"/>
      <c r="D133" s="30" t="str">
        <f t="shared" si="79"/>
        <v>controlled load</v>
      </c>
      <c r="E133" s="30" t="s">
        <v>55</v>
      </c>
      <c r="F133" s="258">
        <f>SUM(F120,F121,F127)</f>
        <v>2200</v>
      </c>
      <c r="G133" s="64" t="s">
        <v>55</v>
      </c>
      <c r="H133" s="487"/>
      <c r="I133" s="487"/>
      <c r="J133" s="487">
        <f>J120+J126+J132</f>
        <v>35.676459188760859</v>
      </c>
      <c r="K133" s="564"/>
      <c r="L133" s="566"/>
      <c r="M133" s="564">
        <f t="shared" si="80"/>
        <v>-0.30754284929457754</v>
      </c>
      <c r="N133" s="566"/>
      <c r="O133" s="487"/>
      <c r="P133" s="487"/>
      <c r="Q133" s="487">
        <f>Q120+Q126+Q132</f>
        <v>24.704419277107633</v>
      </c>
      <c r="R133" s="564"/>
      <c r="S133" s="564"/>
      <c r="T133" s="646"/>
      <c r="U133" s="564"/>
      <c r="V133" s="564"/>
      <c r="W133" s="564"/>
      <c r="X133" s="564"/>
      <c r="Y133" s="564"/>
      <c r="Z133" s="564"/>
      <c r="AA133" s="564"/>
      <c r="AB133" s="564"/>
      <c r="AC133" s="564"/>
      <c r="AD133" s="564"/>
      <c r="AE133" s="564"/>
      <c r="AF133" s="564"/>
      <c r="AG133" s="564"/>
      <c r="AH133" s="564"/>
      <c r="AI133" s="564"/>
      <c r="AJ133" s="564"/>
    </row>
    <row r="134" spans="1:36" s="65" customFormat="1" x14ac:dyDescent="0.35">
      <c r="A134" s="30"/>
      <c r="B134" s="30" t="str">
        <f t="shared" si="78"/>
        <v>Endeavour</v>
      </c>
      <c r="C134" s="30"/>
      <c r="D134" s="30" t="str">
        <f t="shared" si="79"/>
        <v>controlled load</v>
      </c>
      <c r="E134" s="30"/>
      <c r="F134" s="258"/>
      <c r="G134" s="30" t="s">
        <v>38</v>
      </c>
      <c r="H134" s="482"/>
      <c r="I134" s="482"/>
      <c r="J134" s="482">
        <f>J133*GST</f>
        <v>3.5676459188760861</v>
      </c>
      <c r="K134" s="484"/>
      <c r="L134" s="568"/>
      <c r="M134" s="484"/>
      <c r="N134" s="568"/>
      <c r="O134" s="482"/>
      <c r="P134" s="482"/>
      <c r="Q134" s="482">
        <f>Q133*GST</f>
        <v>2.4704419277107634</v>
      </c>
      <c r="R134" s="564"/>
      <c r="S134" s="564"/>
      <c r="T134" s="646"/>
      <c r="U134" s="564"/>
      <c r="V134" s="564"/>
      <c r="W134" s="564"/>
      <c r="X134" s="564"/>
      <c r="Y134" s="564"/>
      <c r="Z134" s="564"/>
      <c r="AA134" s="564"/>
      <c r="AB134" s="564"/>
      <c r="AC134" s="564"/>
      <c r="AD134" s="564"/>
      <c r="AE134" s="564"/>
      <c r="AF134" s="564"/>
      <c r="AG134" s="564"/>
      <c r="AH134" s="564"/>
      <c r="AI134" s="564"/>
      <c r="AJ134" s="564"/>
    </row>
    <row r="135" spans="1:36" s="65" customFormat="1" x14ac:dyDescent="0.35">
      <c r="A135" s="30"/>
      <c r="B135" s="30" t="str">
        <f t="shared" si="78"/>
        <v>Endeavour</v>
      </c>
      <c r="C135" s="30"/>
      <c r="D135" s="30" t="str">
        <f t="shared" si="79"/>
        <v>controlled load</v>
      </c>
      <c r="E135" s="30"/>
      <c r="F135" s="258"/>
      <c r="G135" s="64" t="s">
        <v>79</v>
      </c>
      <c r="H135" s="487"/>
      <c r="I135" s="487"/>
      <c r="J135" s="487">
        <f>SUM(J133:J134)</f>
        <v>39.244105107636948</v>
      </c>
      <c r="K135" s="564"/>
      <c r="L135" s="566"/>
      <c r="M135" s="564">
        <f>IF(OR(J135=0,Q135=""),"",Q135/J135-1)</f>
        <v>-0.30754284929457765</v>
      </c>
      <c r="N135" s="566"/>
      <c r="O135" s="487"/>
      <c r="P135" s="487"/>
      <c r="Q135" s="487">
        <f>SUM(Q133:Q134)</f>
        <v>27.174861204818395</v>
      </c>
      <c r="R135" s="564"/>
      <c r="S135" s="564"/>
      <c r="T135" s="646"/>
      <c r="U135" s="564"/>
      <c r="V135" s="564"/>
      <c r="W135" s="564"/>
      <c r="X135" s="564"/>
      <c r="Y135" s="564"/>
      <c r="Z135" s="564"/>
      <c r="AA135" s="564"/>
      <c r="AB135" s="564"/>
      <c r="AC135" s="564"/>
      <c r="AD135" s="564"/>
      <c r="AE135" s="564"/>
      <c r="AF135" s="564"/>
      <c r="AG135" s="564"/>
      <c r="AH135" s="564"/>
      <c r="AI135" s="564"/>
      <c r="AJ135" s="564"/>
    </row>
    <row r="136" spans="1:36" s="65" customFormat="1" x14ac:dyDescent="0.35">
      <c r="A136" s="30"/>
      <c r="B136" s="30"/>
      <c r="C136" s="30"/>
      <c r="D136" s="30"/>
      <c r="E136" s="30"/>
      <c r="F136" s="258"/>
      <c r="G136" s="30"/>
      <c r="H136" s="482"/>
      <c r="I136" s="482"/>
      <c r="J136" s="482"/>
      <c r="K136" s="484"/>
      <c r="L136" s="568"/>
      <c r="M136" s="484"/>
      <c r="N136" s="568"/>
      <c r="O136" s="482"/>
      <c r="P136" s="482"/>
      <c r="Q136" s="482"/>
      <c r="R136" s="484"/>
      <c r="S136" s="484"/>
      <c r="T136" s="644"/>
      <c r="U136" s="484"/>
      <c r="V136" s="484"/>
      <c r="W136" s="484"/>
      <c r="X136" s="484"/>
      <c r="Y136" s="484"/>
      <c r="Z136" s="484"/>
      <c r="AA136" s="484"/>
      <c r="AB136" s="484"/>
      <c r="AC136" s="484"/>
      <c r="AD136" s="484"/>
      <c r="AE136" s="484"/>
      <c r="AF136" s="484"/>
      <c r="AG136" s="484"/>
      <c r="AH136" s="484"/>
      <c r="AI136" s="484"/>
      <c r="AJ136" s="484"/>
    </row>
    <row r="137" spans="1:36" s="65" customFormat="1" x14ac:dyDescent="0.35">
      <c r="A137" s="30"/>
      <c r="B137" s="64" t="s">
        <v>4</v>
      </c>
      <c r="C137" s="64" t="s">
        <v>13</v>
      </c>
      <c r="D137" s="64" t="s">
        <v>276</v>
      </c>
      <c r="E137" s="30"/>
      <c r="F137" s="258"/>
      <c r="G137" s="30"/>
      <c r="H137" s="482"/>
      <c r="I137" s="482"/>
      <c r="J137" s="482"/>
      <c r="K137" s="484"/>
      <c r="L137" s="568"/>
      <c r="M137" s="484"/>
      <c r="N137" s="568"/>
      <c r="O137" s="482"/>
      <c r="P137" s="482"/>
      <c r="Q137" s="482"/>
      <c r="R137" s="484"/>
      <c r="S137" s="484"/>
      <c r="T137" s="644"/>
      <c r="U137" s="484"/>
      <c r="V137" s="484"/>
      <c r="W137" s="484"/>
      <c r="X137" s="484"/>
      <c r="Y137" s="484"/>
      <c r="Z137" s="484"/>
      <c r="AA137" s="484"/>
      <c r="AB137" s="484"/>
      <c r="AC137" s="484"/>
      <c r="AD137" s="484"/>
      <c r="AE137" s="484"/>
      <c r="AF137" s="484"/>
      <c r="AG137" s="484"/>
      <c r="AH137" s="484"/>
      <c r="AI137" s="484"/>
      <c r="AJ137" s="484"/>
    </row>
    <row r="138" spans="1:36" s="65" customFormat="1" x14ac:dyDescent="0.35">
      <c r="A138" s="30"/>
      <c r="B138" s="30" t="str">
        <f t="shared" ref="B138:D145" si="82">B137</f>
        <v>Endeavour</v>
      </c>
      <c r="C138" s="30" t="str">
        <f t="shared" si="82"/>
        <v>Small business</v>
      </c>
      <c r="D138" s="30" t="str">
        <f t="shared" si="82"/>
        <v>flat rate</v>
      </c>
      <c r="E138" s="30" t="s">
        <v>19</v>
      </c>
      <c r="F138" s="258" cm="1">
        <f t="array" ref="F138">IFERROR(_xlfn.XLOOKUP(1,($B138=DistributionZone)*($C138=CustomerType)*($E138=tariffType)*(F$5=Description)*($D138=tariffL2),valuesFY),0)</f>
        <v>10000</v>
      </c>
      <c r="G138" s="30" t="s">
        <v>73</v>
      </c>
      <c r="H138" s="482"/>
      <c r="I138" s="482" cm="1">
        <f t="array" ref="I138">_xlfn.XLOOKUP(1,($B138=DistributionZone)*($G138=Description)*($I$5=Desc_FixedOrVar),valuesPY,0)</f>
        <v>6.1170426505850894</v>
      </c>
      <c r="J138" s="482">
        <f>IF(AND(H138="",I138=""),"",H138+I138*$F138/1000)</f>
        <v>61.170426505850898</v>
      </c>
      <c r="K138" s="484">
        <f>IFERROR(J138/J143,"")</f>
        <v>0.37720934580656779</v>
      </c>
      <c r="L138" s="563"/>
      <c r="M138" s="484">
        <f t="shared" ref="M138:M143" si="83">IF(OR(J138=0,Q138=""),"",Q138/J138-1)</f>
        <v>-0.48482055209325359</v>
      </c>
      <c r="N138" s="563"/>
      <c r="O138" s="482"/>
      <c r="P138" s="482" cm="1">
        <f t="array" ref="P138">_xlfn.XLOOKUP(1,($B138=DistributionZone)*($G138=Description)*($I$5=Desc_FixedOrVar),valuesFY,0)</f>
        <v>3.1513746555504474</v>
      </c>
      <c r="Q138" s="482">
        <f t="shared" ref="Q138:Q143" si="84">IF(AND(O138="",P138=""),"",O138+P138*$F138/1000)</f>
        <v>31.513746555504472</v>
      </c>
      <c r="R138" s="484">
        <f>IFERROR(Q138/Q143,"")</f>
        <v>0.28063902917303041</v>
      </c>
      <c r="S138" s="484"/>
      <c r="T138" s="645"/>
      <c r="U138" s="484"/>
      <c r="V138" s="484"/>
      <c r="W138" s="484"/>
      <c r="X138" s="484"/>
      <c r="Y138" s="484"/>
      <c r="Z138" s="484"/>
      <c r="AA138" s="484"/>
      <c r="AB138" s="484"/>
      <c r="AC138" s="484"/>
      <c r="AD138" s="484"/>
      <c r="AE138" s="484"/>
      <c r="AF138" s="484"/>
      <c r="AG138" s="484"/>
      <c r="AH138" s="484"/>
      <c r="AI138" s="484"/>
      <c r="AJ138" s="484"/>
    </row>
    <row r="139" spans="1:36" s="65" customFormat="1" x14ac:dyDescent="0.35">
      <c r="A139" s="30"/>
      <c r="B139" s="30" t="str">
        <f t="shared" si="82"/>
        <v>Endeavour</v>
      </c>
      <c r="C139" s="30" t="str">
        <f t="shared" si="82"/>
        <v>Small business</v>
      </c>
      <c r="D139" s="30" t="str">
        <f t="shared" si="82"/>
        <v>flat rate</v>
      </c>
      <c r="E139" s="30" t="s">
        <v>19</v>
      </c>
      <c r="F139" s="258">
        <f>F138</f>
        <v>10000</v>
      </c>
      <c r="G139" s="30" t="s">
        <v>74</v>
      </c>
      <c r="H139" s="482"/>
      <c r="I139" s="482" cm="1">
        <f t="array" ref="I139">_xlfn.XLOOKUP(1,($B139=DistributionZone)*($G139=Description)*($I$5=Desc_FixedOrVar),valuesPY,0)</f>
        <v>5.1359999999999992</v>
      </c>
      <c r="J139" s="482">
        <f>IF(AND(H139="",I139=""),"",H139+I139*$F139/1000)</f>
        <v>51.359999999999992</v>
      </c>
      <c r="K139" s="484">
        <f>IFERROR(J139/J143,"")</f>
        <v>0.31671304431353381</v>
      </c>
      <c r="L139" s="563"/>
      <c r="M139" s="484">
        <f t="shared" si="83"/>
        <v>-0.12694704049844219</v>
      </c>
      <c r="N139" s="563"/>
      <c r="O139" s="482"/>
      <c r="P139" s="482" cm="1">
        <f t="array" ref="P139">_xlfn.XLOOKUP(1,($B139=DistributionZone)*($G139=Description)*($I$5=Desc_FixedOrVar),valuesFY,0)</f>
        <v>4.484</v>
      </c>
      <c r="Q139" s="482">
        <f t="shared" si="84"/>
        <v>44.84</v>
      </c>
      <c r="R139" s="484">
        <f>IFERROR(Q139/Q143,"")</f>
        <v>0.3993131710301413</v>
      </c>
      <c r="S139" s="484"/>
      <c r="T139" s="644"/>
      <c r="U139" s="484"/>
      <c r="V139" s="484"/>
      <c r="W139" s="484"/>
      <c r="X139" s="484"/>
      <c r="Y139" s="484"/>
      <c r="Z139" s="484"/>
      <c r="AA139" s="484"/>
      <c r="AB139" s="484"/>
      <c r="AC139" s="484"/>
      <c r="AD139" s="484"/>
      <c r="AE139" s="484"/>
      <c r="AF139" s="484"/>
      <c r="AG139" s="484"/>
      <c r="AH139" s="484"/>
      <c r="AI139" s="484"/>
      <c r="AJ139" s="484"/>
    </row>
    <row r="140" spans="1:36" s="65" customFormat="1" x14ac:dyDescent="0.35">
      <c r="A140" s="30"/>
      <c r="B140" s="30" t="str">
        <f t="shared" si="82"/>
        <v>Endeavour</v>
      </c>
      <c r="C140" s="30" t="str">
        <f t="shared" si="82"/>
        <v>Small business</v>
      </c>
      <c r="D140" s="30" t="str">
        <f t="shared" si="82"/>
        <v>flat rate</v>
      </c>
      <c r="E140" s="30" t="s">
        <v>19</v>
      </c>
      <c r="F140" s="258">
        <f>F139</f>
        <v>10000</v>
      </c>
      <c r="G140" s="30" t="s">
        <v>75</v>
      </c>
      <c r="H140" s="482"/>
      <c r="I140" s="482" cm="1">
        <f t="array" ref="I140">_xlfn.XLOOKUP(1,($B140=DistributionZone)*($G140=Description)*($I$5=Desc_FixedOrVar),valuesPY,0)</f>
        <v>2.1292191637289464</v>
      </c>
      <c r="J140" s="482">
        <f>IF(AND(H140="",I140=""),"",H140+I140*$F140/1000)</f>
        <v>21.292191637289463</v>
      </c>
      <c r="K140" s="484">
        <f>IFERROR(J140/J143,"")</f>
        <v>0.13129896482774753</v>
      </c>
      <c r="L140" s="563"/>
      <c r="M140" s="484">
        <f t="shared" si="83"/>
        <v>0.30545066908580987</v>
      </c>
      <c r="N140" s="563"/>
      <c r="O140" s="482"/>
      <c r="P140" s="482" cm="1">
        <f t="array" ref="P140">_xlfn.XLOOKUP(1,($B140=DistributionZone)*($G140=Description)*($I$5=Desc_FixedOrVar),valuesFY,0)</f>
        <v>2.7795905819202815</v>
      </c>
      <c r="Q140" s="482">
        <f t="shared" si="84"/>
        <v>27.795905819202815</v>
      </c>
      <c r="R140" s="484">
        <f>IFERROR(Q140/Q143,"")</f>
        <v>0.24753058194293115</v>
      </c>
      <c r="S140" s="484"/>
      <c r="T140" s="644"/>
      <c r="U140" s="484"/>
      <c r="V140" s="484"/>
      <c r="W140" s="484"/>
      <c r="X140" s="484"/>
      <c r="Y140" s="484"/>
      <c r="Z140" s="484"/>
      <c r="AA140" s="484"/>
      <c r="AB140" s="484"/>
      <c r="AC140" s="484"/>
      <c r="AD140" s="484"/>
      <c r="AE140" s="484"/>
      <c r="AF140" s="484"/>
      <c r="AG140" s="484"/>
      <c r="AH140" s="484"/>
      <c r="AI140" s="484"/>
      <c r="AJ140" s="484"/>
    </row>
    <row r="141" spans="1:36" s="65" customFormat="1" x14ac:dyDescent="0.35">
      <c r="A141" s="30"/>
      <c r="B141" s="30" t="str">
        <f t="shared" si="82"/>
        <v>Endeavour</v>
      </c>
      <c r="C141" s="30" t="str">
        <f t="shared" si="82"/>
        <v>Small business</v>
      </c>
      <c r="D141" s="30" t="str">
        <f t="shared" si="82"/>
        <v>flat rate</v>
      </c>
      <c r="E141" s="30" t="s">
        <v>19</v>
      </c>
      <c r="F141" s="258">
        <f>F140</f>
        <v>10000</v>
      </c>
      <c r="G141" s="30" t="s">
        <v>155</v>
      </c>
      <c r="H141" s="482"/>
      <c r="I141" s="482" cm="1">
        <f t="array" ref="I141">_xlfn.XLOOKUP(1,($B141=DistributionZone)*($G141=Description)*($I$5=Desc_FixedOrVar),valuesPY,0)</f>
        <v>1.8634456011480964</v>
      </c>
      <c r="J141" s="482">
        <f>IF(AND(H141="",I141=""),"",H141+I141*$F141/1000)</f>
        <v>18.634456011480964</v>
      </c>
      <c r="K141" s="484">
        <f>IFERROR(J141/J143,"")</f>
        <v>0.1149099550724838</v>
      </c>
      <c r="L141" s="563"/>
      <c r="M141" s="484">
        <f t="shared" si="83"/>
        <v>-0.8994584724775363</v>
      </c>
      <c r="N141" s="563"/>
      <c r="O141" s="482"/>
      <c r="P141" s="482" cm="1">
        <f t="array" ref="P141">_xlfn.XLOOKUP(1,($B141=DistributionZone)*($G141=Description)*($I$5=Desc_FixedOrVar),valuesFY,0)</f>
        <v>0.18735366719444529</v>
      </c>
      <c r="Q141" s="482">
        <f t="shared" si="84"/>
        <v>1.8735366719444531</v>
      </c>
      <c r="R141" s="484">
        <f>IFERROR(Q141/Q143,"")</f>
        <v>1.6684386028443288E-2</v>
      </c>
      <c r="S141" s="484"/>
      <c r="T141" s="644"/>
      <c r="U141" s="484"/>
      <c r="V141" s="484"/>
      <c r="W141" s="484"/>
      <c r="X141" s="484"/>
      <c r="Y141" s="484"/>
      <c r="Z141" s="484"/>
      <c r="AA141" s="484"/>
      <c r="AB141" s="484"/>
      <c r="AC141" s="484"/>
      <c r="AD141" s="484"/>
      <c r="AE141" s="484"/>
      <c r="AF141" s="484"/>
      <c r="AG141" s="484"/>
      <c r="AH141" s="484"/>
      <c r="AI141" s="484"/>
      <c r="AJ141" s="484"/>
    </row>
    <row r="142" spans="1:36" s="65" customFormat="1" x14ac:dyDescent="0.35">
      <c r="A142" s="30"/>
      <c r="B142" s="30" t="str">
        <f t="shared" si="82"/>
        <v>Endeavour</v>
      </c>
      <c r="C142" s="30" t="str">
        <f t="shared" si="82"/>
        <v>Small business</v>
      </c>
      <c r="D142" s="30" t="str">
        <f t="shared" si="82"/>
        <v>flat rate</v>
      </c>
      <c r="E142" s="30" t="s">
        <v>19</v>
      </c>
      <c r="F142" s="258">
        <f>F141</f>
        <v>10000</v>
      </c>
      <c r="G142" s="30" t="s">
        <v>72</v>
      </c>
      <c r="H142" s="482"/>
      <c r="I142" s="482" cm="1">
        <f t="array" ref="I142">_xlfn.XLOOKUP(1,($B142=DistributionZone)*($C142=CustomerType)*($D142=tariffL2)*($E142=tariffType)*($G142=Description)*($I$5=Desc_FixedOrVar),valuesPY,0)*SUM(I138:I141)</f>
        <v>0.97086494306553039</v>
      </c>
      <c r="J142" s="482">
        <f>IF(AND(H142="",I142=""),"",H142+I142*$F142/1000)</f>
        <v>9.7086494306553028</v>
      </c>
      <c r="K142" s="484">
        <f>IFERROR(J142/J143,"")</f>
        <v>5.9868689979667024E-2</v>
      </c>
      <c r="L142" s="563"/>
      <c r="M142" s="484">
        <f t="shared" si="83"/>
        <v>-0.35422265536794861</v>
      </c>
      <c r="N142" s="563"/>
      <c r="O142" s="482"/>
      <c r="P142" s="482" cm="1">
        <f t="array" ref="P142">_xlfn.XLOOKUP(1,($B142=DistributionZone)*($C142=CustomerType)*($D142=tariffL2)*($E142=tariffType)*($G142=Description)*($P$5=Desc_FixedOrVar),valuesFY,0)*SUM(P138:P141)</f>
        <v>0.62696258492920598</v>
      </c>
      <c r="Q142" s="482">
        <f t="shared" si="84"/>
        <v>6.2696258492920593</v>
      </c>
      <c r="R142" s="484">
        <f>IFERROR(Q142/Q143,"")</f>
        <v>5.5832831825453948E-2</v>
      </c>
      <c r="S142" s="484"/>
      <c r="T142" s="644"/>
      <c r="U142" s="484"/>
      <c r="V142" s="484"/>
      <c r="W142" s="484"/>
      <c r="X142" s="484"/>
      <c r="Y142" s="484"/>
      <c r="Z142" s="484"/>
      <c r="AA142" s="484"/>
      <c r="AB142" s="484"/>
      <c r="AC142" s="484"/>
      <c r="AD142" s="484"/>
      <c r="AE142" s="484"/>
      <c r="AF142" s="484"/>
      <c r="AG142" s="484"/>
      <c r="AH142" s="484"/>
      <c r="AI142" s="484"/>
      <c r="AJ142" s="484"/>
    </row>
    <row r="143" spans="1:36" s="65" customFormat="1" x14ac:dyDescent="0.35">
      <c r="A143" s="30"/>
      <c r="B143" s="30" t="str">
        <f t="shared" si="82"/>
        <v>Endeavour</v>
      </c>
      <c r="C143" s="30" t="str">
        <f t="shared" si="82"/>
        <v>Small business</v>
      </c>
      <c r="D143" s="30" t="str">
        <f t="shared" si="82"/>
        <v>flat rate</v>
      </c>
      <c r="E143" s="30" t="s">
        <v>19</v>
      </c>
      <c r="F143" s="258">
        <f>F142</f>
        <v>10000</v>
      </c>
      <c r="G143" s="64" t="s">
        <v>55</v>
      </c>
      <c r="H143" s="487">
        <f>SUM(H138:H142)</f>
        <v>0</v>
      </c>
      <c r="I143" s="487">
        <f>SUM(I138:I142)</f>
        <v>16.216572358527664</v>
      </c>
      <c r="J143" s="487">
        <f>IF(AND(H143="",I143=""),"",H143+I143*+Usage!M$39/1000)</f>
        <v>162.16572358527662</v>
      </c>
      <c r="K143" s="564"/>
      <c r="L143" s="566"/>
      <c r="M143" s="564">
        <f t="shared" si="83"/>
        <v>-0.30754284929457743</v>
      </c>
      <c r="N143" s="566"/>
      <c r="O143" s="487">
        <f>SUM(O138:O142)</f>
        <v>0</v>
      </c>
      <c r="P143" s="487">
        <f>SUM(P138:P142)</f>
        <v>11.22928148959438</v>
      </c>
      <c r="Q143" s="487">
        <f t="shared" si="84"/>
        <v>112.29281489594379</v>
      </c>
      <c r="R143" s="564"/>
      <c r="S143" s="564"/>
      <c r="T143" s="646"/>
      <c r="U143" s="564"/>
      <c r="V143" s="564"/>
      <c r="W143" s="564"/>
      <c r="X143" s="564"/>
      <c r="Y143" s="564"/>
      <c r="Z143" s="564"/>
      <c r="AA143" s="564"/>
      <c r="AB143" s="564"/>
      <c r="AC143" s="564"/>
      <c r="AD143" s="564"/>
      <c r="AE143" s="564"/>
      <c r="AF143" s="564"/>
      <c r="AG143" s="564"/>
      <c r="AH143" s="564"/>
      <c r="AI143" s="564"/>
      <c r="AJ143" s="564"/>
    </row>
    <row r="144" spans="1:36" s="65" customFormat="1" x14ac:dyDescent="0.35">
      <c r="A144" s="30"/>
      <c r="B144" s="30" t="str">
        <f t="shared" si="82"/>
        <v>Endeavour</v>
      </c>
      <c r="C144" s="30" t="str">
        <f t="shared" si="82"/>
        <v>Small business</v>
      </c>
      <c r="D144" s="30" t="str">
        <f t="shared" si="82"/>
        <v>flat rate</v>
      </c>
      <c r="E144" s="30"/>
      <c r="F144" s="258"/>
      <c r="G144" s="30" t="s">
        <v>38</v>
      </c>
      <c r="H144" s="482"/>
      <c r="I144" s="482"/>
      <c r="J144" s="482">
        <f>J143*GST</f>
        <v>16.216572358527664</v>
      </c>
      <c r="K144" s="484"/>
      <c r="L144" s="568"/>
      <c r="M144" s="484"/>
      <c r="N144" s="568"/>
      <c r="O144" s="482"/>
      <c r="P144" s="482"/>
      <c r="Q144" s="482">
        <f>Q143*GST</f>
        <v>11.22928148959438</v>
      </c>
      <c r="R144" s="564"/>
      <c r="S144" s="564"/>
      <c r="T144" s="646"/>
      <c r="U144" s="564"/>
      <c r="V144" s="564"/>
      <c r="W144" s="564"/>
      <c r="X144" s="564"/>
      <c r="Y144" s="564"/>
      <c r="Z144" s="564"/>
      <c r="AA144" s="564"/>
      <c r="AB144" s="564"/>
      <c r="AC144" s="564"/>
      <c r="AD144" s="564"/>
      <c r="AE144" s="564"/>
      <c r="AF144" s="564"/>
      <c r="AG144" s="564"/>
      <c r="AH144" s="564"/>
      <c r="AI144" s="564"/>
      <c r="AJ144" s="564"/>
    </row>
    <row r="145" spans="1:36" s="65" customFormat="1" x14ac:dyDescent="0.35">
      <c r="A145" s="30"/>
      <c r="B145" s="30" t="str">
        <f t="shared" si="82"/>
        <v>Endeavour</v>
      </c>
      <c r="C145" s="30" t="str">
        <f t="shared" si="82"/>
        <v>Small business</v>
      </c>
      <c r="D145" s="30" t="str">
        <f t="shared" si="82"/>
        <v>flat rate</v>
      </c>
      <c r="E145" s="30"/>
      <c r="F145" s="258"/>
      <c r="G145" s="64" t="s">
        <v>79</v>
      </c>
      <c r="H145" s="487"/>
      <c r="I145" s="487"/>
      <c r="J145" s="487">
        <f>SUM(J143:J144)</f>
        <v>178.38229594380428</v>
      </c>
      <c r="K145" s="564"/>
      <c r="L145" s="566"/>
      <c r="M145" s="564">
        <f>IF(OR(J145=0,Q145=""),"",Q145/J145-1)</f>
        <v>-0.30754284929457743</v>
      </c>
      <c r="N145" s="566"/>
      <c r="O145" s="487"/>
      <c r="P145" s="487"/>
      <c r="Q145" s="487">
        <f>SUM(Q143:Q144)</f>
        <v>123.52209638553818</v>
      </c>
      <c r="R145" s="564"/>
      <c r="S145" s="564"/>
      <c r="T145" s="646"/>
      <c r="U145" s="564"/>
      <c r="V145" s="564"/>
      <c r="W145" s="564"/>
      <c r="X145" s="564"/>
      <c r="Y145" s="564"/>
      <c r="Z145" s="564"/>
      <c r="AA145" s="564"/>
      <c r="AB145" s="564"/>
      <c r="AC145" s="564"/>
      <c r="AD145" s="564"/>
      <c r="AE145" s="564"/>
      <c r="AF145" s="564"/>
      <c r="AG145" s="564"/>
      <c r="AH145" s="564"/>
      <c r="AI145" s="564"/>
      <c r="AJ145" s="564"/>
    </row>
    <row r="146" spans="1:36" s="65" customFormat="1" x14ac:dyDescent="0.35">
      <c r="A146" s="30"/>
      <c r="B146" s="30"/>
      <c r="C146" s="30"/>
      <c r="D146" s="30"/>
      <c r="E146" s="30"/>
      <c r="F146" s="258"/>
      <c r="G146" s="30"/>
      <c r="H146" s="482"/>
      <c r="I146" s="482"/>
      <c r="J146" s="482"/>
      <c r="K146" s="484"/>
      <c r="L146" s="568"/>
      <c r="M146" s="484"/>
      <c r="N146" s="568"/>
      <c r="O146" s="482"/>
      <c r="P146" s="482"/>
      <c r="Q146" s="482"/>
      <c r="R146" s="484"/>
      <c r="S146" s="484"/>
      <c r="T146" s="644"/>
      <c r="U146" s="484"/>
      <c r="V146" s="484"/>
      <c r="W146" s="484"/>
      <c r="X146" s="484"/>
      <c r="Y146" s="484"/>
      <c r="Z146" s="484"/>
      <c r="AA146" s="484"/>
      <c r="AB146" s="484"/>
      <c r="AC146" s="484"/>
      <c r="AD146" s="484"/>
      <c r="AE146" s="484"/>
      <c r="AF146" s="484"/>
      <c r="AG146" s="484"/>
      <c r="AH146" s="484"/>
      <c r="AI146" s="484"/>
      <c r="AJ146" s="484"/>
    </row>
    <row r="147" spans="1:36" s="627" customFormat="1" x14ac:dyDescent="0.35">
      <c r="A147" s="570"/>
      <c r="B147" s="571" t="s">
        <v>4</v>
      </c>
      <c r="C147" s="571" t="s">
        <v>13</v>
      </c>
      <c r="D147" s="571" t="s">
        <v>272</v>
      </c>
      <c r="E147" s="570"/>
      <c r="F147" s="485"/>
      <c r="G147" s="570"/>
      <c r="H147" s="574"/>
      <c r="I147" s="574"/>
      <c r="J147" s="574"/>
      <c r="K147" s="575"/>
      <c r="L147" s="582"/>
      <c r="M147" s="575"/>
      <c r="N147" s="582"/>
      <c r="O147" s="574"/>
      <c r="P147" s="574"/>
      <c r="Q147" s="574"/>
      <c r="R147" s="575"/>
      <c r="S147" s="575"/>
      <c r="T147" s="649"/>
      <c r="U147" s="575"/>
      <c r="V147" s="575"/>
      <c r="W147" s="575"/>
      <c r="X147" s="575"/>
      <c r="Y147" s="575"/>
      <c r="Z147" s="575"/>
      <c r="AA147" s="575"/>
      <c r="AB147" s="575"/>
      <c r="AC147" s="575"/>
      <c r="AD147" s="575"/>
      <c r="AE147" s="575"/>
      <c r="AF147" s="575"/>
      <c r="AG147" s="575"/>
      <c r="AH147" s="575"/>
      <c r="AI147" s="575"/>
      <c r="AJ147" s="575"/>
    </row>
    <row r="148" spans="1:36" s="627" customFormat="1" x14ac:dyDescent="0.35">
      <c r="A148" s="570"/>
      <c r="B148" s="570" t="str">
        <f t="shared" ref="B148:D148" si="85">B147</f>
        <v>Endeavour</v>
      </c>
      <c r="C148" s="570" t="str">
        <f t="shared" si="85"/>
        <v>Small business</v>
      </c>
      <c r="D148" s="570" t="str">
        <f t="shared" si="85"/>
        <v>time of use</v>
      </c>
      <c r="E148" s="615" t="s">
        <v>279</v>
      </c>
      <c r="F148" s="485" cm="1">
        <f t="array" ref="F148">_xlfn.XLOOKUP(1,($B148=DistributionZone)*($C148=CustomerType)*($D148=tariffL2)*($F$5=Description),valuesPY)*_xlfn.XLOOKUP(1,($B148=DistributionZone)*($C148=CustomerType)*($D148=tariffL2)*($E148=tariffType)*("Usage proportion"=Description),valuesFY)</f>
        <v>6469.8407560338619</v>
      </c>
      <c r="G148" s="570" t="s">
        <v>73</v>
      </c>
      <c r="H148" s="574"/>
      <c r="I148" s="574" cm="1">
        <f t="array" ref="I148">_xlfn.XLOOKUP(1,($B148=DistributionZone)*($G148=Description)*($I$5=Desc_FixedOrVar),valuesPY,0)</f>
        <v>6.1170426505850894</v>
      </c>
      <c r="J148" s="574">
        <f>IF(AND(H148="",I148=""),"",H148+I148*$F148/1000)</f>
        <v>39.57629184715281</v>
      </c>
      <c r="K148" s="575" t="str">
        <f>IFERROR(J148/J153,"")</f>
        <v/>
      </c>
      <c r="L148" s="576"/>
      <c r="M148" s="575">
        <f t="shared" ref="M148:M159" si="86">IF(OR(J148=0,Q148=""),"",Q148/J148-1)</f>
        <v>-0.48482055209325359</v>
      </c>
      <c r="N148" s="576"/>
      <c r="O148" s="574"/>
      <c r="P148" s="574" cm="1">
        <f t="array" ref="P148">_xlfn.XLOOKUP(1,($B148=DistributionZone)*($G148=Description)*($I$5=Desc_FixedOrVar),valuesFY,0)</f>
        <v>3.1513746555504474</v>
      </c>
      <c r="Q148" s="574">
        <f t="shared" ref="Q148:Q159" si="87">IF(AND(O148="",P148=""),"",O148+P148*$F148/1000)</f>
        <v>20.388892184012455</v>
      </c>
      <c r="R148" s="575">
        <f>IFERROR(Q148/Q153,"")</f>
        <v>0.28063902917303035</v>
      </c>
      <c r="S148" s="575"/>
      <c r="T148" s="634"/>
      <c r="U148" s="575"/>
      <c r="V148" s="575"/>
      <c r="W148" s="575"/>
      <c r="X148" s="575"/>
      <c r="Y148" s="575"/>
      <c r="Z148" s="575"/>
      <c r="AA148" s="575"/>
      <c r="AB148" s="575"/>
      <c r="AC148" s="575"/>
      <c r="AD148" s="575"/>
      <c r="AE148" s="575"/>
      <c r="AF148" s="575"/>
      <c r="AG148" s="575"/>
      <c r="AH148" s="575"/>
      <c r="AI148" s="575"/>
      <c r="AJ148" s="575"/>
    </row>
    <row r="149" spans="1:36" s="627" customFormat="1" x14ac:dyDescent="0.35">
      <c r="A149" s="570"/>
      <c r="B149" s="570" t="str">
        <f t="shared" ref="B149:E149" si="88">B148</f>
        <v>Endeavour</v>
      </c>
      <c r="C149" s="570" t="str">
        <f t="shared" si="88"/>
        <v>Small business</v>
      </c>
      <c r="D149" s="570" t="str">
        <f t="shared" si="88"/>
        <v>time of use</v>
      </c>
      <c r="E149" s="570" t="str">
        <f t="shared" si="88"/>
        <v>time of use (Off-peak)</v>
      </c>
      <c r="F149" s="485">
        <f>F148</f>
        <v>6469.8407560338619</v>
      </c>
      <c r="G149" s="570" t="s">
        <v>74</v>
      </c>
      <c r="H149" s="574"/>
      <c r="I149" s="574" cm="1">
        <f t="array" ref="I149">_xlfn.XLOOKUP(1,($B149=DistributionZone)*($G149=Description)*($I$5=Desc_FixedOrVar),valuesPY,0)</f>
        <v>5.1359999999999992</v>
      </c>
      <c r="J149" s="574">
        <f>IF(AND(H149="",I149=""),"",H149+I149*$F149/1000)</f>
        <v>33.229102122989914</v>
      </c>
      <c r="K149" s="575" t="str">
        <f>IFERROR(J149/J153,"")</f>
        <v/>
      </c>
      <c r="L149" s="576"/>
      <c r="M149" s="575">
        <f t="shared" si="86"/>
        <v>-0.1269470404984423</v>
      </c>
      <c r="N149" s="576"/>
      <c r="O149" s="574"/>
      <c r="P149" s="574" cm="1">
        <f t="array" ref="P149">_xlfn.XLOOKUP(1,($B149=DistributionZone)*($G149=Description)*($I$5=Desc_FixedOrVar),valuesFY,0)</f>
        <v>4.484</v>
      </c>
      <c r="Q149" s="574">
        <f t="shared" si="87"/>
        <v>29.010765950055838</v>
      </c>
      <c r="R149" s="575">
        <f>IFERROR(Q149/Q153,"")</f>
        <v>0.39931317103014125</v>
      </c>
      <c r="S149" s="575"/>
      <c r="T149" s="649"/>
      <c r="U149" s="575"/>
      <c r="V149" s="575"/>
      <c r="W149" s="575"/>
      <c r="X149" s="575"/>
      <c r="Y149" s="575"/>
      <c r="Z149" s="575"/>
      <c r="AA149" s="575"/>
      <c r="AB149" s="575"/>
      <c r="AC149" s="575"/>
      <c r="AD149" s="575"/>
      <c r="AE149" s="575"/>
      <c r="AF149" s="575"/>
      <c r="AG149" s="575"/>
      <c r="AH149" s="575"/>
      <c r="AI149" s="575"/>
      <c r="AJ149" s="575"/>
    </row>
    <row r="150" spans="1:36" s="627" customFormat="1" x14ac:dyDescent="0.35">
      <c r="A150" s="570"/>
      <c r="B150" s="570" t="str">
        <f t="shared" ref="B150:E150" si="89">B149</f>
        <v>Endeavour</v>
      </c>
      <c r="C150" s="570" t="str">
        <f t="shared" si="89"/>
        <v>Small business</v>
      </c>
      <c r="D150" s="570" t="str">
        <f t="shared" si="89"/>
        <v>time of use</v>
      </c>
      <c r="E150" s="570" t="str">
        <f t="shared" si="89"/>
        <v>time of use (Off-peak)</v>
      </c>
      <c r="F150" s="485">
        <f>F149</f>
        <v>6469.8407560338619</v>
      </c>
      <c r="G150" s="570" t="s">
        <v>75</v>
      </c>
      <c r="H150" s="574"/>
      <c r="I150" s="574" cm="1">
        <f t="array" ref="I150">_xlfn.XLOOKUP(1,($B150=DistributionZone)*($G150=Description)*($I$5=Desc_FixedOrVar),valuesPY,0)</f>
        <v>2.1292191637289464</v>
      </c>
      <c r="J150" s="574">
        <f>IF(AND(H150="",I150=""),"",H150+I150*$F150/1000)</f>
        <v>13.775708924021874</v>
      </c>
      <c r="K150" s="575" t="str">
        <f>IFERROR(J150/J153,"")</f>
        <v/>
      </c>
      <c r="L150" s="576"/>
      <c r="M150" s="575">
        <f t="shared" si="86"/>
        <v>0.30545066908580987</v>
      </c>
      <c r="N150" s="576"/>
      <c r="O150" s="574"/>
      <c r="P150" s="574" cm="1">
        <f t="array" ref="P150">_xlfn.XLOOKUP(1,($B150=DistributionZone)*($G150=Description)*($I$5=Desc_FixedOrVar),valuesFY,0)</f>
        <v>2.7795905819202815</v>
      </c>
      <c r="Q150" s="574">
        <f t="shared" si="87"/>
        <v>17.983508431995716</v>
      </c>
      <c r="R150" s="575">
        <f>IFERROR(Q150/Q153,"")</f>
        <v>0.24753058194293112</v>
      </c>
      <c r="S150" s="575"/>
      <c r="T150" s="649"/>
      <c r="U150" s="575"/>
      <c r="V150" s="575"/>
      <c r="W150" s="575"/>
      <c r="X150" s="575"/>
      <c r="Y150" s="575"/>
      <c r="Z150" s="575"/>
      <c r="AA150" s="575"/>
      <c r="AB150" s="575"/>
      <c r="AC150" s="575"/>
      <c r="AD150" s="575"/>
      <c r="AE150" s="575"/>
      <c r="AF150" s="575"/>
      <c r="AG150" s="575"/>
      <c r="AH150" s="575"/>
      <c r="AI150" s="575"/>
      <c r="AJ150" s="575"/>
    </row>
    <row r="151" spans="1:36" s="627" customFormat="1" x14ac:dyDescent="0.35">
      <c r="A151" s="570"/>
      <c r="B151" s="570" t="str">
        <f t="shared" ref="B151:E151" si="90">B150</f>
        <v>Endeavour</v>
      </c>
      <c r="C151" s="570" t="str">
        <f t="shared" si="90"/>
        <v>Small business</v>
      </c>
      <c r="D151" s="570" t="str">
        <f t="shared" si="90"/>
        <v>time of use</v>
      </c>
      <c r="E151" s="570" t="str">
        <f t="shared" si="90"/>
        <v>time of use (Off-peak)</v>
      </c>
      <c r="F151" s="485">
        <f>F150</f>
        <v>6469.8407560338619</v>
      </c>
      <c r="G151" s="570" t="s">
        <v>155</v>
      </c>
      <c r="H151" s="574"/>
      <c r="I151" s="574" cm="1">
        <f t="array" ref="I151">_xlfn.XLOOKUP(1,($B151=DistributionZone)*($G151=Description)*($I$5=Desc_FixedOrVar),valuesPY,0)</f>
        <v>1.8634456011480964</v>
      </c>
      <c r="J151" s="574">
        <f>IF(AND(H151="",I151=""),"",H151+I151*$F151/1000)</f>
        <v>12.056196296959975</v>
      </c>
      <c r="K151" s="575" t="str">
        <f>IFERROR(J151/J153,"")</f>
        <v/>
      </c>
      <c r="L151" s="576"/>
      <c r="M151" s="575">
        <f t="shared" si="86"/>
        <v>-0.8994584724775363</v>
      </c>
      <c r="N151" s="576"/>
      <c r="O151" s="574"/>
      <c r="P151" s="574" cm="1">
        <f t="array" ref="P151">_xlfn.XLOOKUP(1,($B151=DistributionZone)*($G151=Description)*($I$5=Desc_FixedOrVar),valuesFY,0)</f>
        <v>0.18735366719444529</v>
      </c>
      <c r="Q151" s="574">
        <f t="shared" si="87"/>
        <v>1.2121483918070264</v>
      </c>
      <c r="R151" s="575">
        <f>IFERROR(Q151/Q153,"")</f>
        <v>1.6684386028443285E-2</v>
      </c>
      <c r="S151" s="575"/>
      <c r="T151" s="649"/>
      <c r="U151" s="575"/>
      <c r="V151" s="575"/>
      <c r="W151" s="575"/>
      <c r="X151" s="575"/>
      <c r="Y151" s="575"/>
      <c r="Z151" s="575"/>
      <c r="AA151" s="575"/>
      <c r="AB151" s="575"/>
      <c r="AC151" s="575"/>
      <c r="AD151" s="575"/>
      <c r="AE151" s="575"/>
      <c r="AF151" s="575"/>
      <c r="AG151" s="575"/>
      <c r="AH151" s="575"/>
      <c r="AI151" s="575"/>
      <c r="AJ151" s="575"/>
    </row>
    <row r="152" spans="1:36" s="627" customFormat="1" x14ac:dyDescent="0.35">
      <c r="A152" s="570"/>
      <c r="B152" s="570" t="str">
        <f t="shared" ref="B152:E152" si="91">B151</f>
        <v>Endeavour</v>
      </c>
      <c r="C152" s="570" t="str">
        <f t="shared" si="91"/>
        <v>Small business</v>
      </c>
      <c r="D152" s="570" t="str">
        <f t="shared" si="91"/>
        <v>time of use</v>
      </c>
      <c r="E152" s="570" t="str">
        <f t="shared" si="91"/>
        <v>time of use (Off-peak)</v>
      </c>
      <c r="F152" s="485">
        <f>F151</f>
        <v>6469.8407560338619</v>
      </c>
      <c r="G152" s="570" t="s">
        <v>72</v>
      </c>
      <c r="H152" s="574"/>
      <c r="I152" s="574" cm="1">
        <f t="array" ref="I152">_xlfn.XLOOKUP(1,($B152=DistributionZone)*($C152=CustomerType)*($D152=tariffL2)*($G152=Description)*($I$5=Desc_FixedOrVar),valuesPY,0)*SUM(I148:I151)</f>
        <v>0</v>
      </c>
      <c r="J152" s="574">
        <f>IF(AND(H152="",I152=""),"",H152+I152*$F152/1000)</f>
        <v>0</v>
      </c>
      <c r="K152" s="575" t="str">
        <f>IFERROR(J152/J153,"")</f>
        <v/>
      </c>
      <c r="L152" s="576"/>
      <c r="M152" s="575" t="str">
        <f t="shared" si="86"/>
        <v/>
      </c>
      <c r="N152" s="576"/>
      <c r="O152" s="574"/>
      <c r="P152" s="574" cm="1">
        <f t="array" ref="P152">_xlfn.XLOOKUP(1,($B152=DistributionZone)*($C152=CustomerType)*($D152=tariffL2)*($G152=Description)*($P$5=Desc_FixedOrVar),valuesFY,0)*SUM(P148:P151)</f>
        <v>0.62696258492920598</v>
      </c>
      <c r="Q152" s="574">
        <f t="shared" si="87"/>
        <v>4.0563480844833188</v>
      </c>
      <c r="R152" s="575">
        <f>IFERROR(Q152/Q153,"")</f>
        <v>5.5832831825453948E-2</v>
      </c>
      <c r="S152" s="575"/>
      <c r="T152" s="649"/>
      <c r="U152" s="575"/>
      <c r="V152" s="575"/>
      <c r="W152" s="575"/>
      <c r="X152" s="575"/>
      <c r="Y152" s="575"/>
      <c r="Z152" s="575"/>
      <c r="AA152" s="575"/>
      <c r="AB152" s="575"/>
      <c r="AC152" s="575"/>
      <c r="AD152" s="575"/>
      <c r="AE152" s="575"/>
      <c r="AF152" s="575"/>
      <c r="AG152" s="575"/>
      <c r="AH152" s="575"/>
      <c r="AI152" s="575"/>
      <c r="AJ152" s="575"/>
    </row>
    <row r="153" spans="1:36" s="627" customFormat="1" x14ac:dyDescent="0.35">
      <c r="A153" s="570"/>
      <c r="B153" s="570" t="str">
        <f t="shared" ref="B153:E153" si="92">B152</f>
        <v>Endeavour</v>
      </c>
      <c r="C153" s="570" t="str">
        <f t="shared" si="92"/>
        <v>Small business</v>
      </c>
      <c r="D153" s="570" t="str">
        <f t="shared" si="92"/>
        <v>time of use</v>
      </c>
      <c r="E153" s="570" t="str">
        <f t="shared" si="92"/>
        <v>time of use (Off-peak)</v>
      </c>
      <c r="F153" s="485">
        <f>F152</f>
        <v>6469.8407560338619</v>
      </c>
      <c r="G153" s="571" t="s">
        <v>55</v>
      </c>
      <c r="H153" s="577">
        <f>IF($H$3=PY,0,SUM(H148:H152))</f>
        <v>0</v>
      </c>
      <c r="I153" s="577">
        <f>IF($H$3=PY,0,SUM(I148:I152))</f>
        <v>0</v>
      </c>
      <c r="J153" s="577">
        <f>IF($H$3=PY,0,SUM(J148:J152))</f>
        <v>0</v>
      </c>
      <c r="K153" s="578"/>
      <c r="L153" s="580"/>
      <c r="M153" s="578" t="str">
        <f t="shared" si="86"/>
        <v/>
      </c>
      <c r="N153" s="580"/>
      <c r="O153" s="577">
        <f>SUM(O148:O152)</f>
        <v>0</v>
      </c>
      <c r="P153" s="577">
        <f>SUM(P148:P152)</f>
        <v>11.22928148959438</v>
      </c>
      <c r="Q153" s="577">
        <f t="shared" si="87"/>
        <v>72.651663042354357</v>
      </c>
      <c r="R153" s="578"/>
      <c r="S153" s="578"/>
      <c r="T153" s="650"/>
      <c r="U153" s="578"/>
      <c r="V153" s="578"/>
      <c r="W153" s="578"/>
      <c r="X153" s="578"/>
      <c r="Y153" s="578"/>
      <c r="Z153" s="578"/>
      <c r="AA153" s="578"/>
      <c r="AB153" s="578"/>
      <c r="AC153" s="578"/>
      <c r="AD153" s="578"/>
      <c r="AE153" s="578"/>
      <c r="AF153" s="578"/>
      <c r="AG153" s="578"/>
      <c r="AH153" s="578"/>
      <c r="AI153" s="578"/>
      <c r="AJ153" s="578"/>
    </row>
    <row r="154" spans="1:36" s="627" customFormat="1" x14ac:dyDescent="0.35">
      <c r="A154" s="570"/>
      <c r="B154" s="570" t="str">
        <f t="shared" ref="B154:D154" si="93">B153</f>
        <v>Endeavour</v>
      </c>
      <c r="C154" s="570" t="str">
        <f t="shared" si="93"/>
        <v>Small business</v>
      </c>
      <c r="D154" s="570" t="str">
        <f t="shared" si="93"/>
        <v>time of use</v>
      </c>
      <c r="E154" s="615" t="s">
        <v>280</v>
      </c>
      <c r="F154" s="485" cm="1">
        <f t="array" ref="F154">_xlfn.XLOOKUP(1,($B154=DistributionZone)*($C154=CustomerType)*($D154=tariffL2)*($F$5=Description),valuesPY)*_xlfn.XLOOKUP(1,($B154=DistributionZone)*($C154=CustomerType)*($D154=tariffL2)*($E154=tariffType)*("Usage proportion"=Description),valuesFY)</f>
        <v>479.35429346441191</v>
      </c>
      <c r="G154" s="570" t="s">
        <v>73</v>
      </c>
      <c r="H154" s="574"/>
      <c r="I154" s="574" cm="1">
        <f t="array" ref="I154">_xlfn.XLOOKUP(1,($B154=DistributionZone)*($G154=Description)*($I$5=Desc_FixedOrVar),valuesPY,0)</f>
        <v>6.1170426505850894</v>
      </c>
      <c r="J154" s="574">
        <f>IF(AND(H154="",I154=""),"",H154+I154*$F154/1000)</f>
        <v>2.9322306578628892</v>
      </c>
      <c r="K154" s="575" t="str">
        <f>IFERROR(J154/J159,"")</f>
        <v/>
      </c>
      <c r="L154" s="576"/>
      <c r="M154" s="575">
        <f t="shared" si="86"/>
        <v>-0.48482055209325359</v>
      </c>
      <c r="N154" s="576"/>
      <c r="O154" s="574"/>
      <c r="P154" s="574" cm="1">
        <f t="array" ref="P154">_xlfn.XLOOKUP(1,($B154=DistributionZone)*($G154=Description)*($I$5=Desc_FixedOrVar),valuesFY,0)</f>
        <v>3.1513746555504474</v>
      </c>
      <c r="Q154" s="574">
        <f t="shared" si="87"/>
        <v>1.5106249714530391</v>
      </c>
      <c r="R154" s="575">
        <f>IFERROR(Q154/Q159,"")</f>
        <v>0.28063902917303041</v>
      </c>
      <c r="S154" s="575"/>
      <c r="T154" s="634"/>
      <c r="U154" s="575"/>
      <c r="V154" s="575"/>
      <c r="W154" s="575"/>
      <c r="X154" s="575"/>
      <c r="Y154" s="575"/>
      <c r="Z154" s="575"/>
      <c r="AA154" s="575"/>
      <c r="AB154" s="575"/>
      <c r="AC154" s="575"/>
      <c r="AD154" s="575"/>
      <c r="AE154" s="575"/>
      <c r="AF154" s="575"/>
      <c r="AG154" s="575"/>
      <c r="AH154" s="575"/>
      <c r="AI154" s="575"/>
      <c r="AJ154" s="575"/>
    </row>
    <row r="155" spans="1:36" s="627" customFormat="1" x14ac:dyDescent="0.35">
      <c r="A155" s="570"/>
      <c r="B155" s="570" t="str">
        <f t="shared" ref="B155:E155" si="94">B154</f>
        <v>Endeavour</v>
      </c>
      <c r="C155" s="570" t="str">
        <f t="shared" si="94"/>
        <v>Small business</v>
      </c>
      <c r="D155" s="570" t="str">
        <f t="shared" si="94"/>
        <v>time of use</v>
      </c>
      <c r="E155" s="570" t="str">
        <f t="shared" si="94"/>
        <v>time of use (HS Peak)</v>
      </c>
      <c r="F155" s="485">
        <f>F154</f>
        <v>479.35429346441191</v>
      </c>
      <c r="G155" s="570" t="s">
        <v>74</v>
      </c>
      <c r="H155" s="574"/>
      <c r="I155" s="574" cm="1">
        <f t="array" ref="I155">_xlfn.XLOOKUP(1,($B155=DistributionZone)*($G155=Description)*($I$5=Desc_FixedOrVar),valuesPY,0)</f>
        <v>5.1359999999999992</v>
      </c>
      <c r="J155" s="574">
        <f>IF(AND(H155="",I155=""),"",H155+I155*$F155/1000)</f>
        <v>2.4619636512332188</v>
      </c>
      <c r="K155" s="575" t="str">
        <f>IFERROR(J155/J159,"")</f>
        <v/>
      </c>
      <c r="L155" s="576"/>
      <c r="M155" s="575">
        <f t="shared" si="86"/>
        <v>-0.12694704049844219</v>
      </c>
      <c r="N155" s="576"/>
      <c r="O155" s="574"/>
      <c r="P155" s="574" cm="1">
        <f t="array" ref="P155">_xlfn.XLOOKUP(1,($B155=DistributionZone)*($G155=Description)*($I$5=Desc_FixedOrVar),valuesFY,0)</f>
        <v>4.484</v>
      </c>
      <c r="Q155" s="574">
        <f t="shared" si="87"/>
        <v>2.1494246518944227</v>
      </c>
      <c r="R155" s="575">
        <f>IFERROR(Q155/Q159,"")</f>
        <v>0.39931317103014119</v>
      </c>
      <c r="S155" s="575"/>
      <c r="T155" s="649"/>
      <c r="U155" s="575"/>
      <c r="V155" s="575"/>
      <c r="W155" s="575"/>
      <c r="X155" s="575"/>
      <c r="Y155" s="575"/>
      <c r="Z155" s="575"/>
      <c r="AA155" s="575"/>
      <c r="AB155" s="575"/>
      <c r="AC155" s="575"/>
      <c r="AD155" s="575"/>
      <c r="AE155" s="575"/>
      <c r="AF155" s="575"/>
      <c r="AG155" s="575"/>
      <c r="AH155" s="575"/>
      <c r="AI155" s="575"/>
      <c r="AJ155" s="575"/>
    </row>
    <row r="156" spans="1:36" s="627" customFormat="1" x14ac:dyDescent="0.35">
      <c r="A156" s="570"/>
      <c r="B156" s="570" t="str">
        <f t="shared" ref="B156:E156" si="95">B155</f>
        <v>Endeavour</v>
      </c>
      <c r="C156" s="570" t="str">
        <f t="shared" si="95"/>
        <v>Small business</v>
      </c>
      <c r="D156" s="570" t="str">
        <f t="shared" si="95"/>
        <v>time of use</v>
      </c>
      <c r="E156" s="570" t="str">
        <f t="shared" si="95"/>
        <v>time of use (HS Peak)</v>
      </c>
      <c r="F156" s="485">
        <f>F155</f>
        <v>479.35429346441191</v>
      </c>
      <c r="G156" s="570" t="s">
        <v>75</v>
      </c>
      <c r="H156" s="574"/>
      <c r="I156" s="574" cm="1">
        <f t="array" ref="I156">_xlfn.XLOOKUP(1,($B156=DistributionZone)*($G156=Description)*($I$5=Desc_FixedOrVar),valuesPY,0)</f>
        <v>2.1292191637289464</v>
      </c>
      <c r="J156" s="574">
        <f>IF(AND(H156="",I156=""),"",H156+I156*$F156/1000)</f>
        <v>1.0206503478601752</v>
      </c>
      <c r="K156" s="575" t="str">
        <f>IFERROR(J156/J159,"")</f>
        <v/>
      </c>
      <c r="L156" s="576"/>
      <c r="M156" s="575">
        <f t="shared" si="86"/>
        <v>0.30545066908580965</v>
      </c>
      <c r="N156" s="576"/>
      <c r="O156" s="574"/>
      <c r="P156" s="574" cm="1">
        <f t="array" ref="P156">_xlfn.XLOOKUP(1,($B156=DistributionZone)*($G156=Description)*($I$5=Desc_FixedOrVar),valuesFY,0)</f>
        <v>2.7795905819202815</v>
      </c>
      <c r="Q156" s="574">
        <f t="shared" si="87"/>
        <v>1.33240867951673</v>
      </c>
      <c r="R156" s="575">
        <f>IFERROR(Q156/Q159,"")</f>
        <v>0.24753058194293112</v>
      </c>
      <c r="S156" s="575"/>
      <c r="T156" s="649"/>
      <c r="U156" s="575"/>
      <c r="V156" s="575"/>
      <c r="W156" s="575"/>
      <c r="X156" s="575"/>
      <c r="Y156" s="575"/>
      <c r="Z156" s="575"/>
      <c r="AA156" s="575"/>
      <c r="AB156" s="575"/>
      <c r="AC156" s="575"/>
      <c r="AD156" s="575"/>
      <c r="AE156" s="575"/>
      <c r="AF156" s="575"/>
      <c r="AG156" s="575"/>
      <c r="AH156" s="575"/>
      <c r="AI156" s="575"/>
      <c r="AJ156" s="575"/>
    </row>
    <row r="157" spans="1:36" s="627" customFormat="1" x14ac:dyDescent="0.35">
      <c r="A157" s="570"/>
      <c r="B157" s="570" t="str">
        <f t="shared" ref="B157:E157" si="96">B156</f>
        <v>Endeavour</v>
      </c>
      <c r="C157" s="570" t="str">
        <f t="shared" si="96"/>
        <v>Small business</v>
      </c>
      <c r="D157" s="570" t="str">
        <f t="shared" si="96"/>
        <v>time of use</v>
      </c>
      <c r="E157" s="570" t="str">
        <f t="shared" si="96"/>
        <v>time of use (HS Peak)</v>
      </c>
      <c r="F157" s="485">
        <f>F156</f>
        <v>479.35429346441191</v>
      </c>
      <c r="G157" s="570" t="s">
        <v>155</v>
      </c>
      <c r="H157" s="574"/>
      <c r="I157" s="574" cm="1">
        <f t="array" ref="I157">_xlfn.XLOOKUP(1,($B157=DistributionZone)*($G157=Description)*($I$5=Desc_FixedOrVar),valuesPY,0)</f>
        <v>1.8634456011480964</v>
      </c>
      <c r="J157" s="574">
        <f>IF(AND(H157="",I157=""),"",H157+I157*$F157/1000)</f>
        <v>0.89325064954771205</v>
      </c>
      <c r="K157" s="575" t="str">
        <f>IFERROR(J157/J159,"")</f>
        <v/>
      </c>
      <c r="L157" s="576"/>
      <c r="M157" s="575">
        <f t="shared" si="86"/>
        <v>-0.8994584724775363</v>
      </c>
      <c r="N157" s="576"/>
      <c r="O157" s="574"/>
      <c r="P157" s="574" cm="1">
        <f t="array" ref="P157">_xlfn.XLOOKUP(1,($B157=DistributionZone)*($G157=Description)*($I$5=Desc_FixedOrVar),valuesFY,0)</f>
        <v>0.18735366719444529</v>
      </c>
      <c r="Q157" s="574">
        <f t="shared" si="87"/>
        <v>8.9808784765959895E-2</v>
      </c>
      <c r="R157" s="575">
        <f>IFERROR(Q157/Q159,"")</f>
        <v>1.6684386028443288E-2</v>
      </c>
      <c r="S157" s="575"/>
      <c r="T157" s="649"/>
      <c r="U157" s="575"/>
      <c r="V157" s="575"/>
      <c r="W157" s="575"/>
      <c r="X157" s="575"/>
      <c r="Y157" s="575"/>
      <c r="Z157" s="575"/>
      <c r="AA157" s="575"/>
      <c r="AB157" s="575"/>
      <c r="AC157" s="575"/>
      <c r="AD157" s="575"/>
      <c r="AE157" s="575"/>
      <c r="AF157" s="575"/>
      <c r="AG157" s="575"/>
      <c r="AH157" s="575"/>
      <c r="AI157" s="575"/>
      <c r="AJ157" s="575"/>
    </row>
    <row r="158" spans="1:36" s="627" customFormat="1" x14ac:dyDescent="0.35">
      <c r="A158" s="570"/>
      <c r="B158" s="570" t="str">
        <f t="shared" ref="B158:E158" si="97">B157</f>
        <v>Endeavour</v>
      </c>
      <c r="C158" s="570" t="str">
        <f t="shared" si="97"/>
        <v>Small business</v>
      </c>
      <c r="D158" s="570" t="str">
        <f t="shared" si="97"/>
        <v>time of use</v>
      </c>
      <c r="E158" s="570" t="str">
        <f t="shared" si="97"/>
        <v>time of use (HS Peak)</v>
      </c>
      <c r="F158" s="485">
        <f>F157</f>
        <v>479.35429346441191</v>
      </c>
      <c r="G158" s="570" t="s">
        <v>72</v>
      </c>
      <c r="H158" s="574"/>
      <c r="I158" s="574" cm="1">
        <f t="array" ref="I158">_xlfn.XLOOKUP(1,($B158=DistributionZone)*($C158=CustomerType)*($D158=tariffL2)*($G158=Description)*($I$5=Desc_FixedOrVar),valuesPY,0)*SUM(I154:I157)</f>
        <v>0</v>
      </c>
      <c r="J158" s="574">
        <f>IF(AND(H158="",I158=""),"",H158+I158*$F158/1000)</f>
        <v>0</v>
      </c>
      <c r="K158" s="575" t="str">
        <f>IFERROR(J158/J159,"")</f>
        <v/>
      </c>
      <c r="L158" s="576"/>
      <c r="M158" s="575" t="str">
        <f t="shared" si="86"/>
        <v/>
      </c>
      <c r="N158" s="576"/>
      <c r="O158" s="574"/>
      <c r="P158" s="574" cm="1">
        <f t="array" ref="P158">_xlfn.XLOOKUP(1,($B158=DistributionZone)*($C158=CustomerType)*($D158=tariffL2)*($G158=Description)*($P$5=Desc_FixedOrVar),valuesFY,0)*SUM(P154:P157)</f>
        <v>0.62696258492920598</v>
      </c>
      <c r="Q158" s="574">
        <f t="shared" si="87"/>
        <v>0.30053720692736091</v>
      </c>
      <c r="R158" s="575">
        <f>IFERROR(Q158/Q159,"")</f>
        <v>5.5832831825453955E-2</v>
      </c>
      <c r="S158" s="575"/>
      <c r="T158" s="649"/>
      <c r="U158" s="575"/>
      <c r="V158" s="575"/>
      <c r="W158" s="575"/>
      <c r="X158" s="575"/>
      <c r="Y158" s="575"/>
      <c r="Z158" s="575"/>
      <c r="AA158" s="575"/>
      <c r="AB158" s="575"/>
      <c r="AC158" s="575"/>
      <c r="AD158" s="575"/>
      <c r="AE158" s="575"/>
      <c r="AF158" s="575"/>
      <c r="AG158" s="575"/>
      <c r="AH158" s="575"/>
      <c r="AI158" s="575"/>
      <c r="AJ158" s="575"/>
    </row>
    <row r="159" spans="1:36" s="627" customFormat="1" x14ac:dyDescent="0.35">
      <c r="A159" s="570"/>
      <c r="B159" s="570" t="str">
        <f t="shared" ref="B159:E159" si="98">B158</f>
        <v>Endeavour</v>
      </c>
      <c r="C159" s="570" t="str">
        <f t="shared" si="98"/>
        <v>Small business</v>
      </c>
      <c r="D159" s="570" t="str">
        <f t="shared" si="98"/>
        <v>time of use</v>
      </c>
      <c r="E159" s="570" t="str">
        <f t="shared" si="98"/>
        <v>time of use (HS Peak)</v>
      </c>
      <c r="F159" s="485">
        <f>F158</f>
        <v>479.35429346441191</v>
      </c>
      <c r="G159" s="571" t="s">
        <v>55</v>
      </c>
      <c r="H159" s="577">
        <f>IF($H$3=PY,0,SUM(H154:H158))</f>
        <v>0</v>
      </c>
      <c r="I159" s="577">
        <f>IF($H$3=PY,0,SUM(I154:I158))</f>
        <v>0</v>
      </c>
      <c r="J159" s="577">
        <f>IF($H$3=PY,0,SUM(J154:J158))</f>
        <v>0</v>
      </c>
      <c r="K159" s="578"/>
      <c r="L159" s="580"/>
      <c r="M159" s="578" t="str">
        <f t="shared" si="86"/>
        <v/>
      </c>
      <c r="N159" s="580"/>
      <c r="O159" s="577">
        <f>SUM(O154:O158)</f>
        <v>0</v>
      </c>
      <c r="P159" s="577">
        <f>SUM(P154:P158)</f>
        <v>11.22928148959438</v>
      </c>
      <c r="Q159" s="577">
        <f t="shared" si="87"/>
        <v>5.3828042945575127</v>
      </c>
      <c r="R159" s="578"/>
      <c r="S159" s="578"/>
      <c r="T159" s="650"/>
      <c r="U159" s="578"/>
      <c r="V159" s="578"/>
      <c r="W159" s="578"/>
      <c r="X159" s="578"/>
      <c r="Y159" s="578"/>
      <c r="Z159" s="578"/>
      <c r="AA159" s="578"/>
      <c r="AB159" s="578"/>
      <c r="AC159" s="578"/>
      <c r="AD159" s="578"/>
      <c r="AE159" s="578"/>
      <c r="AF159" s="578"/>
      <c r="AG159" s="578"/>
      <c r="AH159" s="578"/>
      <c r="AI159" s="578"/>
      <c r="AJ159" s="578"/>
    </row>
    <row r="160" spans="1:36" s="627" customFormat="1" x14ac:dyDescent="0.35">
      <c r="A160" s="570"/>
      <c r="B160" s="570" t="str">
        <f t="shared" ref="B160:D160" si="99">B159</f>
        <v>Endeavour</v>
      </c>
      <c r="C160" s="570" t="str">
        <f t="shared" si="99"/>
        <v>Small business</v>
      </c>
      <c r="D160" s="570" t="str">
        <f t="shared" si="99"/>
        <v>time of use</v>
      </c>
      <c r="E160" s="615" t="s">
        <v>281</v>
      </c>
      <c r="F160" s="485" cm="1">
        <f t="array" ref="F160">_xlfn.XLOOKUP(1,($B160=DistributionZone)*($C160=CustomerType)*($D160=tariffL2)*($F$5=Description),valuesPY)*_xlfn.XLOOKUP(1,($B160=DistributionZone)*($C160=CustomerType)*($D160=tariffL2)*($E160=tariffType)*("Usage proportion"=Description),valuesFY)</f>
        <v>704.93278450648802</v>
      </c>
      <c r="G160" s="570" t="s">
        <v>73</v>
      </c>
      <c r="H160" s="574"/>
      <c r="I160" s="574" cm="1">
        <f t="array" ref="I160">_xlfn.XLOOKUP(1,($B160=DistributionZone)*($G160=Description)*($I$5=Desc_FixedOrVar),valuesPY,0)</f>
        <v>6.1170426505850894</v>
      </c>
      <c r="J160" s="574">
        <f>IF(AND(H160="",I160=""),"",H160+I160*$F160/1000)</f>
        <v>4.3121039086218955</v>
      </c>
      <c r="K160" s="575" t="str">
        <f>IFERROR(J160/J165,"")</f>
        <v/>
      </c>
      <c r="L160" s="576"/>
      <c r="M160" s="575">
        <f t="shared" ref="M160:M165" si="100">IF(OR(J160=0,Q160=""),"",Q160/J160-1)</f>
        <v>-0.4848205520932537</v>
      </c>
      <c r="N160" s="576"/>
      <c r="O160" s="574"/>
      <c r="P160" s="574" cm="1">
        <f t="array" ref="P160">_xlfn.XLOOKUP(1,($B160=DistributionZone)*($G160=Description)*($I$5=Desc_FixedOrVar),valuesFY,0)</f>
        <v>3.1513746555504474</v>
      </c>
      <c r="Q160" s="574">
        <f t="shared" ref="Q160:Q165" si="101">IF(AND(O160="",P160=""),"",O160+P160*$F160/1000)</f>
        <v>2.2215073109603511</v>
      </c>
      <c r="R160" s="575">
        <f>IFERROR(Q160/Q165,"")</f>
        <v>0.28063902917303035</v>
      </c>
      <c r="S160" s="575"/>
      <c r="T160" s="634"/>
      <c r="U160" s="575"/>
      <c r="V160" s="575"/>
      <c r="W160" s="575"/>
      <c r="X160" s="575"/>
      <c r="Y160" s="575"/>
      <c r="Z160" s="575"/>
      <c r="AA160" s="575"/>
      <c r="AB160" s="575"/>
      <c r="AC160" s="575"/>
      <c r="AD160" s="575"/>
      <c r="AE160" s="575"/>
      <c r="AF160" s="575"/>
      <c r="AG160" s="575"/>
      <c r="AH160" s="575"/>
      <c r="AI160" s="575"/>
      <c r="AJ160" s="575"/>
    </row>
    <row r="161" spans="1:36" s="627" customFormat="1" x14ac:dyDescent="0.35">
      <c r="A161" s="570"/>
      <c r="B161" s="570" t="str">
        <f t="shared" ref="B161:E161" si="102">B160</f>
        <v>Endeavour</v>
      </c>
      <c r="C161" s="570" t="str">
        <f t="shared" si="102"/>
        <v>Small business</v>
      </c>
      <c r="D161" s="570" t="str">
        <f t="shared" si="102"/>
        <v>time of use</v>
      </c>
      <c r="E161" s="570" t="str">
        <f t="shared" si="102"/>
        <v>time of use (LS Peak)</v>
      </c>
      <c r="F161" s="485">
        <f>F160</f>
        <v>704.93278450648802</v>
      </c>
      <c r="G161" s="570" t="s">
        <v>74</v>
      </c>
      <c r="H161" s="574"/>
      <c r="I161" s="574" cm="1">
        <f t="array" ref="I161">_xlfn.XLOOKUP(1,($B161=DistributionZone)*($G161=Description)*($I$5=Desc_FixedOrVar),valuesPY,0)</f>
        <v>5.1359999999999992</v>
      </c>
      <c r="J161" s="574">
        <f>IF(AND(H161="",I161=""),"",H161+I161*$F161/1000)</f>
        <v>3.6205347812253224</v>
      </c>
      <c r="K161" s="575" t="str">
        <f>IFERROR(J161/J165,"")</f>
        <v/>
      </c>
      <c r="L161" s="576"/>
      <c r="M161" s="575">
        <f t="shared" si="100"/>
        <v>-0.12694704049844241</v>
      </c>
      <c r="N161" s="576"/>
      <c r="O161" s="574"/>
      <c r="P161" s="574" cm="1">
        <f t="array" ref="P161">_xlfn.XLOOKUP(1,($B161=DistributionZone)*($G161=Description)*($I$5=Desc_FixedOrVar),valuesFY,0)</f>
        <v>4.484</v>
      </c>
      <c r="Q161" s="574">
        <f t="shared" si="101"/>
        <v>3.1609186057270922</v>
      </c>
      <c r="R161" s="575">
        <f>IFERROR(Q161/Q165,"")</f>
        <v>0.39931317103014125</v>
      </c>
      <c r="S161" s="575"/>
      <c r="T161" s="649"/>
      <c r="U161" s="575"/>
      <c r="V161" s="575"/>
      <c r="W161" s="575"/>
      <c r="X161" s="575"/>
      <c r="Y161" s="575"/>
      <c r="Z161" s="575"/>
      <c r="AA161" s="575"/>
      <c r="AB161" s="575"/>
      <c r="AC161" s="575"/>
      <c r="AD161" s="575"/>
      <c r="AE161" s="575"/>
      <c r="AF161" s="575"/>
      <c r="AG161" s="575"/>
      <c r="AH161" s="575"/>
      <c r="AI161" s="575"/>
      <c r="AJ161" s="575"/>
    </row>
    <row r="162" spans="1:36" s="627" customFormat="1" x14ac:dyDescent="0.35">
      <c r="A162" s="570"/>
      <c r="B162" s="570" t="str">
        <f t="shared" ref="B162:E162" si="103">B161</f>
        <v>Endeavour</v>
      </c>
      <c r="C162" s="570" t="str">
        <f t="shared" si="103"/>
        <v>Small business</v>
      </c>
      <c r="D162" s="570" t="str">
        <f t="shared" si="103"/>
        <v>time of use</v>
      </c>
      <c r="E162" s="570" t="str">
        <f t="shared" si="103"/>
        <v>time of use (LS Peak)</v>
      </c>
      <c r="F162" s="485">
        <f>F161</f>
        <v>704.93278450648802</v>
      </c>
      <c r="G162" s="570" t="s">
        <v>75</v>
      </c>
      <c r="H162" s="574"/>
      <c r="I162" s="574" cm="1">
        <f t="array" ref="I162">_xlfn.XLOOKUP(1,($B162=DistributionZone)*($G162=Description)*($I$5=Desc_FixedOrVar),valuesPY,0)</f>
        <v>2.1292191637289464</v>
      </c>
      <c r="J162" s="574">
        <f>IF(AND(H162="",I162=""),"",H162+I162*$F162/1000)</f>
        <v>1.5009563939120218</v>
      </c>
      <c r="K162" s="575" t="str">
        <f>IFERROR(J162/J165,"")</f>
        <v/>
      </c>
      <c r="L162" s="576"/>
      <c r="M162" s="575">
        <f t="shared" si="100"/>
        <v>0.30545066908581009</v>
      </c>
      <c r="N162" s="576"/>
      <c r="O162" s="574"/>
      <c r="P162" s="574" cm="1">
        <f t="array" ref="P162">_xlfn.XLOOKUP(1,($B162=DistributionZone)*($G162=Description)*($I$5=Desc_FixedOrVar),valuesFY,0)</f>
        <v>2.7795905819202815</v>
      </c>
      <c r="Q162" s="574">
        <f t="shared" si="101"/>
        <v>1.9594245287010736</v>
      </c>
      <c r="R162" s="575">
        <f>IFERROR(Q162/Q165,"")</f>
        <v>0.24753058194293118</v>
      </c>
      <c r="S162" s="575"/>
      <c r="T162" s="649"/>
      <c r="U162" s="575"/>
      <c r="V162" s="575"/>
      <c r="W162" s="575"/>
      <c r="X162" s="575"/>
      <c r="Y162" s="575"/>
      <c r="Z162" s="575"/>
      <c r="AA162" s="575"/>
      <c r="AB162" s="575"/>
      <c r="AC162" s="575"/>
      <c r="AD162" s="575"/>
      <c r="AE162" s="575"/>
      <c r="AF162" s="575"/>
      <c r="AG162" s="575"/>
      <c r="AH162" s="575"/>
      <c r="AI162" s="575"/>
      <c r="AJ162" s="575"/>
    </row>
    <row r="163" spans="1:36" s="627" customFormat="1" x14ac:dyDescent="0.35">
      <c r="A163" s="570"/>
      <c r="B163" s="570" t="str">
        <f t="shared" ref="B163:E163" si="104">B162</f>
        <v>Endeavour</v>
      </c>
      <c r="C163" s="570" t="str">
        <f t="shared" si="104"/>
        <v>Small business</v>
      </c>
      <c r="D163" s="570" t="str">
        <f t="shared" si="104"/>
        <v>time of use</v>
      </c>
      <c r="E163" s="570" t="str">
        <f t="shared" si="104"/>
        <v>time of use (LS Peak)</v>
      </c>
      <c r="F163" s="485">
        <f>F162</f>
        <v>704.93278450648802</v>
      </c>
      <c r="G163" s="570" t="s">
        <v>155</v>
      </c>
      <c r="H163" s="574"/>
      <c r="I163" s="574" cm="1">
        <f t="array" ref="I163">_xlfn.XLOOKUP(1,($B163=DistributionZone)*($G163=Description)*($I$5=Desc_FixedOrVar),valuesPY,0)</f>
        <v>1.8634456011480964</v>
      </c>
      <c r="J163" s="574">
        <f>IF(AND(H163="",I163=""),"",H163+I163*$F163/1000)</f>
        <v>1.3136038963936942</v>
      </c>
      <c r="K163" s="575" t="str">
        <f>IFERROR(J163/J165,"")</f>
        <v/>
      </c>
      <c r="L163" s="576"/>
      <c r="M163" s="575">
        <f t="shared" si="100"/>
        <v>-0.8994584724775363</v>
      </c>
      <c r="N163" s="576"/>
      <c r="O163" s="574"/>
      <c r="P163" s="574" cm="1">
        <f t="array" ref="P163">_xlfn.XLOOKUP(1,($B163=DistributionZone)*($G163=Description)*($I$5=Desc_FixedOrVar),valuesFY,0)</f>
        <v>0.18735366719444529</v>
      </c>
      <c r="Q163" s="574">
        <f t="shared" si="101"/>
        <v>0.13207174230288218</v>
      </c>
      <c r="R163" s="575">
        <f>IFERROR(Q163/Q165,"")</f>
        <v>1.6684386028443288E-2</v>
      </c>
      <c r="S163" s="575"/>
      <c r="T163" s="649"/>
      <c r="U163" s="575"/>
      <c r="V163" s="575"/>
      <c r="W163" s="575"/>
      <c r="X163" s="575"/>
      <c r="Y163" s="575"/>
      <c r="Z163" s="575"/>
      <c r="AA163" s="575"/>
      <c r="AB163" s="575"/>
      <c r="AC163" s="575"/>
      <c r="AD163" s="575"/>
      <c r="AE163" s="575"/>
      <c r="AF163" s="575"/>
      <c r="AG163" s="575"/>
      <c r="AH163" s="575"/>
      <c r="AI163" s="575"/>
      <c r="AJ163" s="575"/>
    </row>
    <row r="164" spans="1:36" s="627" customFormat="1" x14ac:dyDescent="0.35">
      <c r="A164" s="570"/>
      <c r="B164" s="570" t="str">
        <f t="shared" ref="B164:E164" si="105">B163</f>
        <v>Endeavour</v>
      </c>
      <c r="C164" s="570" t="str">
        <f t="shared" si="105"/>
        <v>Small business</v>
      </c>
      <c r="D164" s="570" t="str">
        <f t="shared" si="105"/>
        <v>time of use</v>
      </c>
      <c r="E164" s="570" t="str">
        <f t="shared" si="105"/>
        <v>time of use (LS Peak)</v>
      </c>
      <c r="F164" s="485">
        <f>F163</f>
        <v>704.93278450648802</v>
      </c>
      <c r="G164" s="570" t="s">
        <v>72</v>
      </c>
      <c r="H164" s="574"/>
      <c r="I164" s="574" cm="1">
        <f t="array" ref="I164">_xlfn.XLOOKUP(1,($B164=DistributionZone)*($C164=CustomerType)*($D164=tariffL2)*($G164=Description)*($I$5=Desc_FixedOrVar),valuesPY,0)*SUM(I160:I163)</f>
        <v>0</v>
      </c>
      <c r="J164" s="574">
        <f>IF(AND(H164="",I164=""),"",H164+I164*$F164/1000)</f>
        <v>0</v>
      </c>
      <c r="K164" s="575" t="str">
        <f>IFERROR(J164/J165,"")</f>
        <v/>
      </c>
      <c r="L164" s="576"/>
      <c r="M164" s="575" t="str">
        <f t="shared" si="100"/>
        <v/>
      </c>
      <c r="N164" s="576"/>
      <c r="O164" s="574"/>
      <c r="P164" s="574" cm="1">
        <f t="array" ref="P164">_xlfn.XLOOKUP(1,($B164=DistributionZone)*($C164=CustomerType)*($D164=tariffL2)*($G164=Description)*($P$5=Desc_FixedOrVar),valuesFY,0)*SUM(P160:P163)</f>
        <v>0.62696258492920598</v>
      </c>
      <c r="Q164" s="574">
        <f t="shared" si="101"/>
        <v>0.44196648077553069</v>
      </c>
      <c r="R164" s="575">
        <f>IFERROR(Q164/Q165,"")</f>
        <v>5.5832831825453955E-2</v>
      </c>
      <c r="S164" s="575"/>
      <c r="T164" s="649"/>
      <c r="U164" s="575"/>
      <c r="V164" s="575"/>
      <c r="W164" s="575"/>
      <c r="X164" s="575"/>
      <c r="Y164" s="575"/>
      <c r="Z164" s="575"/>
      <c r="AA164" s="575"/>
      <c r="AB164" s="575"/>
      <c r="AC164" s="575"/>
      <c r="AD164" s="575"/>
      <c r="AE164" s="575"/>
      <c r="AF164" s="575"/>
      <c r="AG164" s="575"/>
      <c r="AH164" s="575"/>
      <c r="AI164" s="575"/>
      <c r="AJ164" s="575"/>
    </row>
    <row r="165" spans="1:36" s="627" customFormat="1" x14ac:dyDescent="0.35">
      <c r="A165" s="570"/>
      <c r="B165" s="570" t="str">
        <f t="shared" ref="B165:E165" si="106">B164</f>
        <v>Endeavour</v>
      </c>
      <c r="C165" s="570" t="str">
        <f t="shared" si="106"/>
        <v>Small business</v>
      </c>
      <c r="D165" s="570" t="str">
        <f t="shared" si="106"/>
        <v>time of use</v>
      </c>
      <c r="E165" s="570" t="str">
        <f t="shared" si="106"/>
        <v>time of use (LS Peak)</v>
      </c>
      <c r="F165" s="485">
        <f>F164</f>
        <v>704.93278450648802</v>
      </c>
      <c r="G165" s="571" t="s">
        <v>55</v>
      </c>
      <c r="H165" s="577">
        <f>IF($H$3=PY,0,SUM(H160:H164))</f>
        <v>0</v>
      </c>
      <c r="I165" s="577">
        <f>IF($H$3=PY,0,SUM(I160:I164))</f>
        <v>0</v>
      </c>
      <c r="J165" s="577">
        <f>IF($H$3=PY,0,SUM(J160:J164))</f>
        <v>0</v>
      </c>
      <c r="K165" s="578"/>
      <c r="L165" s="580"/>
      <c r="M165" s="578" t="str">
        <f t="shared" si="100"/>
        <v/>
      </c>
      <c r="N165" s="580"/>
      <c r="O165" s="577">
        <f>SUM(O160:O164)</f>
        <v>0</v>
      </c>
      <c r="P165" s="577">
        <f>SUM(P160:P164)</f>
        <v>11.22928148959438</v>
      </c>
      <c r="Q165" s="577">
        <f t="shared" si="101"/>
        <v>7.9158886684669296</v>
      </c>
      <c r="R165" s="578"/>
      <c r="S165" s="578"/>
      <c r="T165" s="650"/>
      <c r="U165" s="578"/>
      <c r="V165" s="578"/>
      <c r="W165" s="578"/>
      <c r="X165" s="578"/>
      <c r="Y165" s="578"/>
      <c r="Z165" s="578"/>
      <c r="AA165" s="578"/>
      <c r="AB165" s="578"/>
      <c r="AC165" s="578"/>
      <c r="AD165" s="578"/>
      <c r="AE165" s="578"/>
      <c r="AF165" s="578"/>
      <c r="AG165" s="578"/>
      <c r="AH165" s="578"/>
      <c r="AI165" s="578"/>
      <c r="AJ165" s="578"/>
    </row>
    <row r="166" spans="1:36" s="627" customFormat="1" x14ac:dyDescent="0.35">
      <c r="A166" s="570"/>
      <c r="B166" s="570" t="str">
        <f t="shared" ref="B166:D166" si="107">B165</f>
        <v>Endeavour</v>
      </c>
      <c r="C166" s="570" t="str">
        <f t="shared" si="107"/>
        <v>Small business</v>
      </c>
      <c r="D166" s="570" t="str">
        <f t="shared" si="107"/>
        <v>time of use</v>
      </c>
      <c r="E166" s="615" t="s">
        <v>282</v>
      </c>
      <c r="F166" s="485" cm="1">
        <f t="array" ref="F166">_xlfn.XLOOKUP(1,($B166=DistributionZone)*($C166=CustomerType)*($D166=tariffL2)*($F$5=Description),valuesPY)*_xlfn.XLOOKUP(1,($B166=DistributionZone)*($C166=CustomerType)*($D166=tariffL2)*($E166=tariffType)*("Usage proportion"=Description),valuesFY)</f>
        <v>2345.8721659952375</v>
      </c>
      <c r="G166" s="570" t="s">
        <v>73</v>
      </c>
      <c r="H166" s="574"/>
      <c r="I166" s="574" cm="1">
        <f t="array" ref="I166">_xlfn.XLOOKUP(1,($B166=DistributionZone)*($G166=Description)*($I$5=Desc_FixedOrVar),valuesPY,0)</f>
        <v>6.1170426505850894</v>
      </c>
      <c r="J166" s="574">
        <f>IF(AND(H166="",I166=""),"",H166+I166*$F166/1000)</f>
        <v>14.349800092213293</v>
      </c>
      <c r="K166" s="575" t="str">
        <f>IFERROR(J166/J171,"")</f>
        <v/>
      </c>
      <c r="L166" s="576"/>
      <c r="M166" s="575">
        <f t="shared" ref="M166:M171" si="108">IF(OR(J166=0,Q166=""),"",Q166/J166-1)</f>
        <v>-0.48482055209325359</v>
      </c>
      <c r="N166" s="576"/>
      <c r="O166" s="574"/>
      <c r="P166" s="574" cm="1">
        <f t="array" ref="P166">_xlfn.XLOOKUP(1,($B166=DistributionZone)*($G166=Description)*($I$5=Desc_FixedOrVar),valuesFY,0)</f>
        <v>3.1513746555504474</v>
      </c>
      <c r="Q166" s="574">
        <f t="shared" ref="Q166:Q171" si="109">IF(AND(O166="",P166=""),"",O166+P166*$F166/1000)</f>
        <v>7.3927220890786236</v>
      </c>
      <c r="R166" s="575">
        <f>IFERROR(Q166/Q171,"")</f>
        <v>0.28063902917303041</v>
      </c>
      <c r="S166" s="575"/>
      <c r="T166" s="634"/>
      <c r="U166" s="575"/>
      <c r="V166" s="575"/>
      <c r="W166" s="575"/>
      <c r="X166" s="575"/>
      <c r="Y166" s="575"/>
      <c r="Z166" s="575"/>
      <c r="AA166" s="575"/>
      <c r="AB166" s="575"/>
      <c r="AC166" s="575"/>
      <c r="AD166" s="575"/>
      <c r="AE166" s="575"/>
      <c r="AF166" s="575"/>
      <c r="AG166" s="575"/>
      <c r="AH166" s="575"/>
      <c r="AI166" s="575"/>
      <c r="AJ166" s="575"/>
    </row>
    <row r="167" spans="1:36" s="627" customFormat="1" x14ac:dyDescent="0.35">
      <c r="A167" s="570"/>
      <c r="B167" s="570" t="str">
        <f t="shared" ref="B167:E167" si="110">B166</f>
        <v>Endeavour</v>
      </c>
      <c r="C167" s="570" t="str">
        <f t="shared" si="110"/>
        <v>Small business</v>
      </c>
      <c r="D167" s="570" t="str">
        <f t="shared" si="110"/>
        <v>time of use</v>
      </c>
      <c r="E167" s="570" t="str">
        <f t="shared" si="110"/>
        <v>time of use (Solar soak)</v>
      </c>
      <c r="F167" s="485">
        <f>F166</f>
        <v>2345.8721659952375</v>
      </c>
      <c r="G167" s="570" t="s">
        <v>74</v>
      </c>
      <c r="H167" s="574"/>
      <c r="I167" s="574" cm="1">
        <f t="array" ref="I167">_xlfn.XLOOKUP(1,($B167=DistributionZone)*($G167=Description)*($I$5=Desc_FixedOrVar),valuesPY,0)</f>
        <v>5.1359999999999992</v>
      </c>
      <c r="J167" s="574">
        <f>IF(AND(H167="",I167=""),"",H167+I167*$F167/1000)</f>
        <v>12.048399444551539</v>
      </c>
      <c r="K167" s="575" t="str">
        <f>IFERROR(J167/J171,"")</f>
        <v/>
      </c>
      <c r="L167" s="576"/>
      <c r="M167" s="575">
        <f t="shared" si="108"/>
        <v>-0.12694704049844219</v>
      </c>
      <c r="N167" s="576"/>
      <c r="O167" s="574"/>
      <c r="P167" s="574" cm="1">
        <f t="array" ref="P167">_xlfn.XLOOKUP(1,($B167=DistributionZone)*($G167=Description)*($I$5=Desc_FixedOrVar),valuesFY,0)</f>
        <v>4.484</v>
      </c>
      <c r="Q167" s="574">
        <f t="shared" si="109"/>
        <v>10.518890792322646</v>
      </c>
      <c r="R167" s="575">
        <f>IFERROR(Q167/Q171,"")</f>
        <v>0.3993131710301413</v>
      </c>
      <c r="S167" s="575"/>
      <c r="T167" s="649"/>
      <c r="U167" s="575"/>
      <c r="V167" s="575"/>
      <c r="W167" s="575"/>
      <c r="X167" s="575"/>
      <c r="Y167" s="575"/>
      <c r="Z167" s="575"/>
      <c r="AA167" s="575"/>
      <c r="AB167" s="575"/>
      <c r="AC167" s="575"/>
      <c r="AD167" s="575"/>
      <c r="AE167" s="575"/>
      <c r="AF167" s="575"/>
      <c r="AG167" s="575"/>
      <c r="AH167" s="575"/>
      <c r="AI167" s="575"/>
      <c r="AJ167" s="575"/>
    </row>
    <row r="168" spans="1:36" s="627" customFormat="1" x14ac:dyDescent="0.35">
      <c r="A168" s="570"/>
      <c r="B168" s="570" t="str">
        <f t="shared" ref="B168:E168" si="111">B167</f>
        <v>Endeavour</v>
      </c>
      <c r="C168" s="570" t="str">
        <f t="shared" si="111"/>
        <v>Small business</v>
      </c>
      <c r="D168" s="570" t="str">
        <f t="shared" si="111"/>
        <v>time of use</v>
      </c>
      <c r="E168" s="570" t="str">
        <f t="shared" si="111"/>
        <v>time of use (Solar soak)</v>
      </c>
      <c r="F168" s="485">
        <f>F167</f>
        <v>2345.8721659952375</v>
      </c>
      <c r="G168" s="570" t="s">
        <v>75</v>
      </c>
      <c r="H168" s="574"/>
      <c r="I168" s="574" cm="1">
        <f t="array" ref="I168">_xlfn.XLOOKUP(1,($B168=DistributionZone)*($G168=Description)*($I$5=Desc_FixedOrVar),valuesPY,0)</f>
        <v>2.1292191637289464</v>
      </c>
      <c r="J168" s="574">
        <f>IF(AND(H168="",I168=""),"",H168+I168*$F168/1000)</f>
        <v>4.9948759714953921</v>
      </c>
      <c r="K168" s="575" t="str">
        <f>IFERROR(J168/J171,"")</f>
        <v/>
      </c>
      <c r="L168" s="576"/>
      <c r="M168" s="575">
        <f t="shared" si="108"/>
        <v>0.30545066908580965</v>
      </c>
      <c r="N168" s="576"/>
      <c r="O168" s="574"/>
      <c r="P168" s="574" cm="1">
        <f t="array" ref="P168">_xlfn.XLOOKUP(1,($B168=DistributionZone)*($G168=Description)*($I$5=Desc_FixedOrVar),valuesFY,0)</f>
        <v>2.7795905819202815</v>
      </c>
      <c r="Q168" s="574">
        <f t="shared" si="109"/>
        <v>6.520564178989293</v>
      </c>
      <c r="R168" s="575">
        <f>IFERROR(Q168/Q171,"")</f>
        <v>0.24753058194293112</v>
      </c>
      <c r="S168" s="575"/>
      <c r="T168" s="649"/>
      <c r="U168" s="575"/>
      <c r="V168" s="575"/>
      <c r="W168" s="575"/>
      <c r="X168" s="575"/>
      <c r="Y168" s="575"/>
      <c r="Z168" s="575"/>
      <c r="AA168" s="575"/>
      <c r="AB168" s="575"/>
      <c r="AC168" s="575"/>
      <c r="AD168" s="575"/>
      <c r="AE168" s="575"/>
      <c r="AF168" s="575"/>
      <c r="AG168" s="575"/>
      <c r="AH168" s="575"/>
      <c r="AI168" s="575"/>
      <c r="AJ168" s="575"/>
    </row>
    <row r="169" spans="1:36" s="627" customFormat="1" x14ac:dyDescent="0.35">
      <c r="A169" s="570"/>
      <c r="B169" s="570" t="str">
        <f t="shared" ref="B169:E169" si="112">B168</f>
        <v>Endeavour</v>
      </c>
      <c r="C169" s="570" t="str">
        <f t="shared" si="112"/>
        <v>Small business</v>
      </c>
      <c r="D169" s="570" t="str">
        <f t="shared" si="112"/>
        <v>time of use</v>
      </c>
      <c r="E169" s="570" t="str">
        <f t="shared" si="112"/>
        <v>time of use (Solar soak)</v>
      </c>
      <c r="F169" s="485">
        <f>F168</f>
        <v>2345.8721659952375</v>
      </c>
      <c r="G169" s="570" t="s">
        <v>155</v>
      </c>
      <c r="H169" s="574"/>
      <c r="I169" s="574" cm="1">
        <f t="array" ref="I169">_xlfn.XLOOKUP(1,($B169=DistributionZone)*($G169=Description)*($I$5=Desc_FixedOrVar),valuesPY,0)</f>
        <v>1.8634456011480964</v>
      </c>
      <c r="J169" s="574">
        <f>IF(AND(H169="",I169=""),"",H169+I169*$F169/1000)</f>
        <v>4.3714051685795825</v>
      </c>
      <c r="K169" s="575" t="str">
        <f>IFERROR(J169/J171,"")</f>
        <v/>
      </c>
      <c r="L169" s="576"/>
      <c r="M169" s="575">
        <f t="shared" si="108"/>
        <v>-0.8994584724775363</v>
      </c>
      <c r="N169" s="576"/>
      <c r="O169" s="574"/>
      <c r="P169" s="574" cm="1">
        <f t="array" ref="P169">_xlfn.XLOOKUP(1,($B169=DistributionZone)*($G169=Description)*($I$5=Desc_FixedOrVar),valuesFY,0)</f>
        <v>0.18735366719444529</v>
      </c>
      <c r="Q169" s="574">
        <f t="shared" si="109"/>
        <v>0.43950775306858425</v>
      </c>
      <c r="R169" s="575">
        <f>IFERROR(Q169/Q171,"")</f>
        <v>1.6684386028443288E-2</v>
      </c>
      <c r="S169" s="575"/>
      <c r="T169" s="649"/>
      <c r="U169" s="575"/>
      <c r="V169" s="575"/>
      <c r="W169" s="575"/>
      <c r="X169" s="575"/>
      <c r="Y169" s="575"/>
      <c r="Z169" s="575"/>
      <c r="AA169" s="575"/>
      <c r="AB169" s="575"/>
      <c r="AC169" s="575"/>
      <c r="AD169" s="575"/>
      <c r="AE169" s="575"/>
      <c r="AF169" s="575"/>
      <c r="AG169" s="575"/>
      <c r="AH169" s="575"/>
      <c r="AI169" s="575"/>
      <c r="AJ169" s="575"/>
    </row>
    <row r="170" spans="1:36" s="627" customFormat="1" x14ac:dyDescent="0.35">
      <c r="A170" s="570"/>
      <c r="B170" s="570" t="str">
        <f t="shared" ref="B170:E170" si="113">B169</f>
        <v>Endeavour</v>
      </c>
      <c r="C170" s="570" t="str">
        <f t="shared" si="113"/>
        <v>Small business</v>
      </c>
      <c r="D170" s="570" t="str">
        <f t="shared" si="113"/>
        <v>time of use</v>
      </c>
      <c r="E170" s="570" t="str">
        <f t="shared" si="113"/>
        <v>time of use (Solar soak)</v>
      </c>
      <c r="F170" s="485">
        <f>F169</f>
        <v>2345.8721659952375</v>
      </c>
      <c r="G170" s="570" t="s">
        <v>72</v>
      </c>
      <c r="H170" s="574"/>
      <c r="I170" s="574" cm="1">
        <f t="array" ref="I170">_xlfn.XLOOKUP(1,($B170=DistributionZone)*($C170=CustomerType)*($D170=tariffL2)*($G170=Description)*($I$5=Desc_FixedOrVar),valuesPY,0)*SUM(I166:I169)</f>
        <v>0</v>
      </c>
      <c r="J170" s="574">
        <f>IF(AND(H170="",I170=""),"",H170+I170*$F170/1000)</f>
        <v>0</v>
      </c>
      <c r="K170" s="575" t="str">
        <f>IFERROR(J170/J171,"")</f>
        <v/>
      </c>
      <c r="L170" s="576"/>
      <c r="M170" s="575" t="str">
        <f t="shared" si="108"/>
        <v/>
      </c>
      <c r="N170" s="576"/>
      <c r="O170" s="574"/>
      <c r="P170" s="574" cm="1">
        <f t="array" ref="P170">_xlfn.XLOOKUP(1,($B170=DistributionZone)*($C170=CustomerType)*($D170=tariffL2)*($G170=Description)*($P$5=Desc_FixedOrVar),valuesFY,0)*SUM(P166:P169)</f>
        <v>0.62696258492920598</v>
      </c>
      <c r="Q170" s="574">
        <f t="shared" si="109"/>
        <v>1.4707740771058495</v>
      </c>
      <c r="R170" s="575">
        <f>IFERROR(Q170/Q171,"")</f>
        <v>5.5832831825453948E-2</v>
      </c>
      <c r="S170" s="575"/>
      <c r="T170" s="649"/>
      <c r="U170" s="575"/>
      <c r="V170" s="575"/>
      <c r="W170" s="575"/>
      <c r="X170" s="575"/>
      <c r="Y170" s="575"/>
      <c r="Z170" s="575"/>
      <c r="AA170" s="575"/>
      <c r="AB170" s="575"/>
      <c r="AC170" s="575"/>
      <c r="AD170" s="575"/>
      <c r="AE170" s="575"/>
      <c r="AF170" s="575"/>
      <c r="AG170" s="575"/>
      <c r="AH170" s="575"/>
      <c r="AI170" s="575"/>
      <c r="AJ170" s="575"/>
    </row>
    <row r="171" spans="1:36" s="627" customFormat="1" x14ac:dyDescent="0.35">
      <c r="A171" s="570"/>
      <c r="B171" s="570" t="str">
        <f t="shared" ref="B171:E174" si="114">B170</f>
        <v>Endeavour</v>
      </c>
      <c r="C171" s="570" t="str">
        <f t="shared" si="114"/>
        <v>Small business</v>
      </c>
      <c r="D171" s="570" t="str">
        <f t="shared" si="114"/>
        <v>time of use</v>
      </c>
      <c r="E171" s="570" t="str">
        <f t="shared" si="114"/>
        <v>time of use (Solar soak)</v>
      </c>
      <c r="F171" s="485">
        <f>F170</f>
        <v>2345.8721659952375</v>
      </c>
      <c r="G171" s="571" t="s">
        <v>55</v>
      </c>
      <c r="H171" s="577">
        <f>IF($H$3=PY,0,SUM(H166:H170))</f>
        <v>0</v>
      </c>
      <c r="I171" s="577">
        <f>IF($H$3=PY,0,SUM(I166:I170))</f>
        <v>0</v>
      </c>
      <c r="J171" s="577">
        <f>IF($H$3=PY,0,SUM(J166:J170))</f>
        <v>0</v>
      </c>
      <c r="K171" s="578"/>
      <c r="L171" s="580"/>
      <c r="M171" s="578" t="str">
        <f t="shared" si="108"/>
        <v/>
      </c>
      <c r="N171" s="580"/>
      <c r="O171" s="577">
        <f>SUM(O166:O170)</f>
        <v>0</v>
      </c>
      <c r="P171" s="577">
        <f>SUM(P166:P170)</f>
        <v>11.22928148959438</v>
      </c>
      <c r="Q171" s="577">
        <f t="shared" si="109"/>
        <v>26.342458890564995</v>
      </c>
      <c r="R171" s="578"/>
      <c r="S171" s="578"/>
      <c r="T171" s="650"/>
      <c r="U171" s="578"/>
      <c r="V171" s="578"/>
      <c r="W171" s="578"/>
      <c r="X171" s="578"/>
      <c r="Y171" s="578"/>
      <c r="Z171" s="578"/>
      <c r="AA171" s="578"/>
      <c r="AB171" s="578"/>
      <c r="AC171" s="578"/>
      <c r="AD171" s="578"/>
      <c r="AE171" s="578"/>
      <c r="AF171" s="578"/>
      <c r="AG171" s="578"/>
      <c r="AH171" s="578"/>
      <c r="AI171" s="578"/>
      <c r="AJ171" s="578"/>
    </row>
    <row r="172" spans="1:36" s="627" customFormat="1" x14ac:dyDescent="0.35">
      <c r="A172" s="570"/>
      <c r="B172" s="570"/>
      <c r="C172" s="570"/>
      <c r="D172" s="570"/>
      <c r="E172" s="570"/>
      <c r="F172" s="485">
        <f>SUM(F166,F160,F154,F148)</f>
        <v>10000</v>
      </c>
      <c r="G172" s="571" t="s">
        <v>55</v>
      </c>
      <c r="H172" s="577">
        <f>SUM(H171,H165,H159,H153)</f>
        <v>0</v>
      </c>
      <c r="I172" s="577">
        <f t="shared" ref="I172:J172" si="115">SUM(I171,I165,I159,I153)</f>
        <v>0</v>
      </c>
      <c r="J172" s="577">
        <f t="shared" si="115"/>
        <v>0</v>
      </c>
      <c r="K172" s="578"/>
      <c r="L172" s="580"/>
      <c r="M172" s="578"/>
      <c r="N172" s="580"/>
      <c r="O172" s="577">
        <f t="shared" ref="O172:Q172" si="116">SUM(O171,O165,O159,O153)</f>
        <v>0</v>
      </c>
      <c r="P172" s="577">
        <f t="shared" si="116"/>
        <v>44.917125958377518</v>
      </c>
      <c r="Q172" s="577">
        <f t="shared" si="116"/>
        <v>112.29281489594379</v>
      </c>
      <c r="R172" s="578"/>
      <c r="S172" s="578"/>
      <c r="T172" s="650"/>
      <c r="U172" s="578"/>
      <c r="V172" s="578"/>
      <c r="W172" s="578"/>
      <c r="X172" s="578"/>
      <c r="Y172" s="578"/>
      <c r="Z172" s="578"/>
      <c r="AA172" s="578"/>
      <c r="AB172" s="578"/>
      <c r="AC172" s="578"/>
      <c r="AD172" s="578"/>
      <c r="AE172" s="578"/>
      <c r="AF172" s="578"/>
      <c r="AG172" s="578"/>
      <c r="AH172" s="578"/>
      <c r="AI172" s="578"/>
      <c r="AJ172" s="578"/>
    </row>
    <row r="173" spans="1:36" s="627" customFormat="1" x14ac:dyDescent="0.35">
      <c r="A173" s="570"/>
      <c r="B173" s="570" t="str">
        <f>B171</f>
        <v>Endeavour</v>
      </c>
      <c r="C173" s="570" t="str">
        <f>C171</f>
        <v>Small business</v>
      </c>
      <c r="D173" s="570" t="str">
        <f>D171</f>
        <v>time of use</v>
      </c>
      <c r="E173" s="570"/>
      <c r="F173" s="485"/>
      <c r="G173" s="570" t="s">
        <v>38</v>
      </c>
      <c r="H173" s="574"/>
      <c r="I173" s="574"/>
      <c r="J173" s="574">
        <f>J172*GST</f>
        <v>0</v>
      </c>
      <c r="K173" s="575"/>
      <c r="L173" s="582"/>
      <c r="M173" s="575"/>
      <c r="N173" s="582"/>
      <c r="O173" s="574"/>
      <c r="P173" s="574"/>
      <c r="Q173" s="574">
        <f>Q172*GST</f>
        <v>11.22928148959438</v>
      </c>
      <c r="R173" s="578"/>
      <c r="S173" s="578"/>
      <c r="T173" s="650"/>
      <c r="U173" s="578"/>
      <c r="V173" s="578"/>
      <c r="W173" s="578"/>
      <c r="X173" s="578"/>
      <c r="Y173" s="578"/>
      <c r="Z173" s="578"/>
      <c r="AA173" s="578"/>
      <c r="AB173" s="578"/>
      <c r="AC173" s="578"/>
      <c r="AD173" s="578"/>
      <c r="AE173" s="578"/>
      <c r="AF173" s="578"/>
      <c r="AG173" s="578"/>
      <c r="AH173" s="578"/>
      <c r="AI173" s="578"/>
      <c r="AJ173" s="578"/>
    </row>
    <row r="174" spans="1:36" s="627" customFormat="1" x14ac:dyDescent="0.35">
      <c r="A174" s="570"/>
      <c r="B174" s="570" t="str">
        <f t="shared" si="114"/>
        <v>Endeavour</v>
      </c>
      <c r="C174" s="570" t="str">
        <f t="shared" si="114"/>
        <v>Small business</v>
      </c>
      <c r="D174" s="570" t="str">
        <f t="shared" si="114"/>
        <v>time of use</v>
      </c>
      <c r="E174" s="570" t="s">
        <v>272</v>
      </c>
      <c r="F174" s="485"/>
      <c r="G174" s="571" t="s">
        <v>79</v>
      </c>
      <c r="H174" s="577"/>
      <c r="I174" s="577"/>
      <c r="J174" s="577">
        <f>SUM(J172:J173)</f>
        <v>0</v>
      </c>
      <c r="K174" s="578"/>
      <c r="L174" s="580"/>
      <c r="M174" s="578" t="str">
        <f>IF(OR(J174=0,Q174=""),"",Q174/J174-1)</f>
        <v/>
      </c>
      <c r="N174" s="580"/>
      <c r="O174" s="577"/>
      <c r="P174" s="577"/>
      <c r="Q174" s="577">
        <f>SUM(Q172:Q173)</f>
        <v>123.52209638553818</v>
      </c>
      <c r="R174" s="578"/>
      <c r="S174" s="578"/>
      <c r="T174" s="650"/>
      <c r="U174" s="578"/>
      <c r="V174" s="578"/>
      <c r="W174" s="578"/>
      <c r="X174" s="578"/>
      <c r="Y174" s="578"/>
      <c r="Z174" s="578"/>
      <c r="AA174" s="578"/>
      <c r="AB174" s="578"/>
      <c r="AC174" s="578"/>
      <c r="AD174" s="578"/>
      <c r="AE174" s="578"/>
      <c r="AF174" s="578"/>
      <c r="AG174" s="578"/>
      <c r="AH174" s="578"/>
      <c r="AI174" s="578"/>
      <c r="AJ174" s="578"/>
    </row>
    <row r="175" spans="1:36" s="627" customFormat="1" x14ac:dyDescent="0.35">
      <c r="A175" s="570"/>
      <c r="B175" s="570"/>
      <c r="C175" s="570"/>
      <c r="D175" s="570"/>
      <c r="E175" s="570"/>
      <c r="F175" s="485"/>
      <c r="G175" s="570"/>
      <c r="H175" s="574"/>
      <c r="I175" s="574"/>
      <c r="J175" s="574"/>
      <c r="K175" s="575"/>
      <c r="L175" s="582"/>
      <c r="M175" s="575"/>
      <c r="N175" s="582"/>
      <c r="O175" s="574"/>
      <c r="P175" s="574"/>
      <c r="Q175" s="574"/>
      <c r="R175" s="575"/>
      <c r="S175" s="575"/>
      <c r="T175" s="649"/>
      <c r="U175" s="575"/>
      <c r="V175" s="575"/>
      <c r="W175" s="575"/>
      <c r="X175" s="575"/>
      <c r="Y175" s="575"/>
      <c r="Z175" s="575"/>
      <c r="AA175" s="575"/>
      <c r="AB175" s="575"/>
      <c r="AC175" s="575"/>
      <c r="AD175" s="575"/>
      <c r="AE175" s="575"/>
      <c r="AF175" s="575"/>
      <c r="AG175" s="575"/>
      <c r="AH175" s="575"/>
      <c r="AI175" s="575"/>
      <c r="AJ175" s="575"/>
    </row>
    <row r="176" spans="1:36" s="65" customFormat="1" x14ac:dyDescent="0.35">
      <c r="A176" s="30"/>
      <c r="B176" s="64" t="s">
        <v>3</v>
      </c>
      <c r="C176" s="64" t="s">
        <v>6</v>
      </c>
      <c r="D176" s="64" t="s">
        <v>276</v>
      </c>
      <c r="E176" s="30"/>
      <c r="F176" s="258"/>
      <c r="G176" s="30"/>
      <c r="H176" s="482"/>
      <c r="I176" s="482"/>
      <c r="J176" s="482"/>
      <c r="K176" s="484"/>
      <c r="L176" s="568"/>
      <c r="M176" s="484"/>
      <c r="N176" s="568"/>
      <c r="O176" s="482"/>
      <c r="P176" s="482"/>
      <c r="Q176" s="482"/>
      <c r="R176" s="484"/>
      <c r="S176" s="484"/>
      <c r="T176" s="644"/>
      <c r="U176" s="484"/>
      <c r="V176" s="484"/>
      <c r="W176" s="484"/>
      <c r="X176" s="484"/>
      <c r="Y176" s="484"/>
      <c r="Z176" s="484"/>
      <c r="AA176" s="484"/>
      <c r="AB176" s="484"/>
      <c r="AC176" s="484"/>
      <c r="AD176" s="484"/>
      <c r="AE176" s="484"/>
      <c r="AF176" s="484"/>
      <c r="AG176" s="484"/>
      <c r="AH176" s="484"/>
      <c r="AI176" s="484"/>
      <c r="AJ176" s="484"/>
    </row>
    <row r="177" spans="1:36" s="65" customFormat="1" x14ac:dyDescent="0.35">
      <c r="A177" s="30"/>
      <c r="B177" s="30" t="str">
        <f t="shared" ref="B177:D184" si="117">B176</f>
        <v>Essential</v>
      </c>
      <c r="C177" s="30" t="str">
        <f t="shared" si="117"/>
        <v>Residential</v>
      </c>
      <c r="D177" s="30" t="str">
        <f t="shared" si="117"/>
        <v>flat rate</v>
      </c>
      <c r="E177" s="30" t="s">
        <v>19</v>
      </c>
      <c r="F177" s="258" cm="1">
        <f t="array" ref="F177">IFERROR(_xlfn.XLOOKUP(1,($B177=DistributionZone)*($C177=CustomerType)*($E177=tariffType)*(F$5=Description)*($D177=tariffL2),valuesFY),0)</f>
        <v>4600</v>
      </c>
      <c r="G177" s="30" t="s">
        <v>73</v>
      </c>
      <c r="H177" s="482"/>
      <c r="I177" s="482" cm="1">
        <f t="array" ref="I177">_xlfn.XLOOKUP(1,($B177=DistributionZone)*($G177=Description)*($I$5=Desc_FixedOrVar),valuesPY,0)</f>
        <v>6.1170426505850894</v>
      </c>
      <c r="J177" s="482">
        <f>IF(AND(H177="",I177=""),"",H177+I177*$F177/1000)</f>
        <v>28.138396192691413</v>
      </c>
      <c r="K177" s="484">
        <f>IFERROR(J177/J182,"")</f>
        <v>0.3860805643521843</v>
      </c>
      <c r="L177" s="563"/>
      <c r="M177" s="484">
        <f t="shared" ref="M177:M182" si="118">IF(OR(J177=0,Q177=""),"",Q177/J177-1)</f>
        <v>-0.48482055209325359</v>
      </c>
      <c r="N177" s="563"/>
      <c r="O177" s="482"/>
      <c r="P177" s="482" cm="1">
        <f t="array" ref="P177">_xlfn.XLOOKUP(1,($B177=DistributionZone)*($G177=Description)*($I$5=Desc_FixedOrVar),valuesFY,0)</f>
        <v>3.1513746555504474</v>
      </c>
      <c r="Q177" s="482">
        <f t="shared" ref="Q177:Q182" si="119">IF(AND(O177="",P177=""),"",O177+P177*$F177/1000)</f>
        <v>14.496323415532059</v>
      </c>
      <c r="R177" s="484">
        <f>IFERROR(Q177/Q182,"")</f>
        <v>0.28432682276603732</v>
      </c>
      <c r="S177" s="484"/>
      <c r="T177" s="645"/>
      <c r="U177" s="484"/>
      <c r="V177" s="484"/>
      <c r="W177" s="484"/>
      <c r="X177" s="484"/>
      <c r="Y177" s="484"/>
      <c r="Z177" s="484"/>
      <c r="AA177" s="484"/>
      <c r="AB177" s="484"/>
      <c r="AC177" s="484"/>
      <c r="AD177" s="484"/>
      <c r="AE177" s="484"/>
      <c r="AF177" s="484"/>
      <c r="AG177" s="484"/>
      <c r="AH177" s="484"/>
      <c r="AI177" s="484"/>
      <c r="AJ177" s="484"/>
    </row>
    <row r="178" spans="1:36" s="65" customFormat="1" x14ac:dyDescent="0.35">
      <c r="A178" s="30"/>
      <c r="B178" s="30" t="str">
        <f t="shared" si="117"/>
        <v>Essential</v>
      </c>
      <c r="C178" s="30" t="str">
        <f t="shared" si="117"/>
        <v>Residential</v>
      </c>
      <c r="D178" s="30" t="str">
        <f t="shared" si="117"/>
        <v>flat rate</v>
      </c>
      <c r="E178" s="30" t="s">
        <v>19</v>
      </c>
      <c r="F178" s="258">
        <f>F177</f>
        <v>4600</v>
      </c>
      <c r="G178" s="30" t="s">
        <v>74</v>
      </c>
      <c r="H178" s="482"/>
      <c r="I178" s="482" cm="1">
        <f t="array" ref="I178">_xlfn.XLOOKUP(1,($B178=DistributionZone)*($G178=Description)*($I$5=Desc_FixedOrVar),valuesPY,0)</f>
        <v>5.1359999999999992</v>
      </c>
      <c r="J178" s="482">
        <f>IF(AND(H178="",I178=""),"",H178+I178*$F178/1000)</f>
        <v>23.625599999999995</v>
      </c>
      <c r="K178" s="484">
        <f>IFERROR(J178/J182,"")</f>
        <v>0.32416150937302268</v>
      </c>
      <c r="L178" s="563"/>
      <c r="M178" s="484">
        <f t="shared" si="118"/>
        <v>-0.12694704049844219</v>
      </c>
      <c r="N178" s="563"/>
      <c r="O178" s="482"/>
      <c r="P178" s="482" cm="1">
        <f t="array" ref="P178">_xlfn.XLOOKUP(1,($B178=DistributionZone)*($G178=Description)*($I$5=Desc_FixedOrVar),valuesFY,0)</f>
        <v>4.484</v>
      </c>
      <c r="Q178" s="482">
        <f t="shared" si="119"/>
        <v>20.6264</v>
      </c>
      <c r="R178" s="484">
        <f>IFERROR(Q178/Q182,"")</f>
        <v>0.40456042604690617</v>
      </c>
      <c r="S178" s="484"/>
      <c r="T178" s="644"/>
      <c r="U178" s="484"/>
      <c r="V178" s="484"/>
      <c r="W178" s="484"/>
      <c r="X178" s="484"/>
      <c r="Y178" s="484"/>
      <c r="Z178" s="484"/>
      <c r="AA178" s="484"/>
      <c r="AB178" s="484"/>
      <c r="AC178" s="484"/>
      <c r="AD178" s="484"/>
      <c r="AE178" s="484"/>
      <c r="AF178" s="484"/>
      <c r="AG178" s="484"/>
      <c r="AH178" s="484"/>
      <c r="AI178" s="484"/>
      <c r="AJ178" s="484"/>
    </row>
    <row r="179" spans="1:36" s="65" customFormat="1" x14ac:dyDescent="0.35">
      <c r="A179" s="30"/>
      <c r="B179" s="30" t="str">
        <f t="shared" si="117"/>
        <v>Essential</v>
      </c>
      <c r="C179" s="30" t="str">
        <f t="shared" si="117"/>
        <v>Residential</v>
      </c>
      <c r="D179" s="30" t="str">
        <f t="shared" si="117"/>
        <v>flat rate</v>
      </c>
      <c r="E179" s="30" t="s">
        <v>19</v>
      </c>
      <c r="F179" s="258">
        <f>F178</f>
        <v>4600</v>
      </c>
      <c r="G179" s="30" t="s">
        <v>75</v>
      </c>
      <c r="H179" s="482"/>
      <c r="I179" s="482" cm="1">
        <f t="array" ref="I179">_xlfn.XLOOKUP(1,($B179=DistributionZone)*($G179=Description)*($I$5=Desc_FixedOrVar),valuesPY,0)</f>
        <v>2.1292191637289464</v>
      </c>
      <c r="J179" s="482">
        <f>IF(AND(H179="",I179=""),"",H179+I179*$F179/1000)</f>
        <v>9.7944081531531531</v>
      </c>
      <c r="K179" s="484">
        <f>IFERROR(J179/J182,"")</f>
        <v>0.1343868570678233</v>
      </c>
      <c r="L179" s="563"/>
      <c r="M179" s="484">
        <f t="shared" si="118"/>
        <v>0.30545066908580987</v>
      </c>
      <c r="N179" s="563"/>
      <c r="O179" s="482"/>
      <c r="P179" s="482" cm="1">
        <f t="array" ref="P179">_xlfn.XLOOKUP(1,($B179=DistributionZone)*($G179=Description)*($I$5=Desc_FixedOrVar),valuesFY,0)</f>
        <v>2.7795905819202815</v>
      </c>
      <c r="Q179" s="482">
        <f t="shared" si="119"/>
        <v>12.786116676833295</v>
      </c>
      <c r="R179" s="484">
        <f>IFERROR(Q179/Q182,"")</f>
        <v>0.25078330732775134</v>
      </c>
      <c r="S179" s="484"/>
      <c r="T179" s="644"/>
      <c r="U179" s="484"/>
      <c r="V179" s="484"/>
      <c r="W179" s="484"/>
      <c r="X179" s="484"/>
      <c r="Y179" s="484"/>
      <c r="Z179" s="484"/>
      <c r="AA179" s="484"/>
      <c r="AB179" s="484"/>
      <c r="AC179" s="484"/>
      <c r="AD179" s="484"/>
      <c r="AE179" s="484"/>
      <c r="AF179" s="484"/>
      <c r="AG179" s="484"/>
      <c r="AH179" s="484"/>
      <c r="AI179" s="484"/>
      <c r="AJ179" s="484"/>
    </row>
    <row r="180" spans="1:36" s="65" customFormat="1" x14ac:dyDescent="0.35">
      <c r="A180" s="30"/>
      <c r="B180" s="30" t="str">
        <f t="shared" si="117"/>
        <v>Essential</v>
      </c>
      <c r="C180" s="30" t="str">
        <f t="shared" si="117"/>
        <v>Residential</v>
      </c>
      <c r="D180" s="30" t="str">
        <f t="shared" si="117"/>
        <v>flat rate</v>
      </c>
      <c r="E180" s="30" t="s">
        <v>19</v>
      </c>
      <c r="F180" s="258">
        <f>F179</f>
        <v>4600</v>
      </c>
      <c r="G180" s="30" t="s">
        <v>155</v>
      </c>
      <c r="H180" s="482"/>
      <c r="I180" s="482" cm="1">
        <f t="array" ref="I180">_xlfn.XLOOKUP(1,($B180=DistributionZone)*($G180=Description)*($I$5=Desc_FixedOrVar),valuesPY,0)</f>
        <v>1.8634456011480964</v>
      </c>
      <c r="J180" s="482">
        <f>IF(AND(H180="",I180=""),"",H180+I180*$F180/1000)</f>
        <v>8.5718497652812431</v>
      </c>
      <c r="K180" s="484">
        <f>IFERROR(J180/J182,"")</f>
        <v>0.1176124101835449</v>
      </c>
      <c r="L180" s="563"/>
      <c r="M180" s="484">
        <f t="shared" si="118"/>
        <v>-0.8994584724775363</v>
      </c>
      <c r="N180" s="563"/>
      <c r="O180" s="482"/>
      <c r="P180" s="482" cm="1">
        <f t="array" ref="P180">_xlfn.XLOOKUP(1,($B180=DistributionZone)*($G180=Description)*($I$5=Desc_FixedOrVar),valuesFY,0)</f>
        <v>0.18735366719444529</v>
      </c>
      <c r="Q180" s="482">
        <f t="shared" si="119"/>
        <v>0.86182686909444839</v>
      </c>
      <c r="R180" s="484">
        <f>IFERROR(Q180/Q182,"")</f>
        <v>1.6903630557902557E-2</v>
      </c>
      <c r="S180" s="484"/>
      <c r="T180" s="644"/>
      <c r="U180" s="484"/>
      <c r="V180" s="484"/>
      <c r="W180" s="484"/>
      <c r="X180" s="484"/>
      <c r="Y180" s="484"/>
      <c r="Z180" s="484"/>
      <c r="AA180" s="484"/>
      <c r="AB180" s="484"/>
      <c r="AC180" s="484"/>
      <c r="AD180" s="484"/>
      <c r="AE180" s="484"/>
      <c r="AF180" s="484"/>
      <c r="AG180" s="484"/>
      <c r="AH180" s="484"/>
      <c r="AI180" s="484"/>
      <c r="AJ180" s="484"/>
    </row>
    <row r="181" spans="1:36" s="65" customFormat="1" x14ac:dyDescent="0.35">
      <c r="A181" s="30"/>
      <c r="B181" s="30" t="str">
        <f t="shared" si="117"/>
        <v>Essential</v>
      </c>
      <c r="C181" s="30" t="str">
        <f t="shared" si="117"/>
        <v>Residential</v>
      </c>
      <c r="D181" s="30" t="str">
        <f t="shared" si="117"/>
        <v>flat rate</v>
      </c>
      <c r="E181" s="30" t="s">
        <v>19</v>
      </c>
      <c r="F181" s="258">
        <f>F180</f>
        <v>4600</v>
      </c>
      <c r="G181" s="30" t="s">
        <v>72</v>
      </c>
      <c r="H181" s="482"/>
      <c r="I181" s="482" cm="1">
        <f t="array" ref="I181">_xlfn.XLOOKUP(1,($B181=DistributionZone)*($C181=CustomerType)*($D181=tariffL2)*($E181=tariffType)*($G181=Description)*($I$5=Desc_FixedOrVar),valuesPY,0)*SUM(I177:I180)</f>
        <v>0.59824645165120494</v>
      </c>
      <c r="J181" s="482">
        <f>IF(AND(H181="",I181=""),"",H181+I181*$F181/1000)</f>
        <v>2.7519336775955425</v>
      </c>
      <c r="K181" s="484">
        <f>IFERROR(J181/J182,"")</f>
        <v>3.7758659023424776E-2</v>
      </c>
      <c r="L181" s="563"/>
      <c r="M181" s="484">
        <f t="shared" si="118"/>
        <v>-0.19545556452522106</v>
      </c>
      <c r="N181" s="563"/>
      <c r="O181" s="482"/>
      <c r="P181" s="482" cm="1">
        <f t="array" ref="P181">_xlfn.XLOOKUP(1,($B181=DistributionZone)*($C181=CustomerType)*($D181=tariffL2)*($E181=tariffType)*($G181=Description)*($P$5=Desc_FixedOrVar),valuesFY,0)*SUM(P177:P180)</f>
        <v>0.48131585371850832</v>
      </c>
      <c r="Q181" s="482">
        <f t="shared" si="119"/>
        <v>2.2140529271051381</v>
      </c>
      <c r="R181" s="484">
        <f>IFERROR(Q181/Q182,"")</f>
        <v>4.3425813301402785E-2</v>
      </c>
      <c r="S181" s="484"/>
      <c r="T181" s="644"/>
      <c r="U181" s="484"/>
      <c r="V181" s="484"/>
      <c r="W181" s="484"/>
      <c r="X181" s="484"/>
      <c r="Y181" s="484"/>
      <c r="Z181" s="484"/>
      <c r="AA181" s="484"/>
      <c r="AB181" s="484"/>
      <c r="AC181" s="484"/>
      <c r="AD181" s="484"/>
      <c r="AE181" s="484"/>
      <c r="AF181" s="484"/>
      <c r="AG181" s="484"/>
      <c r="AH181" s="484"/>
      <c r="AI181" s="484"/>
      <c r="AJ181" s="484"/>
    </row>
    <row r="182" spans="1:36" s="65" customFormat="1" x14ac:dyDescent="0.35">
      <c r="A182" s="30"/>
      <c r="B182" s="30" t="str">
        <f t="shared" si="117"/>
        <v>Essential</v>
      </c>
      <c r="C182" s="30" t="str">
        <f t="shared" si="117"/>
        <v>Residential</v>
      </c>
      <c r="D182" s="30" t="str">
        <f t="shared" si="117"/>
        <v>flat rate</v>
      </c>
      <c r="E182" s="30" t="s">
        <v>19</v>
      </c>
      <c r="F182" s="258">
        <f>F181</f>
        <v>4600</v>
      </c>
      <c r="G182" s="64" t="s">
        <v>55</v>
      </c>
      <c r="H182" s="487">
        <f>SUM(H177:H181)</f>
        <v>0</v>
      </c>
      <c r="I182" s="487">
        <f>SUM(I177:I181)</f>
        <v>15.843953867113337</v>
      </c>
      <c r="J182" s="487">
        <f>IF(AND(H182="",I182=""),"",H182+I182*+Usage!C$41/1000)</f>
        <v>72.882187788721353</v>
      </c>
      <c r="K182" s="564"/>
      <c r="L182" s="566"/>
      <c r="M182" s="564">
        <f t="shared" si="118"/>
        <v>-0.30045020003564016</v>
      </c>
      <c r="N182" s="566"/>
      <c r="O182" s="487">
        <f>SUM(O177:O181)</f>
        <v>0</v>
      </c>
      <c r="P182" s="487">
        <f>SUM(P177:P181)</f>
        <v>11.083634758383681</v>
      </c>
      <c r="Q182" s="487">
        <f t="shared" si="119"/>
        <v>50.984719888564932</v>
      </c>
      <c r="R182" s="484"/>
      <c r="S182" s="484"/>
      <c r="T182" s="644"/>
      <c r="U182" s="484"/>
      <c r="V182" s="484"/>
      <c r="W182" s="484"/>
      <c r="X182" s="484"/>
      <c r="Y182" s="484"/>
      <c r="Z182" s="484"/>
      <c r="AA182" s="484"/>
      <c r="AB182" s="484"/>
      <c r="AC182" s="484"/>
      <c r="AD182" s="484"/>
      <c r="AE182" s="484"/>
      <c r="AF182" s="484"/>
      <c r="AG182" s="484"/>
      <c r="AH182" s="484"/>
      <c r="AI182" s="484"/>
      <c r="AJ182" s="484"/>
    </row>
    <row r="183" spans="1:36" s="65" customFormat="1" x14ac:dyDescent="0.35">
      <c r="A183" s="30"/>
      <c r="B183" s="30" t="str">
        <f t="shared" si="117"/>
        <v>Essential</v>
      </c>
      <c r="C183" s="30" t="str">
        <f t="shared" si="117"/>
        <v>Residential</v>
      </c>
      <c r="D183" s="30" t="str">
        <f t="shared" si="117"/>
        <v>flat rate</v>
      </c>
      <c r="E183" s="30"/>
      <c r="F183" s="258"/>
      <c r="G183" s="30" t="s">
        <v>38</v>
      </c>
      <c r="H183" s="482"/>
      <c r="I183" s="482"/>
      <c r="J183" s="482">
        <f>J182*GST</f>
        <v>7.2882187788721353</v>
      </c>
      <c r="K183" s="484"/>
      <c r="L183" s="568"/>
      <c r="M183" s="484"/>
      <c r="N183" s="568"/>
      <c r="O183" s="482"/>
      <c r="P183" s="482"/>
      <c r="Q183" s="482">
        <f>Q182*GST</f>
        <v>5.0984719888564936</v>
      </c>
      <c r="R183" s="564"/>
      <c r="S183" s="564"/>
      <c r="T183" s="646"/>
      <c r="U183" s="564"/>
      <c r="V183" s="564"/>
      <c r="W183" s="564"/>
      <c r="X183" s="564"/>
      <c r="Y183" s="564"/>
      <c r="Z183" s="564"/>
      <c r="AA183" s="564"/>
      <c r="AB183" s="564"/>
      <c r="AC183" s="564"/>
      <c r="AD183" s="564"/>
      <c r="AE183" s="564"/>
      <c r="AF183" s="564"/>
      <c r="AG183" s="564"/>
      <c r="AH183" s="564"/>
      <c r="AI183" s="564"/>
      <c r="AJ183" s="564"/>
    </row>
    <row r="184" spans="1:36" s="65" customFormat="1" x14ac:dyDescent="0.35">
      <c r="A184" s="30"/>
      <c r="B184" s="30" t="str">
        <f t="shared" si="117"/>
        <v>Essential</v>
      </c>
      <c r="C184" s="30" t="str">
        <f t="shared" si="117"/>
        <v>Residential</v>
      </c>
      <c r="D184" s="30" t="str">
        <f t="shared" si="117"/>
        <v>flat rate</v>
      </c>
      <c r="E184" s="30"/>
      <c r="F184" s="258"/>
      <c r="G184" s="64" t="s">
        <v>79</v>
      </c>
      <c r="H184" s="487"/>
      <c r="I184" s="487"/>
      <c r="J184" s="487">
        <f>SUM(J182:J183)</f>
        <v>80.170406567593488</v>
      </c>
      <c r="K184" s="564"/>
      <c r="L184" s="566"/>
      <c r="M184" s="564">
        <f>IF(OR(J184=0,Q184=""),"",Q184/J184-1)</f>
        <v>-0.30045020003564016</v>
      </c>
      <c r="N184" s="566"/>
      <c r="O184" s="487"/>
      <c r="P184" s="487"/>
      <c r="Q184" s="487">
        <f>SUM(Q182:Q183)</f>
        <v>56.083191877421427</v>
      </c>
      <c r="R184" s="564"/>
      <c r="S184" s="564"/>
      <c r="T184" s="646"/>
      <c r="U184" s="564"/>
      <c r="V184" s="564"/>
      <c r="W184" s="564"/>
      <c r="X184" s="564"/>
      <c r="Y184" s="564"/>
      <c r="Z184" s="564"/>
      <c r="AA184" s="564"/>
      <c r="AB184" s="564"/>
      <c r="AC184" s="564"/>
      <c r="AD184" s="564"/>
      <c r="AE184" s="564"/>
      <c r="AF184" s="564"/>
      <c r="AG184" s="564"/>
      <c r="AH184" s="564"/>
      <c r="AI184" s="564"/>
      <c r="AJ184" s="564"/>
    </row>
    <row r="185" spans="1:36" s="65" customFormat="1" x14ac:dyDescent="0.35">
      <c r="A185" s="30"/>
      <c r="B185" s="30"/>
      <c r="C185" s="30"/>
      <c r="D185" s="30"/>
      <c r="E185" s="30"/>
      <c r="F185" s="258"/>
      <c r="G185" s="30"/>
      <c r="H185" s="482"/>
      <c r="I185" s="482"/>
      <c r="J185" s="482"/>
      <c r="K185" s="484"/>
      <c r="L185" s="568"/>
      <c r="M185" s="484"/>
      <c r="N185" s="568"/>
      <c r="O185" s="482"/>
      <c r="P185" s="482"/>
      <c r="Q185" s="482"/>
      <c r="R185" s="484"/>
      <c r="S185" s="484"/>
      <c r="T185" s="644"/>
      <c r="U185" s="484"/>
      <c r="V185" s="484"/>
      <c r="W185" s="484"/>
      <c r="X185" s="484"/>
      <c r="Y185" s="484"/>
      <c r="Z185" s="484"/>
      <c r="AA185" s="484"/>
      <c r="AB185" s="484"/>
      <c r="AC185" s="484"/>
      <c r="AD185" s="484"/>
      <c r="AE185" s="484"/>
      <c r="AF185" s="484"/>
      <c r="AG185" s="484"/>
      <c r="AH185" s="484"/>
      <c r="AI185" s="484"/>
      <c r="AJ185" s="484"/>
    </row>
    <row r="186" spans="1:36" s="627" customFormat="1" x14ac:dyDescent="0.35">
      <c r="A186" s="570"/>
      <c r="B186" s="571" t="s">
        <v>3</v>
      </c>
      <c r="C186" s="571" t="s">
        <v>6</v>
      </c>
      <c r="D186" s="571" t="s">
        <v>272</v>
      </c>
      <c r="E186" s="570"/>
      <c r="F186" s="485"/>
      <c r="G186" s="570"/>
      <c r="H186" s="574"/>
      <c r="I186" s="574"/>
      <c r="J186" s="574"/>
      <c r="K186" s="575"/>
      <c r="L186" s="582"/>
      <c r="M186" s="575"/>
      <c r="N186" s="582"/>
      <c r="O186" s="574"/>
      <c r="P186" s="574"/>
      <c r="Q186" s="574"/>
      <c r="R186" s="575"/>
      <c r="S186" s="575"/>
      <c r="T186" s="649"/>
      <c r="U186" s="575"/>
      <c r="V186" s="575"/>
      <c r="W186" s="575"/>
      <c r="X186" s="575"/>
      <c r="Y186" s="575"/>
      <c r="Z186" s="575"/>
      <c r="AA186" s="575"/>
      <c r="AB186" s="575"/>
      <c r="AC186" s="575"/>
      <c r="AD186" s="575"/>
      <c r="AE186" s="575"/>
      <c r="AF186" s="575"/>
      <c r="AG186" s="575"/>
      <c r="AH186" s="575"/>
      <c r="AI186" s="575"/>
      <c r="AJ186" s="575"/>
    </row>
    <row r="187" spans="1:36" s="627" customFormat="1" x14ac:dyDescent="0.35">
      <c r="A187" s="570"/>
      <c r="B187" s="570" t="str">
        <f t="shared" ref="B187:D187" si="120">B186</f>
        <v>Essential</v>
      </c>
      <c r="C187" s="570" t="str">
        <f t="shared" si="120"/>
        <v>Residential</v>
      </c>
      <c r="D187" s="570" t="str">
        <f t="shared" si="120"/>
        <v>time of use</v>
      </c>
      <c r="E187" s="570" t="s">
        <v>279</v>
      </c>
      <c r="F187" s="485" cm="1">
        <f t="array" ref="F187">_xlfn.XLOOKUP(1,($B187=DistributionZone)*($C187=CustomerType)*($D187=tariffL2)*($F$5=Description),valuesPY)*_xlfn.XLOOKUP(1,($B187=DistributionZone)*($C187=CustomerType)*($D187=tariffL2)*($E187=tariffType)*("Usage proportion"=Description),valuesFY)</f>
        <v>2233.2737593131787</v>
      </c>
      <c r="G187" s="570" t="s">
        <v>73</v>
      </c>
      <c r="H187" s="574"/>
      <c r="I187" s="574" cm="1">
        <f t="array" ref="I187">_xlfn.XLOOKUP(1,($B187=DistributionZone)*($G187=Description)*($I$5=Desc_FixedOrVar),valuesPY,0)</f>
        <v>6.1170426505850894</v>
      </c>
      <c r="J187" s="574">
        <f>IF(AND(H187="",I187=""),"",H187+I187*$F187/1000)</f>
        <v>13.661030836151214</v>
      </c>
      <c r="K187" s="575" t="str">
        <f>IFERROR(J187/J192,"")</f>
        <v/>
      </c>
      <c r="L187" s="576"/>
      <c r="M187" s="575">
        <f t="shared" ref="M187:M192" si="121">IF(OR(J187=0,Q187=""),"",Q187/J187-1)</f>
        <v>-0.48482055209325359</v>
      </c>
      <c r="N187" s="576"/>
      <c r="O187" s="574"/>
      <c r="P187" s="574" cm="1">
        <f t="array" ref="P187">_xlfn.XLOOKUP(1,($B187=DistributionZone)*($G187=Description)*($I$5=Desc_FixedOrVar),valuesFY,0)</f>
        <v>3.1513746555504474</v>
      </c>
      <c r="Q187" s="574">
        <f t="shared" ref="Q187:Q192" si="122">IF(AND(O187="",P187=""),"",O187+P187*$F187/1000)</f>
        <v>7.0378823240054214</v>
      </c>
      <c r="R187" s="575">
        <f>IFERROR(Q187/Q192,"")</f>
        <v>0.28432682276603727</v>
      </c>
      <c r="S187" s="575"/>
      <c r="T187" s="634"/>
      <c r="U187" s="575"/>
      <c r="V187" s="575"/>
      <c r="W187" s="575"/>
      <c r="X187" s="575"/>
      <c r="Y187" s="575"/>
      <c r="Z187" s="575"/>
      <c r="AA187" s="575"/>
      <c r="AB187" s="575"/>
      <c r="AC187" s="575"/>
      <c r="AD187" s="575"/>
      <c r="AE187" s="575"/>
      <c r="AF187" s="575"/>
      <c r="AG187" s="575"/>
      <c r="AH187" s="575"/>
      <c r="AI187" s="575"/>
      <c r="AJ187" s="575"/>
    </row>
    <row r="188" spans="1:36" s="627" customFormat="1" x14ac:dyDescent="0.35">
      <c r="A188" s="570"/>
      <c r="B188" s="570" t="str">
        <f t="shared" ref="B188:E188" si="123">B187</f>
        <v>Essential</v>
      </c>
      <c r="C188" s="570" t="str">
        <f t="shared" si="123"/>
        <v>Residential</v>
      </c>
      <c r="D188" s="570" t="str">
        <f t="shared" si="123"/>
        <v>time of use</v>
      </c>
      <c r="E188" s="570" t="str">
        <f t="shared" si="123"/>
        <v>time of use (Off-peak)</v>
      </c>
      <c r="F188" s="485">
        <f>F187</f>
        <v>2233.2737593131787</v>
      </c>
      <c r="G188" s="570" t="s">
        <v>74</v>
      </c>
      <c r="H188" s="574"/>
      <c r="I188" s="574" cm="1">
        <f t="array" ref="I188">_xlfn.XLOOKUP(1,($B188=DistributionZone)*($G188=Description)*($I$5=Desc_FixedOrVar),valuesPY,0)</f>
        <v>5.1359999999999992</v>
      </c>
      <c r="J188" s="574">
        <f>IF(AND(H188="",I188=""),"",H188+I188*$F188/1000)</f>
        <v>11.470094027832484</v>
      </c>
      <c r="K188" s="575" t="str">
        <f>IFERROR(J188/J192,"")</f>
        <v/>
      </c>
      <c r="L188" s="576"/>
      <c r="M188" s="575">
        <f t="shared" si="121"/>
        <v>-0.1269470404984423</v>
      </c>
      <c r="N188" s="576"/>
      <c r="O188" s="574"/>
      <c r="P188" s="574" cm="1">
        <f t="array" ref="P188">_xlfn.XLOOKUP(1,($B188=DistributionZone)*($G188=Description)*($I$5=Desc_FixedOrVar),valuesFY,0)</f>
        <v>4.484</v>
      </c>
      <c r="Q188" s="574">
        <f t="shared" si="122"/>
        <v>10.013999536760293</v>
      </c>
      <c r="R188" s="575">
        <f>IFERROR(Q188/Q192,"")</f>
        <v>0.40456042604690617</v>
      </c>
      <c r="S188" s="575"/>
      <c r="T188" s="649"/>
      <c r="U188" s="575"/>
      <c r="V188" s="575"/>
      <c r="W188" s="575"/>
      <c r="X188" s="575"/>
      <c r="Y188" s="575"/>
      <c r="Z188" s="575"/>
      <c r="AA188" s="575"/>
      <c r="AB188" s="575"/>
      <c r="AC188" s="575"/>
      <c r="AD188" s="575"/>
      <c r="AE188" s="575"/>
      <c r="AF188" s="575"/>
      <c r="AG188" s="575"/>
      <c r="AH188" s="575"/>
      <c r="AI188" s="575"/>
      <c r="AJ188" s="575"/>
    </row>
    <row r="189" spans="1:36" s="627" customFormat="1" x14ac:dyDescent="0.35">
      <c r="A189" s="570"/>
      <c r="B189" s="570" t="str">
        <f t="shared" ref="B189:E189" si="124">B188</f>
        <v>Essential</v>
      </c>
      <c r="C189" s="570" t="str">
        <f t="shared" si="124"/>
        <v>Residential</v>
      </c>
      <c r="D189" s="570" t="str">
        <f t="shared" si="124"/>
        <v>time of use</v>
      </c>
      <c r="E189" s="570" t="str">
        <f t="shared" si="124"/>
        <v>time of use (Off-peak)</v>
      </c>
      <c r="F189" s="485">
        <f>F188</f>
        <v>2233.2737593131787</v>
      </c>
      <c r="G189" s="570" t="s">
        <v>75</v>
      </c>
      <c r="H189" s="574"/>
      <c r="I189" s="574" cm="1">
        <f t="array" ref="I189">_xlfn.XLOOKUP(1,($B189=DistributionZone)*($G189=Description)*($I$5=Desc_FixedOrVar),valuesPY,0)</f>
        <v>2.1292191637289464</v>
      </c>
      <c r="J189" s="574">
        <f>IF(AND(H189="",I189=""),"",H189+I189*$F189/1000)</f>
        <v>4.7551292861826067</v>
      </c>
      <c r="K189" s="575" t="str">
        <f>IFERROR(J189/J192,"")</f>
        <v/>
      </c>
      <c r="L189" s="576"/>
      <c r="M189" s="575">
        <f t="shared" si="121"/>
        <v>0.30545066908580987</v>
      </c>
      <c r="N189" s="576"/>
      <c r="O189" s="574"/>
      <c r="P189" s="574" cm="1">
        <f t="array" ref="P189">_xlfn.XLOOKUP(1,($B189=DistributionZone)*($G189=Description)*($I$5=Desc_FixedOrVar),valuesFY,0)</f>
        <v>2.7795905819202815</v>
      </c>
      <c r="Q189" s="574">
        <f t="shared" si="122"/>
        <v>6.2075867082366134</v>
      </c>
      <c r="R189" s="575">
        <f>IFERROR(Q189/Q192,"")</f>
        <v>0.25078330732775134</v>
      </c>
      <c r="S189" s="575"/>
      <c r="T189" s="649"/>
      <c r="U189" s="575"/>
      <c r="V189" s="575"/>
      <c r="W189" s="575"/>
      <c r="X189" s="575"/>
      <c r="Y189" s="575"/>
      <c r="Z189" s="575"/>
      <c r="AA189" s="575"/>
      <c r="AB189" s="575"/>
      <c r="AC189" s="575"/>
      <c r="AD189" s="575"/>
      <c r="AE189" s="575"/>
      <c r="AF189" s="575"/>
      <c r="AG189" s="575"/>
      <c r="AH189" s="575"/>
      <c r="AI189" s="575"/>
      <c r="AJ189" s="575"/>
    </row>
    <row r="190" spans="1:36" s="627" customFormat="1" x14ac:dyDescent="0.35">
      <c r="A190" s="570"/>
      <c r="B190" s="570" t="str">
        <f t="shared" ref="B190:E190" si="125">B189</f>
        <v>Essential</v>
      </c>
      <c r="C190" s="570" t="str">
        <f t="shared" si="125"/>
        <v>Residential</v>
      </c>
      <c r="D190" s="570" t="str">
        <f t="shared" si="125"/>
        <v>time of use</v>
      </c>
      <c r="E190" s="570" t="str">
        <f t="shared" si="125"/>
        <v>time of use (Off-peak)</v>
      </c>
      <c r="F190" s="485">
        <f>F189</f>
        <v>2233.2737593131787</v>
      </c>
      <c r="G190" s="570" t="s">
        <v>155</v>
      </c>
      <c r="H190" s="574"/>
      <c r="I190" s="574" cm="1">
        <f t="array" ref="I190">_xlfn.XLOOKUP(1,($B190=DistributionZone)*($G190=Description)*($I$5=Desc_FixedOrVar),valuesPY,0)</f>
        <v>1.8634456011480964</v>
      </c>
      <c r="J190" s="574">
        <f>IF(AND(H190="",I190=""),"",H190+I190*$F190/1000)</f>
        <v>4.1615841629516153</v>
      </c>
      <c r="K190" s="575" t="str">
        <f>IFERROR(J190/J192,"")</f>
        <v/>
      </c>
      <c r="L190" s="576"/>
      <c r="M190" s="575">
        <f t="shared" si="121"/>
        <v>-0.8994584724775363</v>
      </c>
      <c r="N190" s="576"/>
      <c r="O190" s="574"/>
      <c r="P190" s="574" cm="1">
        <f t="array" ref="P190">_xlfn.XLOOKUP(1,($B190=DistributionZone)*($G190=Description)*($I$5=Desc_FixedOrVar),valuesFY,0)</f>
        <v>0.18735366719444529</v>
      </c>
      <c r="Q190" s="574">
        <f t="shared" si="122"/>
        <v>0.418412028656449</v>
      </c>
      <c r="R190" s="575">
        <f>IFERROR(Q190/Q192,"")</f>
        <v>1.6903630557902553E-2</v>
      </c>
      <c r="S190" s="575"/>
      <c r="T190" s="649"/>
      <c r="U190" s="575"/>
      <c r="V190" s="575"/>
      <c r="W190" s="575"/>
      <c r="X190" s="575"/>
      <c r="Y190" s="575"/>
      <c r="Z190" s="575"/>
      <c r="AA190" s="575"/>
      <c r="AB190" s="575"/>
      <c r="AC190" s="575"/>
      <c r="AD190" s="575"/>
      <c r="AE190" s="575"/>
      <c r="AF190" s="575"/>
      <c r="AG190" s="575"/>
      <c r="AH190" s="575"/>
      <c r="AI190" s="575"/>
      <c r="AJ190" s="575"/>
    </row>
    <row r="191" spans="1:36" s="627" customFormat="1" x14ac:dyDescent="0.35">
      <c r="A191" s="570"/>
      <c r="B191" s="570" t="str">
        <f t="shared" ref="B191:E191" si="126">B190</f>
        <v>Essential</v>
      </c>
      <c r="C191" s="570" t="str">
        <f t="shared" si="126"/>
        <v>Residential</v>
      </c>
      <c r="D191" s="570" t="str">
        <f t="shared" si="126"/>
        <v>time of use</v>
      </c>
      <c r="E191" s="570" t="str">
        <f t="shared" si="126"/>
        <v>time of use (Off-peak)</v>
      </c>
      <c r="F191" s="485">
        <f>F190</f>
        <v>2233.2737593131787</v>
      </c>
      <c r="G191" s="570" t="s">
        <v>72</v>
      </c>
      <c r="H191" s="574"/>
      <c r="I191" s="574" cm="1">
        <f t="array" ref="I191">_xlfn.XLOOKUP(1,($B191=DistributionZone)*($C191=CustomerType)*($D191=tariffL2)*($G191=Description)*($I$5=Desc_FixedOrVar),valuesPY,0)*SUM(I187:I190)</f>
        <v>0</v>
      </c>
      <c r="J191" s="574">
        <f>IF(AND(H191="",I191=""),"",H191+I191*$F191/1000)</f>
        <v>0</v>
      </c>
      <c r="K191" s="575" t="str">
        <f>IFERROR(J191/J192,"")</f>
        <v/>
      </c>
      <c r="L191" s="576"/>
      <c r="M191" s="575" t="str">
        <f t="shared" si="121"/>
        <v/>
      </c>
      <c r="N191" s="576"/>
      <c r="O191" s="574"/>
      <c r="P191" s="574" cm="1">
        <f t="array" ref="P191">_xlfn.XLOOKUP(1,($B191=DistributionZone)*($C191=CustomerType)*($D191=tariffL2)*($G191=Description)*($P$5=Desc_FixedOrVar),valuesFY,0)*SUM(P187:P190)</f>
        <v>0.48131585371850832</v>
      </c>
      <c r="Q191" s="574">
        <f t="shared" si="122"/>
        <v>1.074910066050965</v>
      </c>
      <c r="R191" s="575">
        <f>IFERROR(Q191/Q192,"")</f>
        <v>4.3425813301402778E-2</v>
      </c>
      <c r="S191" s="575"/>
      <c r="T191" s="649"/>
      <c r="U191" s="575"/>
      <c r="V191" s="575"/>
      <c r="W191" s="575"/>
      <c r="X191" s="575"/>
      <c r="Y191" s="575"/>
      <c r="Z191" s="575"/>
      <c r="AA191" s="575"/>
      <c r="AB191" s="575"/>
      <c r="AC191" s="575"/>
      <c r="AD191" s="575"/>
      <c r="AE191" s="575"/>
      <c r="AF191" s="575"/>
      <c r="AG191" s="575"/>
      <c r="AH191" s="575"/>
      <c r="AI191" s="575"/>
      <c r="AJ191" s="575"/>
    </row>
    <row r="192" spans="1:36" s="627" customFormat="1" x14ac:dyDescent="0.35">
      <c r="A192" s="570"/>
      <c r="B192" s="570" t="str">
        <f t="shared" ref="B192:E192" si="127">B191</f>
        <v>Essential</v>
      </c>
      <c r="C192" s="570" t="str">
        <f t="shared" si="127"/>
        <v>Residential</v>
      </c>
      <c r="D192" s="570" t="str">
        <f t="shared" si="127"/>
        <v>time of use</v>
      </c>
      <c r="E192" s="570" t="str">
        <f t="shared" si="127"/>
        <v>time of use (Off-peak)</v>
      </c>
      <c r="F192" s="485">
        <f>F191</f>
        <v>2233.2737593131787</v>
      </c>
      <c r="G192" s="571" t="s">
        <v>55</v>
      </c>
      <c r="H192" s="577">
        <f>IF($H$3=PY,0,SUM(H187:H191))</f>
        <v>0</v>
      </c>
      <c r="I192" s="577">
        <f>IF($H$3=PY,0,SUM(I187:I191))</f>
        <v>0</v>
      </c>
      <c r="J192" s="577">
        <f>IF($H$3=PY,0,SUM(J187:J191))</f>
        <v>0</v>
      </c>
      <c r="K192" s="578"/>
      <c r="L192" s="580"/>
      <c r="M192" s="578" t="str">
        <f t="shared" si="121"/>
        <v/>
      </c>
      <c r="N192" s="580"/>
      <c r="O192" s="577">
        <f>SUM(O187:O191)</f>
        <v>0</v>
      </c>
      <c r="P192" s="577">
        <f>SUM(P187:P191)</f>
        <v>11.083634758383681</v>
      </c>
      <c r="Q192" s="577">
        <f t="shared" si="122"/>
        <v>24.752790663709739</v>
      </c>
      <c r="R192" s="575"/>
      <c r="S192" s="575"/>
      <c r="T192" s="649"/>
      <c r="U192" s="575"/>
      <c r="V192" s="575"/>
      <c r="W192" s="575"/>
      <c r="X192" s="575"/>
      <c r="Y192" s="575"/>
      <c r="Z192" s="575"/>
      <c r="AA192" s="575"/>
      <c r="AB192" s="575"/>
      <c r="AC192" s="575"/>
      <c r="AD192" s="575"/>
      <c r="AE192" s="575"/>
      <c r="AF192" s="575"/>
      <c r="AG192" s="575"/>
      <c r="AH192" s="575"/>
      <c r="AI192" s="575"/>
      <c r="AJ192" s="575"/>
    </row>
    <row r="193" spans="1:36" s="627" customFormat="1" x14ac:dyDescent="0.35">
      <c r="A193" s="570"/>
      <c r="B193" s="570" t="str">
        <f t="shared" ref="B193:D193" si="128">B192</f>
        <v>Essential</v>
      </c>
      <c r="C193" s="570" t="str">
        <f t="shared" si="128"/>
        <v>Residential</v>
      </c>
      <c r="D193" s="570" t="str">
        <f t="shared" si="128"/>
        <v>time of use</v>
      </c>
      <c r="E193" s="570" t="s">
        <v>278</v>
      </c>
      <c r="F193" s="485" cm="1">
        <f t="array" ref="F193">_xlfn.XLOOKUP(1,($B193=DistributionZone)*($C193=CustomerType)*($D193=tariffL2)*($F$5=Description),valuesPY)*_xlfn.XLOOKUP(1,($B193=DistributionZone)*($C193=CustomerType)*($D193=tariffL2)*($E193=tariffType)*("Usage proportion"=Description),valuesFY)</f>
        <v>2366.7262406868213</v>
      </c>
      <c r="G193" s="570" t="s">
        <v>73</v>
      </c>
      <c r="H193" s="574"/>
      <c r="I193" s="574" cm="1">
        <f t="array" ref="I193">_xlfn.XLOOKUP(1,($B193=DistributionZone)*($G193=Description)*($I$5=Desc_FixedOrVar),valuesPY,0)</f>
        <v>6.1170426505850894</v>
      </c>
      <c r="J193" s="574">
        <f>IF(AND(H193="",I193=""),"",H193+I193*$F193/1000)</f>
        <v>14.477365356540199</v>
      </c>
      <c r="K193" s="575" t="str">
        <f>IFERROR(J193/J198,"")</f>
        <v/>
      </c>
      <c r="L193" s="576"/>
      <c r="M193" s="575">
        <f t="shared" ref="M193:M198" si="129">IF(OR(J193=0,Q193=""),"",Q193/J193-1)</f>
        <v>-0.48482055209325359</v>
      </c>
      <c r="N193" s="576"/>
      <c r="O193" s="574"/>
      <c r="P193" s="574" cm="1">
        <f t="array" ref="P193">_xlfn.XLOOKUP(1,($B193=DistributionZone)*($G193=Description)*($I$5=Desc_FixedOrVar),valuesFY,0)</f>
        <v>3.1513746555504474</v>
      </c>
      <c r="Q193" s="574">
        <f t="shared" ref="Q193:Q198" si="130">IF(AND(O193="",P193=""),"",O193+P193*$F193/1000)</f>
        <v>7.4584410915266366</v>
      </c>
      <c r="R193" s="575">
        <f>IFERROR(Q193/Q198,"")</f>
        <v>0.28432682276603727</v>
      </c>
      <c r="S193" s="575"/>
      <c r="T193" s="634"/>
      <c r="U193" s="575"/>
      <c r="V193" s="575"/>
      <c r="W193" s="575"/>
      <c r="X193" s="575"/>
      <c r="Y193" s="575"/>
      <c r="Z193" s="575"/>
      <c r="AA193" s="575"/>
      <c r="AB193" s="575"/>
      <c r="AC193" s="575"/>
      <c r="AD193" s="575"/>
      <c r="AE193" s="575"/>
      <c r="AF193" s="575"/>
      <c r="AG193" s="575"/>
      <c r="AH193" s="575"/>
      <c r="AI193" s="575"/>
      <c r="AJ193" s="575"/>
    </row>
    <row r="194" spans="1:36" s="627" customFormat="1" x14ac:dyDescent="0.35">
      <c r="A194" s="570"/>
      <c r="B194" s="570" t="str">
        <f t="shared" ref="B194:E201" si="131">B193</f>
        <v>Essential</v>
      </c>
      <c r="C194" s="570" t="str">
        <f t="shared" si="131"/>
        <v>Residential</v>
      </c>
      <c r="D194" s="570" t="str">
        <f t="shared" si="131"/>
        <v>time of use</v>
      </c>
      <c r="E194" s="570" t="str">
        <f t="shared" si="131"/>
        <v>time of use (Peak)</v>
      </c>
      <c r="F194" s="485">
        <f>F193</f>
        <v>2366.7262406868213</v>
      </c>
      <c r="G194" s="570" t="s">
        <v>74</v>
      </c>
      <c r="H194" s="574"/>
      <c r="I194" s="574" cm="1">
        <f t="array" ref="I194">_xlfn.XLOOKUP(1,($B194=DistributionZone)*($G194=Description)*($I$5=Desc_FixedOrVar),valuesPY,0)</f>
        <v>5.1359999999999992</v>
      </c>
      <c r="J194" s="574">
        <f>IF(AND(H194="",I194=""),"",H194+I194*$F194/1000)</f>
        <v>12.155505972167511</v>
      </c>
      <c r="K194" s="575" t="str">
        <f>IFERROR(J194/J198,"")</f>
        <v/>
      </c>
      <c r="L194" s="576"/>
      <c r="M194" s="575">
        <f t="shared" si="129"/>
        <v>-0.12694704049844208</v>
      </c>
      <c r="N194" s="576"/>
      <c r="O194" s="574"/>
      <c r="P194" s="574" cm="1">
        <f t="array" ref="P194">_xlfn.XLOOKUP(1,($B194=DistributionZone)*($G194=Description)*($I$5=Desc_FixedOrVar),valuesFY,0)</f>
        <v>4.484</v>
      </c>
      <c r="Q194" s="574">
        <f t="shared" si="130"/>
        <v>10.612400463239707</v>
      </c>
      <c r="R194" s="575">
        <f>IFERROR(Q194/Q198,"")</f>
        <v>0.40456042604690623</v>
      </c>
      <c r="S194" s="575"/>
      <c r="T194" s="649"/>
      <c r="U194" s="575"/>
      <c r="V194" s="575"/>
      <c r="W194" s="575"/>
      <c r="X194" s="575"/>
      <c r="Y194" s="575"/>
      <c r="Z194" s="575"/>
      <c r="AA194" s="575"/>
      <c r="AB194" s="575"/>
      <c r="AC194" s="575"/>
      <c r="AD194" s="575"/>
      <c r="AE194" s="575"/>
      <c r="AF194" s="575"/>
      <c r="AG194" s="575"/>
      <c r="AH194" s="575"/>
      <c r="AI194" s="575"/>
      <c r="AJ194" s="575"/>
    </row>
    <row r="195" spans="1:36" s="627" customFormat="1" x14ac:dyDescent="0.35">
      <c r="A195" s="570"/>
      <c r="B195" s="570" t="str">
        <f t="shared" si="131"/>
        <v>Essential</v>
      </c>
      <c r="C195" s="570" t="str">
        <f t="shared" si="131"/>
        <v>Residential</v>
      </c>
      <c r="D195" s="570" t="str">
        <f t="shared" si="131"/>
        <v>time of use</v>
      </c>
      <c r="E195" s="570" t="str">
        <f t="shared" si="131"/>
        <v>time of use (Peak)</v>
      </c>
      <c r="F195" s="485">
        <f>F194</f>
        <v>2366.7262406868213</v>
      </c>
      <c r="G195" s="570" t="s">
        <v>75</v>
      </c>
      <c r="H195" s="574"/>
      <c r="I195" s="574" cm="1">
        <f t="array" ref="I195">_xlfn.XLOOKUP(1,($B195=DistributionZone)*($G195=Description)*($I$5=Desc_FixedOrVar),valuesPY,0)</f>
        <v>2.1292191637289464</v>
      </c>
      <c r="J195" s="574">
        <f>IF(AND(H195="",I195=""),"",H195+I195*$F195/1000)</f>
        <v>5.0392788669705473</v>
      </c>
      <c r="K195" s="575" t="str">
        <f>IFERROR(J195/J198,"")</f>
        <v/>
      </c>
      <c r="L195" s="576"/>
      <c r="M195" s="575">
        <f t="shared" si="129"/>
        <v>0.30545066908580965</v>
      </c>
      <c r="N195" s="576"/>
      <c r="O195" s="574"/>
      <c r="P195" s="574" cm="1">
        <f t="array" ref="P195">_xlfn.XLOOKUP(1,($B195=DistributionZone)*($G195=Description)*($I$5=Desc_FixedOrVar),valuesFY,0)</f>
        <v>2.7795905819202815</v>
      </c>
      <c r="Q195" s="574">
        <f t="shared" si="130"/>
        <v>6.5785299685966816</v>
      </c>
      <c r="R195" s="575">
        <f>IFERROR(Q195/Q198,"")</f>
        <v>0.25078330732775134</v>
      </c>
      <c r="S195" s="575"/>
      <c r="T195" s="649"/>
      <c r="U195" s="575"/>
      <c r="V195" s="575"/>
      <c r="W195" s="575"/>
      <c r="X195" s="575"/>
      <c r="Y195" s="575"/>
      <c r="Z195" s="575"/>
      <c r="AA195" s="575"/>
      <c r="AB195" s="575"/>
      <c r="AC195" s="575"/>
      <c r="AD195" s="575"/>
      <c r="AE195" s="575"/>
      <c r="AF195" s="575"/>
      <c r="AG195" s="575"/>
      <c r="AH195" s="575"/>
      <c r="AI195" s="575"/>
      <c r="AJ195" s="575"/>
    </row>
    <row r="196" spans="1:36" s="627" customFormat="1" x14ac:dyDescent="0.35">
      <c r="A196" s="570"/>
      <c r="B196" s="570" t="str">
        <f t="shared" si="131"/>
        <v>Essential</v>
      </c>
      <c r="C196" s="570" t="str">
        <f t="shared" si="131"/>
        <v>Residential</v>
      </c>
      <c r="D196" s="570" t="str">
        <f t="shared" si="131"/>
        <v>time of use</v>
      </c>
      <c r="E196" s="570" t="str">
        <f t="shared" si="131"/>
        <v>time of use (Peak)</v>
      </c>
      <c r="F196" s="485">
        <f>F195</f>
        <v>2366.7262406868213</v>
      </c>
      <c r="G196" s="570" t="s">
        <v>155</v>
      </c>
      <c r="H196" s="574"/>
      <c r="I196" s="574" cm="1">
        <f t="array" ref="I196">_xlfn.XLOOKUP(1,($B196=DistributionZone)*($G196=Description)*($I$5=Desc_FixedOrVar),valuesPY,0)</f>
        <v>1.8634456011480964</v>
      </c>
      <c r="J196" s="574">
        <f>IF(AND(H196="",I196=""),"",H196+I196*$F196/1000)</f>
        <v>4.4102656023296278</v>
      </c>
      <c r="K196" s="575" t="str">
        <f>IFERROR(J196/J198,"")</f>
        <v/>
      </c>
      <c r="L196" s="576"/>
      <c r="M196" s="575">
        <f t="shared" si="129"/>
        <v>-0.8994584724775363</v>
      </c>
      <c r="N196" s="576"/>
      <c r="O196" s="574"/>
      <c r="P196" s="574" cm="1">
        <f t="array" ref="P196">_xlfn.XLOOKUP(1,($B196=DistributionZone)*($G196=Description)*($I$5=Desc_FixedOrVar),valuesFY,0)</f>
        <v>0.18735366719444529</v>
      </c>
      <c r="Q196" s="574">
        <f t="shared" si="130"/>
        <v>0.44341484043799934</v>
      </c>
      <c r="R196" s="575">
        <f>IFERROR(Q196/Q198,"")</f>
        <v>1.6903630557902557E-2</v>
      </c>
      <c r="S196" s="575"/>
      <c r="T196" s="649"/>
      <c r="U196" s="575"/>
      <c r="V196" s="575"/>
      <c r="W196" s="575"/>
      <c r="X196" s="575"/>
      <c r="Y196" s="575"/>
      <c r="Z196" s="575"/>
      <c r="AA196" s="575"/>
      <c r="AB196" s="575"/>
      <c r="AC196" s="575"/>
      <c r="AD196" s="575"/>
      <c r="AE196" s="575"/>
      <c r="AF196" s="575"/>
      <c r="AG196" s="575"/>
      <c r="AH196" s="575"/>
      <c r="AI196" s="575"/>
      <c r="AJ196" s="575"/>
    </row>
    <row r="197" spans="1:36" s="627" customFormat="1" x14ac:dyDescent="0.35">
      <c r="A197" s="570"/>
      <c r="B197" s="570" t="str">
        <f t="shared" si="131"/>
        <v>Essential</v>
      </c>
      <c r="C197" s="570" t="str">
        <f t="shared" si="131"/>
        <v>Residential</v>
      </c>
      <c r="D197" s="570" t="str">
        <f t="shared" si="131"/>
        <v>time of use</v>
      </c>
      <c r="E197" s="570" t="str">
        <f t="shared" si="131"/>
        <v>time of use (Peak)</v>
      </c>
      <c r="F197" s="485">
        <f>F196</f>
        <v>2366.7262406868213</v>
      </c>
      <c r="G197" s="570" t="s">
        <v>72</v>
      </c>
      <c r="H197" s="574"/>
      <c r="I197" s="574" cm="1">
        <f t="array" ref="I197">_xlfn.XLOOKUP(1,($B197=DistributionZone)*($C197=CustomerType)*($D197=tariffL2)*($G197=Description)*($I$5=Desc_FixedOrVar),valuesPY,0)*SUM(I193:I196)</f>
        <v>0</v>
      </c>
      <c r="J197" s="574">
        <f>IF(AND(H197="",I197=""),"",H197+I197*$F197/1000)</f>
        <v>0</v>
      </c>
      <c r="K197" s="575" t="str">
        <f>IFERROR(J197/J198,"")</f>
        <v/>
      </c>
      <c r="L197" s="576"/>
      <c r="M197" s="575" t="str">
        <f t="shared" si="129"/>
        <v/>
      </c>
      <c r="N197" s="576"/>
      <c r="O197" s="574"/>
      <c r="P197" s="574" cm="1">
        <f t="array" ref="P197">_xlfn.XLOOKUP(1,($B197=DistributionZone)*($C197=CustomerType)*($D197=tariffL2)*($G197=Description)*($P$5=Desc_FixedOrVar),valuesFY,0)*SUM(P193:P196)</f>
        <v>0.48131585371850832</v>
      </c>
      <c r="Q197" s="574">
        <f t="shared" si="130"/>
        <v>1.1391428610541732</v>
      </c>
      <c r="R197" s="575">
        <f>IFERROR(Q197/Q198,"")</f>
        <v>4.3425813301402785E-2</v>
      </c>
      <c r="S197" s="575"/>
      <c r="T197" s="649"/>
      <c r="U197" s="575"/>
      <c r="V197" s="575"/>
      <c r="W197" s="575"/>
      <c r="X197" s="575"/>
      <c r="Y197" s="575"/>
      <c r="Z197" s="575"/>
      <c r="AA197" s="575"/>
      <c r="AB197" s="575"/>
      <c r="AC197" s="575"/>
      <c r="AD197" s="575"/>
      <c r="AE197" s="575"/>
      <c r="AF197" s="575"/>
      <c r="AG197" s="575"/>
      <c r="AH197" s="575"/>
      <c r="AI197" s="575"/>
      <c r="AJ197" s="575"/>
    </row>
    <row r="198" spans="1:36" s="627" customFormat="1" x14ac:dyDescent="0.35">
      <c r="A198" s="570"/>
      <c r="B198" s="570" t="str">
        <f t="shared" si="131"/>
        <v>Essential</v>
      </c>
      <c r="C198" s="570" t="str">
        <f t="shared" si="131"/>
        <v>Residential</v>
      </c>
      <c r="D198" s="570" t="str">
        <f t="shared" si="131"/>
        <v>time of use</v>
      </c>
      <c r="E198" s="570" t="str">
        <f t="shared" si="131"/>
        <v>time of use (Peak)</v>
      </c>
      <c r="F198" s="485">
        <f>F197</f>
        <v>2366.7262406868213</v>
      </c>
      <c r="G198" s="571" t="s">
        <v>55</v>
      </c>
      <c r="H198" s="577">
        <f>IF($H$3=PY,0,SUM(H193:H197))</f>
        <v>0</v>
      </c>
      <c r="I198" s="577">
        <f>IF($H$3=PY,0,SUM(I193:I197))</f>
        <v>0</v>
      </c>
      <c r="J198" s="577">
        <f>IF($H$3=PY,0,SUM(J193:J197))</f>
        <v>0</v>
      </c>
      <c r="K198" s="578"/>
      <c r="L198" s="580"/>
      <c r="M198" s="578" t="str">
        <f t="shared" si="129"/>
        <v/>
      </c>
      <c r="N198" s="580"/>
      <c r="O198" s="577">
        <f>SUM(O193:O197)</f>
        <v>0</v>
      </c>
      <c r="P198" s="577">
        <f>SUM(P193:P197)</f>
        <v>11.083634758383681</v>
      </c>
      <c r="Q198" s="577">
        <f t="shared" si="130"/>
        <v>26.231929224855193</v>
      </c>
      <c r="R198" s="575"/>
      <c r="S198" s="575"/>
      <c r="T198" s="649"/>
      <c r="U198" s="575"/>
      <c r="V198" s="575"/>
      <c r="W198" s="575"/>
      <c r="X198" s="575"/>
      <c r="Y198" s="575"/>
      <c r="Z198" s="575"/>
      <c r="AA198" s="575"/>
      <c r="AB198" s="575"/>
      <c r="AC198" s="575"/>
      <c r="AD198" s="575"/>
      <c r="AE198" s="575"/>
      <c r="AF198" s="575"/>
      <c r="AG198" s="575"/>
      <c r="AH198" s="575"/>
      <c r="AI198" s="575"/>
      <c r="AJ198" s="575"/>
    </row>
    <row r="199" spans="1:36" s="627" customFormat="1" x14ac:dyDescent="0.35">
      <c r="A199" s="570"/>
      <c r="B199" s="570"/>
      <c r="C199" s="570"/>
      <c r="D199" s="570"/>
      <c r="E199" s="570" t="s">
        <v>272</v>
      </c>
      <c r="F199" s="485">
        <f>SUM(F193,F187)</f>
        <v>4600</v>
      </c>
      <c r="G199" s="571" t="s">
        <v>55</v>
      </c>
      <c r="H199" s="577">
        <f>SUM(H192,H198)</f>
        <v>0</v>
      </c>
      <c r="I199" s="577">
        <f>SUM(I192,I198)</f>
        <v>0</v>
      </c>
      <c r="J199" s="577">
        <f>SUM(J192,J198)</f>
        <v>0</v>
      </c>
      <c r="K199" s="578"/>
      <c r="L199" s="580"/>
      <c r="M199" s="578"/>
      <c r="N199" s="580"/>
      <c r="O199" s="577">
        <f t="shared" ref="O199:Q199" si="132">SUM(O192,O198)</f>
        <v>0</v>
      </c>
      <c r="P199" s="577">
        <f t="shared" si="132"/>
        <v>22.167269516767362</v>
      </c>
      <c r="Q199" s="577">
        <f t="shared" si="132"/>
        <v>50.984719888564932</v>
      </c>
      <c r="R199" s="575"/>
      <c r="S199" s="575"/>
      <c r="T199" s="649"/>
      <c r="U199" s="575"/>
      <c r="V199" s="575"/>
      <c r="W199" s="575"/>
      <c r="X199" s="575"/>
      <c r="Y199" s="575"/>
      <c r="Z199" s="575"/>
      <c r="AA199" s="575"/>
      <c r="AB199" s="575"/>
      <c r="AC199" s="575"/>
      <c r="AD199" s="575"/>
      <c r="AE199" s="575"/>
      <c r="AF199" s="575"/>
      <c r="AG199" s="575"/>
      <c r="AH199" s="575"/>
      <c r="AI199" s="575"/>
      <c r="AJ199" s="575"/>
    </row>
    <row r="200" spans="1:36" s="627" customFormat="1" x14ac:dyDescent="0.35">
      <c r="A200" s="570"/>
      <c r="B200" s="570" t="str">
        <f>B198</f>
        <v>Essential</v>
      </c>
      <c r="C200" s="570" t="str">
        <f>C198</f>
        <v>Residential</v>
      </c>
      <c r="D200" s="570" t="str">
        <f>D198</f>
        <v>time of use</v>
      </c>
      <c r="E200" s="570"/>
      <c r="F200" s="485"/>
      <c r="G200" s="570" t="s">
        <v>38</v>
      </c>
      <c r="H200" s="574"/>
      <c r="I200" s="574"/>
      <c r="J200" s="574">
        <f>J199*GST</f>
        <v>0</v>
      </c>
      <c r="K200" s="575"/>
      <c r="L200" s="582"/>
      <c r="M200" s="575"/>
      <c r="N200" s="582"/>
      <c r="O200" s="574"/>
      <c r="P200" s="574"/>
      <c r="Q200" s="574">
        <f>Q199*GST</f>
        <v>5.0984719888564936</v>
      </c>
      <c r="R200" s="578"/>
      <c r="S200" s="578"/>
      <c r="T200" s="650"/>
      <c r="U200" s="578"/>
      <c r="V200" s="578"/>
      <c r="W200" s="578"/>
      <c r="X200" s="578"/>
      <c r="Y200" s="578"/>
      <c r="Z200" s="578"/>
      <c r="AA200" s="578"/>
      <c r="AB200" s="578"/>
      <c r="AC200" s="578"/>
      <c r="AD200" s="578"/>
      <c r="AE200" s="578"/>
      <c r="AF200" s="578"/>
      <c r="AG200" s="578"/>
      <c r="AH200" s="578"/>
      <c r="AI200" s="578"/>
      <c r="AJ200" s="578"/>
    </row>
    <row r="201" spans="1:36" s="627" customFormat="1" x14ac:dyDescent="0.35">
      <c r="A201" s="570"/>
      <c r="B201" s="570" t="str">
        <f t="shared" si="131"/>
        <v>Essential</v>
      </c>
      <c r="C201" s="570" t="str">
        <f t="shared" si="131"/>
        <v>Residential</v>
      </c>
      <c r="D201" s="570" t="str">
        <f t="shared" si="131"/>
        <v>time of use</v>
      </c>
      <c r="E201" s="570" t="s">
        <v>272</v>
      </c>
      <c r="F201" s="485"/>
      <c r="G201" s="571" t="s">
        <v>79</v>
      </c>
      <c r="H201" s="577"/>
      <c r="I201" s="577"/>
      <c r="J201" s="577">
        <f>SUM(J199:J200)</f>
        <v>0</v>
      </c>
      <c r="K201" s="578"/>
      <c r="L201" s="580"/>
      <c r="M201" s="578" t="str">
        <f>IF(OR(J201=0,Q201=""),"",Q201/J201-1)</f>
        <v/>
      </c>
      <c r="N201" s="580"/>
      <c r="O201" s="577"/>
      <c r="P201" s="577"/>
      <c r="Q201" s="577">
        <f>SUM(Q199:Q200)</f>
        <v>56.083191877421427</v>
      </c>
      <c r="R201" s="578"/>
      <c r="S201" s="578"/>
      <c r="T201" s="650"/>
      <c r="U201" s="578"/>
      <c r="V201" s="578"/>
      <c r="W201" s="578"/>
      <c r="X201" s="578"/>
      <c r="Y201" s="578"/>
      <c r="Z201" s="578"/>
      <c r="AA201" s="578"/>
      <c r="AB201" s="578"/>
      <c r="AC201" s="578"/>
      <c r="AD201" s="578"/>
      <c r="AE201" s="578"/>
      <c r="AF201" s="578"/>
      <c r="AG201" s="578"/>
      <c r="AH201" s="578"/>
      <c r="AI201" s="578"/>
      <c r="AJ201" s="578"/>
    </row>
    <row r="202" spans="1:36" s="627" customFormat="1" x14ac:dyDescent="0.35">
      <c r="A202" s="570"/>
      <c r="B202" s="570"/>
      <c r="C202" s="570"/>
      <c r="D202" s="570"/>
      <c r="E202" s="570"/>
      <c r="F202" s="485"/>
      <c r="G202" s="570"/>
      <c r="H202" s="574"/>
      <c r="I202" s="574"/>
      <c r="J202" s="574"/>
      <c r="K202" s="575"/>
      <c r="L202" s="582"/>
      <c r="M202" s="575"/>
      <c r="N202" s="582"/>
      <c r="O202" s="574"/>
      <c r="P202" s="574"/>
      <c r="Q202" s="574"/>
      <c r="R202" s="575"/>
      <c r="S202" s="575"/>
      <c r="T202" s="649"/>
      <c r="U202" s="575"/>
      <c r="V202" s="575"/>
      <c r="W202" s="575"/>
      <c r="X202" s="575"/>
      <c r="Y202" s="575"/>
      <c r="Z202" s="575"/>
      <c r="AA202" s="575"/>
      <c r="AB202" s="575"/>
      <c r="AC202" s="575"/>
      <c r="AD202" s="575"/>
      <c r="AE202" s="575"/>
      <c r="AF202" s="575"/>
      <c r="AG202" s="575"/>
      <c r="AH202" s="575"/>
      <c r="AI202" s="575"/>
      <c r="AJ202" s="575"/>
    </row>
    <row r="203" spans="1:36" s="65" customFormat="1" x14ac:dyDescent="0.35">
      <c r="A203" s="30"/>
      <c r="B203" s="64" t="s">
        <v>3</v>
      </c>
      <c r="C203" s="64"/>
      <c r="D203" s="64" t="s">
        <v>285</v>
      </c>
      <c r="E203" s="30"/>
      <c r="F203" s="258"/>
      <c r="G203" s="30"/>
      <c r="H203" s="482"/>
      <c r="I203" s="482"/>
      <c r="J203" s="482"/>
      <c r="K203" s="484"/>
      <c r="L203" s="568"/>
      <c r="M203" s="484"/>
      <c r="N203" s="568"/>
      <c r="O203" s="482"/>
      <c r="P203" s="482"/>
      <c r="Q203" s="482"/>
      <c r="R203" s="484"/>
      <c r="S203" s="484"/>
      <c r="T203" s="644"/>
      <c r="U203" s="484"/>
      <c r="V203" s="484"/>
      <c r="W203" s="484"/>
      <c r="X203" s="484"/>
      <c r="Y203" s="484"/>
      <c r="Z203" s="484"/>
      <c r="AA203" s="484"/>
      <c r="AB203" s="484"/>
      <c r="AC203" s="484"/>
      <c r="AD203" s="484"/>
      <c r="AE203" s="484"/>
      <c r="AF203" s="484"/>
      <c r="AG203" s="484"/>
      <c r="AH203" s="484"/>
      <c r="AI203" s="484"/>
      <c r="AJ203" s="484"/>
    </row>
    <row r="204" spans="1:36" s="65" customFormat="1" x14ac:dyDescent="0.35">
      <c r="A204" s="30"/>
      <c r="B204" s="30" t="str">
        <f t="shared" ref="B204:B219" si="133">B203</f>
        <v>Essential</v>
      </c>
      <c r="C204" s="30"/>
      <c r="D204" s="30" t="str">
        <f t="shared" ref="D204:D219" si="134">D203</f>
        <v>controlled load</v>
      </c>
      <c r="E204" s="30"/>
      <c r="F204" s="258"/>
      <c r="G204" s="64"/>
      <c r="H204" s="487"/>
      <c r="I204" s="487"/>
      <c r="J204" s="487"/>
      <c r="K204" s="564"/>
      <c r="L204" s="566"/>
      <c r="M204" s="564"/>
      <c r="N204" s="566"/>
      <c r="O204" s="487"/>
      <c r="P204" s="487"/>
      <c r="Q204" s="487"/>
      <c r="R204" s="484"/>
      <c r="S204" s="484"/>
      <c r="T204" s="644"/>
      <c r="U204" s="484"/>
      <c r="V204" s="484"/>
      <c r="W204" s="484"/>
      <c r="X204" s="484"/>
      <c r="Y204" s="484"/>
      <c r="Z204" s="484"/>
      <c r="AA204" s="484"/>
      <c r="AB204" s="484"/>
      <c r="AC204" s="484"/>
      <c r="AD204" s="484"/>
      <c r="AE204" s="484"/>
      <c r="AF204" s="484"/>
      <c r="AG204" s="484"/>
      <c r="AH204" s="484"/>
      <c r="AI204" s="484"/>
      <c r="AJ204" s="484"/>
    </row>
    <row r="205" spans="1:36" s="65" customFormat="1" x14ac:dyDescent="0.35">
      <c r="A205" s="30"/>
      <c r="B205" s="30" t="str">
        <f t="shared" si="133"/>
        <v>Essential</v>
      </c>
      <c r="C205" s="30"/>
      <c r="D205" s="30" t="str">
        <f t="shared" si="134"/>
        <v>controlled load</v>
      </c>
      <c r="E205" s="30" t="s">
        <v>14</v>
      </c>
      <c r="F205" s="258" cm="1">
        <f t="array" ref="F205">IFERROR(_xlfn.XLOOKUP(1,($B205=DistributionZone)*($C205=CustomerType)*($E205=tariffType)*(F$5=Description)*($D205=tariffL2),valuesFY),0)</f>
        <v>1540</v>
      </c>
      <c r="G205" s="30" t="s">
        <v>73</v>
      </c>
      <c r="H205" s="482"/>
      <c r="I205" s="482" cm="1">
        <f t="array" ref="I205">_xlfn.XLOOKUP(1,($B205=DistributionZone)*($G205=Description)*($I$5=Desc_FixedOrVar),valuesPY,0)</f>
        <v>6.1170426505850894</v>
      </c>
      <c r="J205" s="482">
        <f>IF(AND(H205="",I205=""),"",H205+I205*$F205/1000)</f>
        <v>9.4202456819010383</v>
      </c>
      <c r="K205" s="484">
        <f>IFERROR(J205/J210,"")</f>
        <v>0.3860805643521843</v>
      </c>
      <c r="L205" s="563"/>
      <c r="M205" s="484">
        <f t="shared" ref="M205:M217" si="135">IF(OR(J205=0,Q205=""),"",Q205/J205-1)</f>
        <v>-0.48482055209325359</v>
      </c>
      <c r="N205" s="563"/>
      <c r="O205" s="482"/>
      <c r="P205" s="482" cm="1">
        <f t="array" ref="P205">_xlfn.XLOOKUP(1,($B205=DistributionZone)*($G205=Description)*($I$5=Desc_FixedOrVar),valuesFY,0)</f>
        <v>3.1513746555504474</v>
      </c>
      <c r="Q205" s="482">
        <f t="shared" ref="Q205:Q216" si="136">IF(AND(O205="",P205=""),"",O205+P205*$F205/1000)</f>
        <v>4.8531169695476892</v>
      </c>
      <c r="R205" s="484">
        <f>IFERROR(Q205/Q210,"")</f>
        <v>0.28432682276603732</v>
      </c>
      <c r="S205" s="484"/>
      <c r="T205" s="645"/>
      <c r="U205" s="484"/>
      <c r="V205" s="484"/>
      <c r="W205" s="484"/>
      <c r="X205" s="484"/>
      <c r="Y205" s="484"/>
      <c r="Z205" s="484"/>
      <c r="AA205" s="484"/>
      <c r="AB205" s="484"/>
      <c r="AC205" s="484"/>
      <c r="AD205" s="484"/>
      <c r="AE205" s="484"/>
      <c r="AF205" s="484"/>
      <c r="AG205" s="484"/>
      <c r="AH205" s="484"/>
      <c r="AI205" s="484"/>
      <c r="AJ205" s="484"/>
    </row>
    <row r="206" spans="1:36" s="65" customFormat="1" x14ac:dyDescent="0.35">
      <c r="A206" s="30"/>
      <c r="B206" s="30" t="str">
        <f t="shared" si="133"/>
        <v>Essential</v>
      </c>
      <c r="C206" s="30"/>
      <c r="D206" s="30" t="str">
        <f t="shared" si="134"/>
        <v>controlled load</v>
      </c>
      <c r="E206" s="30" t="s">
        <v>14</v>
      </c>
      <c r="F206" s="258">
        <f>F205</f>
        <v>1540</v>
      </c>
      <c r="G206" s="30" t="s">
        <v>74</v>
      </c>
      <c r="H206" s="482"/>
      <c r="I206" s="482" cm="1">
        <f t="array" ref="I206">_xlfn.XLOOKUP(1,($B206=DistributionZone)*($G206=Description)*($I$5=Desc_FixedOrVar),valuesPY,0)</f>
        <v>5.1359999999999992</v>
      </c>
      <c r="J206" s="482">
        <f>IF(AND(H206="",I206=""),"",H206+I206*$F206/1000)</f>
        <v>7.9094399999999982</v>
      </c>
      <c r="K206" s="484">
        <f>IFERROR(J206/J210,"")</f>
        <v>0.32416150937302268</v>
      </c>
      <c r="L206" s="563"/>
      <c r="M206" s="484">
        <f t="shared" si="135"/>
        <v>-0.12694704049844219</v>
      </c>
      <c r="N206" s="563"/>
      <c r="O206" s="482"/>
      <c r="P206" s="482" cm="1">
        <f t="array" ref="P206">_xlfn.XLOOKUP(1,($B206=DistributionZone)*($G206=Description)*($I$5=Desc_FixedOrVar),valuesFY,0)</f>
        <v>4.484</v>
      </c>
      <c r="Q206" s="482">
        <f t="shared" si="136"/>
        <v>6.9053599999999999</v>
      </c>
      <c r="R206" s="484">
        <f>IFERROR(Q206/Q210,"")</f>
        <v>0.40456042604690623</v>
      </c>
      <c r="S206" s="484"/>
      <c r="T206" s="644"/>
      <c r="U206" s="484"/>
      <c r="V206" s="484"/>
      <c r="W206" s="484"/>
      <c r="X206" s="484"/>
      <c r="Y206" s="484"/>
      <c r="Z206" s="484"/>
      <c r="AA206" s="484"/>
      <c r="AB206" s="484"/>
      <c r="AC206" s="484"/>
      <c r="AD206" s="484"/>
      <c r="AE206" s="484"/>
      <c r="AF206" s="484"/>
      <c r="AG206" s="484"/>
      <c r="AH206" s="484"/>
      <c r="AI206" s="484"/>
      <c r="AJ206" s="484"/>
    </row>
    <row r="207" spans="1:36" s="65" customFormat="1" x14ac:dyDescent="0.35">
      <c r="A207" s="30"/>
      <c r="B207" s="30" t="str">
        <f t="shared" si="133"/>
        <v>Essential</v>
      </c>
      <c r="C207" s="30"/>
      <c r="D207" s="30" t="str">
        <f t="shared" si="134"/>
        <v>controlled load</v>
      </c>
      <c r="E207" s="30" t="s">
        <v>14</v>
      </c>
      <c r="F207" s="258">
        <f>F206</f>
        <v>1540</v>
      </c>
      <c r="G207" s="30" t="s">
        <v>75</v>
      </c>
      <c r="H207" s="482"/>
      <c r="I207" s="482" cm="1">
        <f t="array" ref="I207">_xlfn.XLOOKUP(1,($B207=DistributionZone)*($G207=Description)*($I$5=Desc_FixedOrVar),valuesPY,0)</f>
        <v>2.1292191637289464</v>
      </c>
      <c r="J207" s="482">
        <f>IF(AND(H207="",I207=""),"",H207+I207*$F207/1000)</f>
        <v>3.2789975121425772</v>
      </c>
      <c r="K207" s="484">
        <f>IFERROR(J207/J210,"")</f>
        <v>0.1343868570678233</v>
      </c>
      <c r="L207" s="563"/>
      <c r="M207" s="484">
        <f t="shared" si="135"/>
        <v>0.30545066908580987</v>
      </c>
      <c r="N207" s="563"/>
      <c r="O207" s="482"/>
      <c r="P207" s="482" cm="1">
        <f t="array" ref="P207">_xlfn.XLOOKUP(1,($B207=DistributionZone)*($G207=Description)*($I$5=Desc_FixedOrVar),valuesFY,0)</f>
        <v>2.7795905819202815</v>
      </c>
      <c r="Q207" s="482">
        <f t="shared" si="136"/>
        <v>4.2805694961572334</v>
      </c>
      <c r="R207" s="484">
        <f>IFERROR(Q207/Q210,"")</f>
        <v>0.25078330732775134</v>
      </c>
      <c r="S207" s="484"/>
      <c r="T207" s="644"/>
      <c r="U207" s="484"/>
      <c r="V207" s="484"/>
      <c r="W207" s="484"/>
      <c r="X207" s="484"/>
      <c r="Y207" s="484"/>
      <c r="Z207" s="484"/>
      <c r="AA207" s="484"/>
      <c r="AB207" s="484"/>
      <c r="AC207" s="484"/>
      <c r="AD207" s="484"/>
      <c r="AE207" s="484"/>
      <c r="AF207" s="484"/>
      <c r="AG207" s="484"/>
      <c r="AH207" s="484"/>
      <c r="AI207" s="484"/>
      <c r="AJ207" s="484"/>
    </row>
    <row r="208" spans="1:36" s="65" customFormat="1" x14ac:dyDescent="0.35">
      <c r="A208" s="30"/>
      <c r="B208" s="30" t="str">
        <f t="shared" si="133"/>
        <v>Essential</v>
      </c>
      <c r="C208" s="30"/>
      <c r="D208" s="30" t="str">
        <f t="shared" si="134"/>
        <v>controlled load</v>
      </c>
      <c r="E208" s="30" t="s">
        <v>14</v>
      </c>
      <c r="F208" s="258">
        <f>F207</f>
        <v>1540</v>
      </c>
      <c r="G208" s="30" t="s">
        <v>155</v>
      </c>
      <c r="H208" s="482"/>
      <c r="I208" s="482" cm="1">
        <f t="array" ref="I208">_xlfn.XLOOKUP(1,($B208=DistributionZone)*($G208=Description)*($I$5=Desc_FixedOrVar),valuesPY,0)</f>
        <v>1.8634456011480964</v>
      </c>
      <c r="J208" s="482">
        <f>IF(AND(H208="",I208=""),"",H208+I208*$F208/1000)</f>
        <v>2.8697062257680686</v>
      </c>
      <c r="K208" s="484">
        <f>IFERROR(J208/J210,"")</f>
        <v>0.11761241018354492</v>
      </c>
      <c r="L208" s="563"/>
      <c r="M208" s="484">
        <f t="shared" si="135"/>
        <v>-0.8994584724775363</v>
      </c>
      <c r="N208" s="563"/>
      <c r="O208" s="482"/>
      <c r="P208" s="482" cm="1">
        <f t="array" ref="P208">_xlfn.XLOOKUP(1,($B208=DistributionZone)*($G208=Description)*($I$5=Desc_FixedOrVar),valuesFY,0)</f>
        <v>0.18735366719444529</v>
      </c>
      <c r="Q208" s="482">
        <f t="shared" si="136"/>
        <v>0.28852464747944578</v>
      </c>
      <c r="R208" s="484">
        <f>IFERROR(Q208/Q210,"")</f>
        <v>1.690363055790256E-2</v>
      </c>
      <c r="S208" s="484"/>
      <c r="T208" s="644"/>
      <c r="U208" s="484"/>
      <c r="V208" s="484"/>
      <c r="W208" s="484"/>
      <c r="X208" s="484"/>
      <c r="Y208" s="484"/>
      <c r="Z208" s="484"/>
      <c r="AA208" s="484"/>
      <c r="AB208" s="484"/>
      <c r="AC208" s="484"/>
      <c r="AD208" s="484"/>
      <c r="AE208" s="484"/>
      <c r="AF208" s="484"/>
      <c r="AG208" s="484"/>
      <c r="AH208" s="484"/>
      <c r="AI208" s="484"/>
      <c r="AJ208" s="484"/>
    </row>
    <row r="209" spans="1:36" s="65" customFormat="1" x14ac:dyDescent="0.35">
      <c r="A209" s="30"/>
      <c r="B209" s="30" t="str">
        <f t="shared" si="133"/>
        <v>Essential</v>
      </c>
      <c r="C209" s="30"/>
      <c r="D209" s="30" t="str">
        <f t="shared" si="134"/>
        <v>controlled load</v>
      </c>
      <c r="E209" s="30" t="s">
        <v>14</v>
      </c>
      <c r="F209" s="258">
        <f>F208</f>
        <v>1540</v>
      </c>
      <c r="G209" s="30" t="s">
        <v>72</v>
      </c>
      <c r="H209" s="482"/>
      <c r="I209" s="482" cm="1">
        <f t="array" ref="I209">_xlfn.XLOOKUP(1,($B209=DistributionZone)*($C209=CustomerType)*($D209=tariffL2)*($E209=tariffType)*($G209=Description)*($I$5=Desc_FixedOrVar),valuesPY,0)*SUM(I205:I208)</f>
        <v>0.59824645165120494</v>
      </c>
      <c r="J209" s="482">
        <f>IF(AND(H209="",I209=""),"",H209+I209*$F209/1000)</f>
        <v>0.9212995355428556</v>
      </c>
      <c r="K209" s="484">
        <f>IFERROR(J209/J210,"")</f>
        <v>3.7758659023424783E-2</v>
      </c>
      <c r="L209" s="563"/>
      <c r="M209" s="484">
        <f t="shared" si="135"/>
        <v>-0.19545556452522095</v>
      </c>
      <c r="N209" s="563"/>
      <c r="O209" s="482"/>
      <c r="P209" s="482" cm="1">
        <f t="array" ref="P209">_xlfn.XLOOKUP(1,($B209=DistributionZone)*($C209=CustomerType)*($D209=tariffL2)*($E209=tariffType)*($G209=Description)*($P$5=Desc_FixedOrVar),valuesFY,0)*SUM(P205:P208)</f>
        <v>0.48131585371850832</v>
      </c>
      <c r="Q209" s="482">
        <f t="shared" si="136"/>
        <v>0.74122641472650286</v>
      </c>
      <c r="R209" s="484">
        <f>IFERROR(Q209/Q210,"")</f>
        <v>4.3425813301402792E-2</v>
      </c>
      <c r="S209" s="484"/>
      <c r="T209" s="644"/>
      <c r="U209" s="484"/>
      <c r="V209" s="484"/>
      <c r="W209" s="484"/>
      <c r="X209" s="484"/>
      <c r="Y209" s="484"/>
      <c r="Z209" s="484"/>
      <c r="AA209" s="484"/>
      <c r="AB209" s="484"/>
      <c r="AC209" s="484"/>
      <c r="AD209" s="484"/>
      <c r="AE209" s="484"/>
      <c r="AF209" s="484"/>
      <c r="AG209" s="484"/>
      <c r="AH209" s="484"/>
      <c r="AI209" s="484"/>
      <c r="AJ209" s="484"/>
    </row>
    <row r="210" spans="1:36" s="65" customFormat="1" x14ac:dyDescent="0.35">
      <c r="A210" s="30"/>
      <c r="B210" s="30" t="str">
        <f t="shared" si="133"/>
        <v>Essential</v>
      </c>
      <c r="C210" s="30"/>
      <c r="D210" s="30" t="str">
        <f t="shared" si="134"/>
        <v>controlled load</v>
      </c>
      <c r="E210" s="30" t="s">
        <v>14</v>
      </c>
      <c r="F210" s="258">
        <f>F209</f>
        <v>1540</v>
      </c>
      <c r="G210" s="64" t="s">
        <v>55</v>
      </c>
      <c r="H210" s="487">
        <f>SUM(H205:H209)</f>
        <v>0</v>
      </c>
      <c r="I210" s="487">
        <f>SUM(I205:I209)</f>
        <v>15.843953867113337</v>
      </c>
      <c r="J210" s="487">
        <f>SUM(J205:J209)</f>
        <v>24.399688955354538</v>
      </c>
      <c r="K210" s="564"/>
      <c r="L210" s="566"/>
      <c r="M210" s="564">
        <f t="shared" si="135"/>
        <v>-0.30045020003564016</v>
      </c>
      <c r="N210" s="566"/>
      <c r="O210" s="487">
        <f>SUM(O205:O209)</f>
        <v>0</v>
      </c>
      <c r="P210" s="487">
        <f>SUM(P205:P209)</f>
        <v>11.083634758383681</v>
      </c>
      <c r="Q210" s="487">
        <f t="shared" si="136"/>
        <v>17.068797527910867</v>
      </c>
      <c r="R210" s="484"/>
      <c r="S210" s="484"/>
      <c r="T210" s="644"/>
      <c r="U210" s="484"/>
      <c r="V210" s="484"/>
      <c r="W210" s="484"/>
      <c r="X210" s="484"/>
      <c r="Y210" s="484"/>
      <c r="Z210" s="484"/>
      <c r="AA210" s="484"/>
      <c r="AB210" s="484"/>
      <c r="AC210" s="484"/>
      <c r="AD210" s="484"/>
      <c r="AE210" s="484"/>
      <c r="AF210" s="484"/>
      <c r="AG210" s="484"/>
      <c r="AH210" s="484"/>
      <c r="AI210" s="484"/>
      <c r="AJ210" s="484"/>
    </row>
    <row r="211" spans="1:36" s="65" customFormat="1" x14ac:dyDescent="0.35">
      <c r="A211" s="30"/>
      <c r="B211" s="30" t="str">
        <f t="shared" si="133"/>
        <v>Essential</v>
      </c>
      <c r="C211" s="30"/>
      <c r="D211" s="30" t="str">
        <f t="shared" si="134"/>
        <v>controlled load</v>
      </c>
      <c r="E211" s="30" t="s">
        <v>15</v>
      </c>
      <c r="F211" s="258" cm="1">
        <f t="array" ref="F211">IFERROR(_xlfn.XLOOKUP(1,($B211=DistributionZone)*($C211=CustomerType)*($E211=tariffType)*(F$5=Description)*($D211=tariffL2),valuesFY),0)</f>
        <v>460</v>
      </c>
      <c r="G211" s="30" t="s">
        <v>73</v>
      </c>
      <c r="H211" s="482"/>
      <c r="I211" s="482" cm="1">
        <f t="array" ref="I211">_xlfn.XLOOKUP(1,($B211=DistributionZone)*($G211=Description)*($I$5=Desc_FixedOrVar),valuesPY,0)</f>
        <v>6.1170426505850894</v>
      </c>
      <c r="J211" s="482">
        <f>IF(AND(H211="",I211=""),"",H211+I211*$F211/1000)</f>
        <v>2.8138396192691411</v>
      </c>
      <c r="K211" s="484">
        <f>IFERROR(J211/J216,"")</f>
        <v>0.3860805643521843</v>
      </c>
      <c r="L211" s="563"/>
      <c r="M211" s="484">
        <f t="shared" si="135"/>
        <v>-0.48482055209325359</v>
      </c>
      <c r="N211" s="563"/>
      <c r="O211" s="482"/>
      <c r="P211" s="482" cm="1">
        <f t="array" ref="P211">_xlfn.XLOOKUP(1,($B211=DistributionZone)*($G211=Description)*($I$5=Desc_FixedOrVar),valuesFY,0)</f>
        <v>3.1513746555504474</v>
      </c>
      <c r="Q211" s="482">
        <f t="shared" si="136"/>
        <v>1.4496323415532057</v>
      </c>
      <c r="R211" s="484">
        <f>IFERROR(Q211/Q216,"")</f>
        <v>0.28432682276603727</v>
      </c>
      <c r="S211" s="484"/>
      <c r="T211" s="645"/>
      <c r="U211" s="484"/>
      <c r="V211" s="484"/>
      <c r="W211" s="484"/>
      <c r="X211" s="484"/>
      <c r="Y211" s="484"/>
      <c r="Z211" s="484"/>
      <c r="AA211" s="484"/>
      <c r="AB211" s="484"/>
      <c r="AC211" s="484"/>
      <c r="AD211" s="484"/>
      <c r="AE211" s="484"/>
      <c r="AF211" s="484"/>
      <c r="AG211" s="484"/>
      <c r="AH211" s="484"/>
      <c r="AI211" s="484"/>
      <c r="AJ211" s="484"/>
    </row>
    <row r="212" spans="1:36" s="65" customFormat="1" x14ac:dyDescent="0.35">
      <c r="A212" s="30"/>
      <c r="B212" s="30" t="str">
        <f t="shared" si="133"/>
        <v>Essential</v>
      </c>
      <c r="C212" s="30"/>
      <c r="D212" s="30" t="str">
        <f t="shared" si="134"/>
        <v>controlled load</v>
      </c>
      <c r="E212" s="30" t="s">
        <v>15</v>
      </c>
      <c r="F212" s="258">
        <f>F211</f>
        <v>460</v>
      </c>
      <c r="G212" s="30" t="s">
        <v>74</v>
      </c>
      <c r="H212" s="482"/>
      <c r="I212" s="482" cm="1">
        <f t="array" ref="I212">_xlfn.XLOOKUP(1,($B212=DistributionZone)*($G212=Description)*($I$5=Desc_FixedOrVar),valuesPY,0)</f>
        <v>5.1359999999999992</v>
      </c>
      <c r="J212" s="482">
        <f>IF(AND(H212="",I212=""),"",H212+I212*$F212/1000)</f>
        <v>2.3625599999999993</v>
      </c>
      <c r="K212" s="484">
        <f>IFERROR(J212/J216,"")</f>
        <v>0.32416150937302268</v>
      </c>
      <c r="L212" s="563"/>
      <c r="M212" s="484">
        <f t="shared" si="135"/>
        <v>-0.12694704049844208</v>
      </c>
      <c r="N212" s="563"/>
      <c r="O212" s="482"/>
      <c r="P212" s="482" cm="1">
        <f t="array" ref="P212">_xlfn.XLOOKUP(1,($B212=DistributionZone)*($G212=Description)*($I$5=Desc_FixedOrVar),valuesFY,0)</f>
        <v>4.484</v>
      </c>
      <c r="Q212" s="482">
        <f t="shared" si="136"/>
        <v>2.06264</v>
      </c>
      <c r="R212" s="484">
        <f>IFERROR(Q212/Q216,"")</f>
        <v>0.40456042604690617</v>
      </c>
      <c r="S212" s="484"/>
      <c r="T212" s="644"/>
      <c r="U212" s="484"/>
      <c r="V212" s="484"/>
      <c r="W212" s="484"/>
      <c r="X212" s="484"/>
      <c r="Y212" s="484"/>
      <c r="Z212" s="484"/>
      <c r="AA212" s="484"/>
      <c r="AB212" s="484"/>
      <c r="AC212" s="484"/>
      <c r="AD212" s="484"/>
      <c r="AE212" s="484"/>
      <c r="AF212" s="484"/>
      <c r="AG212" s="484"/>
      <c r="AH212" s="484"/>
      <c r="AI212" s="484"/>
      <c r="AJ212" s="484"/>
    </row>
    <row r="213" spans="1:36" s="65" customFormat="1" x14ac:dyDescent="0.35">
      <c r="A213" s="30"/>
      <c r="B213" s="30" t="str">
        <f t="shared" si="133"/>
        <v>Essential</v>
      </c>
      <c r="C213" s="30"/>
      <c r="D213" s="30" t="str">
        <f t="shared" si="134"/>
        <v>controlled load</v>
      </c>
      <c r="E213" s="30" t="s">
        <v>15</v>
      </c>
      <c r="F213" s="258">
        <f>F212</f>
        <v>460</v>
      </c>
      <c r="G213" s="30" t="s">
        <v>75</v>
      </c>
      <c r="H213" s="482"/>
      <c r="I213" s="482" cm="1">
        <f t="array" ref="I213">_xlfn.XLOOKUP(1,($B213=DistributionZone)*($G213=Description)*($I$5=Desc_FixedOrVar),valuesPY,0)</f>
        <v>2.1292191637289464</v>
      </c>
      <c r="J213" s="482">
        <f>IF(AND(H213="",I213=""),"",H213+I213*$F213/1000)</f>
        <v>0.97944081531531535</v>
      </c>
      <c r="K213" s="484">
        <f>IFERROR(J213/J216,"")</f>
        <v>0.13438685706782333</v>
      </c>
      <c r="L213" s="563"/>
      <c r="M213" s="484">
        <f t="shared" si="135"/>
        <v>0.30545066908580987</v>
      </c>
      <c r="N213" s="563"/>
      <c r="O213" s="482"/>
      <c r="P213" s="482" cm="1">
        <f t="array" ref="P213">_xlfn.XLOOKUP(1,($B213=DistributionZone)*($G213=Description)*($I$5=Desc_FixedOrVar),valuesFY,0)</f>
        <v>2.7795905819202815</v>
      </c>
      <c r="Q213" s="482">
        <f t="shared" si="136"/>
        <v>1.2786116676833295</v>
      </c>
      <c r="R213" s="484">
        <f>IFERROR(Q213/Q216,"")</f>
        <v>0.25078330732775128</v>
      </c>
      <c r="S213" s="484"/>
      <c r="T213" s="644"/>
      <c r="U213" s="484"/>
      <c r="V213" s="484"/>
      <c r="W213" s="484"/>
      <c r="X213" s="484"/>
      <c r="Y213" s="484"/>
      <c r="Z213" s="484"/>
      <c r="AA213" s="484"/>
      <c r="AB213" s="484"/>
      <c r="AC213" s="484"/>
      <c r="AD213" s="484"/>
      <c r="AE213" s="484"/>
      <c r="AF213" s="484"/>
      <c r="AG213" s="484"/>
      <c r="AH213" s="484"/>
      <c r="AI213" s="484"/>
      <c r="AJ213" s="484"/>
    </row>
    <row r="214" spans="1:36" s="65" customFormat="1" x14ac:dyDescent="0.35">
      <c r="A214" s="30"/>
      <c r="B214" s="30" t="str">
        <f t="shared" si="133"/>
        <v>Essential</v>
      </c>
      <c r="C214" s="30"/>
      <c r="D214" s="30" t="str">
        <f t="shared" si="134"/>
        <v>controlled load</v>
      </c>
      <c r="E214" s="30" t="s">
        <v>15</v>
      </c>
      <c r="F214" s="258">
        <f>F213</f>
        <v>460</v>
      </c>
      <c r="G214" s="30" t="s">
        <v>155</v>
      </c>
      <c r="H214" s="482"/>
      <c r="I214" s="482" cm="1">
        <f t="array" ref="I214">_xlfn.XLOOKUP(1,($B214=DistributionZone)*($G214=Description)*($I$5=Desc_FixedOrVar),valuesPY,0)</f>
        <v>1.8634456011480964</v>
      </c>
      <c r="J214" s="482">
        <f>IF(AND(H214="",I214=""),"",H214+I214*$F214/1000)</f>
        <v>0.85718497652812442</v>
      </c>
      <c r="K214" s="484">
        <f>IFERROR(J214/J216,"")</f>
        <v>0.11761241018354493</v>
      </c>
      <c r="L214" s="563"/>
      <c r="M214" s="484">
        <f t="shared" si="135"/>
        <v>-0.8994584724775363</v>
      </c>
      <c r="N214" s="563"/>
      <c r="O214" s="482"/>
      <c r="P214" s="482" cm="1">
        <f t="array" ref="P214">_xlfn.XLOOKUP(1,($B214=DistributionZone)*($G214=Description)*($I$5=Desc_FixedOrVar),valuesFY,0)</f>
        <v>0.18735366719444529</v>
      </c>
      <c r="Q214" s="482">
        <f t="shared" si="136"/>
        <v>8.6182686909444833E-2</v>
      </c>
      <c r="R214" s="484">
        <f>IFERROR(Q214/Q216,"")</f>
        <v>1.6903630557902553E-2</v>
      </c>
      <c r="S214" s="484"/>
      <c r="T214" s="644"/>
      <c r="U214" s="484"/>
      <c r="V214" s="484"/>
      <c r="W214" s="484"/>
      <c r="X214" s="484"/>
      <c r="Y214" s="484"/>
      <c r="Z214" s="484"/>
      <c r="AA214" s="484"/>
      <c r="AB214" s="484"/>
      <c r="AC214" s="484"/>
      <c r="AD214" s="484"/>
      <c r="AE214" s="484"/>
      <c r="AF214" s="484"/>
      <c r="AG214" s="484"/>
      <c r="AH214" s="484"/>
      <c r="AI214" s="484"/>
      <c r="AJ214" s="484"/>
    </row>
    <row r="215" spans="1:36" s="65" customFormat="1" x14ac:dyDescent="0.35">
      <c r="A215" s="30"/>
      <c r="B215" s="30" t="str">
        <f t="shared" si="133"/>
        <v>Essential</v>
      </c>
      <c r="C215" s="30"/>
      <c r="D215" s="30" t="str">
        <f t="shared" si="134"/>
        <v>controlled load</v>
      </c>
      <c r="E215" s="30" t="s">
        <v>15</v>
      </c>
      <c r="F215" s="258">
        <f>F214</f>
        <v>460</v>
      </c>
      <c r="G215" s="30" t="s">
        <v>72</v>
      </c>
      <c r="H215" s="482"/>
      <c r="I215" s="482" cm="1">
        <f t="array" ref="I215">_xlfn.XLOOKUP(1,($B215=DistributionZone)*($C215=CustomerType)*($D215=tariffL2)*($E215=tariffType)*($G215=Description)*($I$5=Desc_FixedOrVar),valuesPY,0)*SUM(I211:I214)</f>
        <v>0.59824645165120494</v>
      </c>
      <c r="J215" s="482">
        <f>IF(AND(H215="",I215=""),"",H215+I215*$F215/1000)</f>
        <v>0.27519336775955427</v>
      </c>
      <c r="K215" s="484">
        <f>IFERROR(J215/J216,"")</f>
        <v>3.7758659023424783E-2</v>
      </c>
      <c r="L215" s="563"/>
      <c r="M215" s="484">
        <f t="shared" si="135"/>
        <v>-0.19545556452522095</v>
      </c>
      <c r="N215" s="563"/>
      <c r="O215" s="482"/>
      <c r="P215" s="482" cm="1">
        <f t="array" ref="P215">_xlfn.XLOOKUP(1,($B215=DistributionZone)*($C215=CustomerType)*($D215=tariffL2)*($E215=tariffType)*($G215=Description)*($P$5=Desc_FixedOrVar),valuesFY,0)*SUM(P211:P214)</f>
        <v>0.48131585371850832</v>
      </c>
      <c r="Q215" s="482">
        <f t="shared" si="136"/>
        <v>0.22140529271051385</v>
      </c>
      <c r="R215" s="484">
        <f>IFERROR(Q215/Q216,"")</f>
        <v>4.3425813301402785E-2</v>
      </c>
      <c r="S215" s="484"/>
      <c r="T215" s="644"/>
      <c r="U215" s="484"/>
      <c r="V215" s="484"/>
      <c r="W215" s="484"/>
      <c r="X215" s="484"/>
      <c r="Y215" s="484"/>
      <c r="Z215" s="484"/>
      <c r="AA215" s="484"/>
      <c r="AB215" s="484"/>
      <c r="AC215" s="484"/>
      <c r="AD215" s="484"/>
      <c r="AE215" s="484"/>
      <c r="AF215" s="484"/>
      <c r="AG215" s="484"/>
      <c r="AH215" s="484"/>
      <c r="AI215" s="484"/>
      <c r="AJ215" s="484"/>
    </row>
    <row r="216" spans="1:36" s="65" customFormat="1" x14ac:dyDescent="0.35">
      <c r="A216" s="30"/>
      <c r="B216" s="30" t="str">
        <f t="shared" si="133"/>
        <v>Essential</v>
      </c>
      <c r="C216" s="30"/>
      <c r="D216" s="30" t="str">
        <f t="shared" si="134"/>
        <v>controlled load</v>
      </c>
      <c r="E216" s="30" t="s">
        <v>15</v>
      </c>
      <c r="F216" s="258">
        <f>F215</f>
        <v>460</v>
      </c>
      <c r="G216" s="64" t="s">
        <v>55</v>
      </c>
      <c r="H216" s="487">
        <f>SUM(H211:H215)</f>
        <v>0</v>
      </c>
      <c r="I216" s="487">
        <f>SUM(I211:I215)</f>
        <v>15.843953867113337</v>
      </c>
      <c r="J216" s="487">
        <f>SUM(J211:J215)</f>
        <v>7.2882187788721344</v>
      </c>
      <c r="K216" s="564"/>
      <c r="L216" s="566"/>
      <c r="M216" s="564">
        <f t="shared" si="135"/>
        <v>-0.30045020003564005</v>
      </c>
      <c r="N216" s="566"/>
      <c r="O216" s="487">
        <f>SUM(O211:O215)</f>
        <v>0</v>
      </c>
      <c r="P216" s="487">
        <f>SUM(P211:P215)</f>
        <v>11.083634758383681</v>
      </c>
      <c r="Q216" s="487">
        <f t="shared" si="136"/>
        <v>5.0984719888564936</v>
      </c>
      <c r="R216" s="484"/>
      <c r="S216" s="484"/>
      <c r="T216" s="644"/>
      <c r="U216" s="484"/>
      <c r="V216" s="484"/>
      <c r="W216" s="484"/>
      <c r="X216" s="484"/>
      <c r="Y216" s="484"/>
      <c r="Z216" s="484"/>
      <c r="AA216" s="484"/>
      <c r="AB216" s="484"/>
      <c r="AC216" s="484"/>
      <c r="AD216" s="484"/>
      <c r="AE216" s="484"/>
      <c r="AF216" s="484"/>
      <c r="AG216" s="484"/>
      <c r="AH216" s="484"/>
      <c r="AI216" s="484"/>
      <c r="AJ216" s="484"/>
    </row>
    <row r="217" spans="1:36" s="65" customFormat="1" x14ac:dyDescent="0.35">
      <c r="A217" s="30"/>
      <c r="B217" s="30" t="str">
        <f t="shared" si="133"/>
        <v>Essential</v>
      </c>
      <c r="C217" s="30"/>
      <c r="D217" s="30" t="str">
        <f t="shared" si="134"/>
        <v>controlled load</v>
      </c>
      <c r="E217" s="30" t="s">
        <v>55</v>
      </c>
      <c r="F217" s="258">
        <f>SUM(F204,F205,F211)</f>
        <v>2000</v>
      </c>
      <c r="G217" s="64" t="s">
        <v>55</v>
      </c>
      <c r="H217" s="487"/>
      <c r="I217" s="487"/>
      <c r="J217" s="487">
        <f>J204+J210+J216</f>
        <v>31.687907734226673</v>
      </c>
      <c r="K217" s="564"/>
      <c r="L217" s="566"/>
      <c r="M217" s="564">
        <f t="shared" si="135"/>
        <v>-0.30045020003564005</v>
      </c>
      <c r="N217" s="566"/>
      <c r="O217" s="487"/>
      <c r="P217" s="487"/>
      <c r="Q217" s="487">
        <f>Q204+Q210+Q216</f>
        <v>22.167269516767362</v>
      </c>
      <c r="R217" s="484"/>
      <c r="S217" s="484"/>
      <c r="T217" s="644"/>
      <c r="U217" s="484"/>
      <c r="V217" s="484"/>
      <c r="W217" s="484"/>
      <c r="X217" s="484"/>
      <c r="Y217" s="484"/>
      <c r="Z217" s="484"/>
      <c r="AA217" s="484"/>
      <c r="AB217" s="484"/>
      <c r="AC217" s="484"/>
      <c r="AD217" s="484"/>
      <c r="AE217" s="484"/>
      <c r="AF217" s="484"/>
      <c r="AG217" s="484"/>
      <c r="AH217" s="484"/>
      <c r="AI217" s="484"/>
      <c r="AJ217" s="484"/>
    </row>
    <row r="218" spans="1:36" s="65" customFormat="1" x14ac:dyDescent="0.35">
      <c r="A218" s="30"/>
      <c r="B218" s="30" t="str">
        <f t="shared" si="133"/>
        <v>Essential</v>
      </c>
      <c r="C218" s="30"/>
      <c r="D218" s="30" t="str">
        <f t="shared" si="134"/>
        <v>controlled load</v>
      </c>
      <c r="E218" s="30"/>
      <c r="F218" s="258"/>
      <c r="G218" s="30" t="s">
        <v>38</v>
      </c>
      <c r="H218" s="482"/>
      <c r="I218" s="482"/>
      <c r="J218" s="482">
        <f>J217*GST</f>
        <v>3.1687907734226677</v>
      </c>
      <c r="K218" s="484"/>
      <c r="L218" s="568"/>
      <c r="M218" s="484"/>
      <c r="N218" s="568"/>
      <c r="O218" s="482"/>
      <c r="P218" s="482"/>
      <c r="Q218" s="482">
        <f>Q217*GST</f>
        <v>2.2167269516767365</v>
      </c>
      <c r="R218" s="564"/>
      <c r="S218" s="564"/>
      <c r="T218" s="646"/>
      <c r="U218" s="564"/>
      <c r="V218" s="564"/>
      <c r="W218" s="564"/>
      <c r="X218" s="564"/>
      <c r="Y218" s="564"/>
      <c r="Z218" s="564"/>
      <c r="AA218" s="564"/>
      <c r="AB218" s="564"/>
      <c r="AC218" s="564"/>
      <c r="AD218" s="564"/>
      <c r="AE218" s="564"/>
      <c r="AF218" s="564"/>
      <c r="AG218" s="564"/>
      <c r="AH218" s="564"/>
      <c r="AI218" s="564"/>
      <c r="AJ218" s="564"/>
    </row>
    <row r="219" spans="1:36" s="65" customFormat="1" x14ac:dyDescent="0.35">
      <c r="A219" s="30"/>
      <c r="B219" s="30" t="str">
        <f t="shared" si="133"/>
        <v>Essential</v>
      </c>
      <c r="C219" s="30"/>
      <c r="D219" s="30" t="str">
        <f t="shared" si="134"/>
        <v>controlled load</v>
      </c>
      <c r="E219" s="30"/>
      <c r="F219" s="258"/>
      <c r="G219" s="64" t="s">
        <v>79</v>
      </c>
      <c r="H219" s="487"/>
      <c r="I219" s="487"/>
      <c r="J219" s="487">
        <f>SUM(J217:J218)</f>
        <v>34.856698507649341</v>
      </c>
      <c r="K219" s="564"/>
      <c r="L219" s="566"/>
      <c r="M219" s="564">
        <f>IF(OR(J219=0,Q219=""),"",Q219/J219-1)</f>
        <v>-0.30045020003564005</v>
      </c>
      <c r="N219" s="566"/>
      <c r="O219" s="487"/>
      <c r="P219" s="487"/>
      <c r="Q219" s="487">
        <f>SUM(Q217:Q218)</f>
        <v>24.383996468444099</v>
      </c>
      <c r="R219" s="564"/>
      <c r="S219" s="564"/>
      <c r="T219" s="646"/>
      <c r="U219" s="564"/>
      <c r="V219" s="564"/>
      <c r="W219" s="564"/>
      <c r="X219" s="564"/>
      <c r="Y219" s="564"/>
      <c r="Z219" s="564"/>
      <c r="AA219" s="564"/>
      <c r="AB219" s="564"/>
      <c r="AC219" s="564"/>
      <c r="AD219" s="564"/>
      <c r="AE219" s="564"/>
      <c r="AF219" s="564"/>
      <c r="AG219" s="564"/>
      <c r="AH219" s="564"/>
      <c r="AI219" s="564"/>
      <c r="AJ219" s="564"/>
    </row>
    <row r="220" spans="1:36" s="65" customFormat="1" x14ac:dyDescent="0.35">
      <c r="A220" s="30"/>
      <c r="B220" s="30"/>
      <c r="C220" s="30"/>
      <c r="D220" s="30"/>
      <c r="E220" s="30"/>
      <c r="F220" s="258"/>
      <c r="G220" s="30"/>
      <c r="H220" s="482"/>
      <c r="I220" s="482"/>
      <c r="J220" s="482"/>
      <c r="K220" s="484"/>
      <c r="L220" s="568"/>
      <c r="M220" s="484"/>
      <c r="N220" s="568"/>
      <c r="O220" s="482"/>
      <c r="P220" s="482"/>
      <c r="Q220" s="482"/>
      <c r="R220" s="484"/>
      <c r="S220" s="484"/>
      <c r="T220" s="644"/>
      <c r="U220" s="484"/>
      <c r="V220" s="484"/>
      <c r="W220" s="484"/>
      <c r="X220" s="484"/>
      <c r="Y220" s="484"/>
      <c r="Z220" s="484"/>
      <c r="AA220" s="484"/>
      <c r="AB220" s="484"/>
      <c r="AC220" s="484"/>
      <c r="AD220" s="484"/>
      <c r="AE220" s="484"/>
      <c r="AF220" s="484"/>
      <c r="AG220" s="484"/>
      <c r="AH220" s="484"/>
      <c r="AI220" s="484"/>
      <c r="AJ220" s="484"/>
    </row>
    <row r="221" spans="1:36" s="65" customFormat="1" x14ac:dyDescent="0.35">
      <c r="A221" s="30"/>
      <c r="B221" s="64" t="s">
        <v>3</v>
      </c>
      <c r="C221" s="64" t="s">
        <v>13</v>
      </c>
      <c r="D221" s="64" t="s">
        <v>276</v>
      </c>
      <c r="E221" s="30"/>
      <c r="F221" s="258"/>
      <c r="G221" s="30"/>
      <c r="H221" s="482"/>
      <c r="I221" s="482"/>
      <c r="J221" s="482"/>
      <c r="K221" s="484"/>
      <c r="L221" s="568"/>
      <c r="M221" s="484"/>
      <c r="N221" s="568"/>
      <c r="O221" s="482"/>
      <c r="P221" s="482"/>
      <c r="Q221" s="482"/>
      <c r="R221" s="484"/>
      <c r="S221" s="484"/>
      <c r="T221" s="644"/>
      <c r="U221" s="484"/>
      <c r="V221" s="484"/>
      <c r="W221" s="484"/>
      <c r="X221" s="484"/>
      <c r="Y221" s="484"/>
      <c r="Z221" s="484"/>
      <c r="AA221" s="484"/>
      <c r="AB221" s="484"/>
      <c r="AC221" s="484"/>
      <c r="AD221" s="484"/>
      <c r="AE221" s="484"/>
      <c r="AF221" s="484"/>
      <c r="AG221" s="484"/>
      <c r="AH221" s="484"/>
      <c r="AI221" s="484"/>
      <c r="AJ221" s="484"/>
    </row>
    <row r="222" spans="1:36" s="65" customFormat="1" x14ac:dyDescent="0.35">
      <c r="A222" s="30"/>
      <c r="B222" s="30" t="str">
        <f t="shared" ref="B222:D229" si="137">B221</f>
        <v>Essential</v>
      </c>
      <c r="C222" s="30" t="str">
        <f t="shared" si="137"/>
        <v>Small business</v>
      </c>
      <c r="D222" s="30" t="str">
        <f t="shared" si="137"/>
        <v>flat rate</v>
      </c>
      <c r="E222" s="30" t="s">
        <v>19</v>
      </c>
      <c r="F222" s="258" cm="1">
        <f t="array" ref="F222">IFERROR(_xlfn.XLOOKUP(1,($B222=DistributionZone)*($C222=CustomerType)*($E222=tariffType)*(F$5=Description)*($D222=tariffL2),valuesFY),0)</f>
        <v>10000</v>
      </c>
      <c r="G222" s="30" t="s">
        <v>73</v>
      </c>
      <c r="H222" s="482"/>
      <c r="I222" s="482" cm="1">
        <f t="array" ref="I222">_xlfn.XLOOKUP(1,($B222=DistributionZone)*($G222=Description)*($I$5=Desc_FixedOrVar),valuesPY,0)</f>
        <v>6.1170426505850894</v>
      </c>
      <c r="J222" s="482">
        <f>IF(AND(H222="",I222=""),"",H222+I222*$F222/1000)</f>
        <v>61.170426505850898</v>
      </c>
      <c r="K222" s="484">
        <f>IFERROR(J222/J227,"")</f>
        <v>0.3860805643521843</v>
      </c>
      <c r="L222" s="563"/>
      <c r="M222" s="484">
        <f t="shared" ref="M222:M227" si="138">IF(OR(J222=0,Q222=""),"",Q222/J222-1)</f>
        <v>-0.48482055209325359</v>
      </c>
      <c r="N222" s="563"/>
      <c r="O222" s="482"/>
      <c r="P222" s="482" cm="1">
        <f t="array" ref="P222">_xlfn.XLOOKUP(1,($B222=DistributionZone)*($G222=Description)*($I$5=Desc_FixedOrVar),valuesFY,0)</f>
        <v>3.1513746555504474</v>
      </c>
      <c r="Q222" s="482">
        <f t="shared" ref="Q222:Q227" si="139">IF(AND(O222="",P222=""),"",O222+P222*$F222/1000)</f>
        <v>31.513746555504472</v>
      </c>
      <c r="R222" s="484">
        <f>IFERROR(Q222/Q227,"")</f>
        <v>0.28432682276603727</v>
      </c>
      <c r="S222" s="484"/>
      <c r="T222" s="645"/>
      <c r="U222" s="484"/>
      <c r="V222" s="484"/>
      <c r="W222" s="484"/>
      <c r="X222" s="484"/>
      <c r="Y222" s="484"/>
      <c r="Z222" s="484"/>
      <c r="AA222" s="484"/>
      <c r="AB222" s="484"/>
      <c r="AC222" s="484"/>
      <c r="AD222" s="484"/>
      <c r="AE222" s="484"/>
      <c r="AF222" s="484"/>
      <c r="AG222" s="484"/>
      <c r="AH222" s="484"/>
      <c r="AI222" s="484"/>
      <c r="AJ222" s="484"/>
    </row>
    <row r="223" spans="1:36" s="65" customFormat="1" x14ac:dyDescent="0.35">
      <c r="A223" s="30"/>
      <c r="B223" s="30" t="str">
        <f t="shared" si="137"/>
        <v>Essential</v>
      </c>
      <c r="C223" s="30" t="str">
        <f t="shared" si="137"/>
        <v>Small business</v>
      </c>
      <c r="D223" s="30" t="str">
        <f t="shared" si="137"/>
        <v>flat rate</v>
      </c>
      <c r="E223" s="30" t="s">
        <v>19</v>
      </c>
      <c r="F223" s="258">
        <f>F222</f>
        <v>10000</v>
      </c>
      <c r="G223" s="30" t="s">
        <v>74</v>
      </c>
      <c r="H223" s="482"/>
      <c r="I223" s="482" cm="1">
        <f t="array" ref="I223">_xlfn.XLOOKUP(1,($B223=DistributionZone)*($G223=Description)*($I$5=Desc_FixedOrVar),valuesPY,0)</f>
        <v>5.1359999999999992</v>
      </c>
      <c r="J223" s="482">
        <f>IF(AND(H223="",I223=""),"",H223+I223*$F223/1000)</f>
        <v>51.359999999999992</v>
      </c>
      <c r="K223" s="484">
        <f>IFERROR(J223/J227,"")</f>
        <v>0.32416150937302274</v>
      </c>
      <c r="L223" s="563"/>
      <c r="M223" s="484">
        <f t="shared" si="138"/>
        <v>-0.12694704049844219</v>
      </c>
      <c r="N223" s="563"/>
      <c r="O223" s="482"/>
      <c r="P223" s="482" cm="1">
        <f t="array" ref="P223">_xlfn.XLOOKUP(1,($B223=DistributionZone)*($G223=Description)*($I$5=Desc_FixedOrVar),valuesFY,0)</f>
        <v>4.484</v>
      </c>
      <c r="Q223" s="482">
        <f t="shared" si="139"/>
        <v>44.84</v>
      </c>
      <c r="R223" s="484">
        <f>IFERROR(Q223/Q227,"")</f>
        <v>0.40456042604690623</v>
      </c>
      <c r="S223" s="484"/>
      <c r="T223" s="644"/>
      <c r="U223" s="484"/>
      <c r="V223" s="484"/>
      <c r="W223" s="484"/>
      <c r="X223" s="484"/>
      <c r="Y223" s="484"/>
      <c r="Z223" s="484"/>
      <c r="AA223" s="484"/>
      <c r="AB223" s="484"/>
      <c r="AC223" s="484"/>
      <c r="AD223" s="484"/>
      <c r="AE223" s="484"/>
      <c r="AF223" s="484"/>
      <c r="AG223" s="484"/>
      <c r="AH223" s="484"/>
      <c r="AI223" s="484"/>
      <c r="AJ223" s="484"/>
    </row>
    <row r="224" spans="1:36" s="65" customFormat="1" x14ac:dyDescent="0.35">
      <c r="A224" s="30"/>
      <c r="B224" s="30" t="str">
        <f t="shared" si="137"/>
        <v>Essential</v>
      </c>
      <c r="C224" s="30" t="str">
        <f t="shared" si="137"/>
        <v>Small business</v>
      </c>
      <c r="D224" s="30" t="str">
        <f t="shared" si="137"/>
        <v>flat rate</v>
      </c>
      <c r="E224" s="30" t="s">
        <v>19</v>
      </c>
      <c r="F224" s="258">
        <f>F223</f>
        <v>10000</v>
      </c>
      <c r="G224" s="30" t="s">
        <v>75</v>
      </c>
      <c r="H224" s="482"/>
      <c r="I224" s="482" cm="1">
        <f t="array" ref="I224">_xlfn.XLOOKUP(1,($B224=DistributionZone)*($G224=Description)*($I$5=Desc_FixedOrVar),valuesPY,0)</f>
        <v>2.1292191637289464</v>
      </c>
      <c r="J224" s="482">
        <f>IF(AND(H224="",I224=""),"",H224+I224*$F224/1000)</f>
        <v>21.292191637289463</v>
      </c>
      <c r="K224" s="484">
        <f>IFERROR(J224/J227,"")</f>
        <v>0.1343868570678233</v>
      </c>
      <c r="L224" s="563"/>
      <c r="M224" s="484">
        <f t="shared" si="138"/>
        <v>0.30545066908580987</v>
      </c>
      <c r="N224" s="563"/>
      <c r="O224" s="482"/>
      <c r="P224" s="482" cm="1">
        <f t="array" ref="P224">_xlfn.XLOOKUP(1,($B224=DistributionZone)*($G224=Description)*($I$5=Desc_FixedOrVar),valuesFY,0)</f>
        <v>2.7795905819202815</v>
      </c>
      <c r="Q224" s="482">
        <f t="shared" si="139"/>
        <v>27.795905819202815</v>
      </c>
      <c r="R224" s="484">
        <f>IFERROR(Q224/Q227,"")</f>
        <v>0.25078330732775134</v>
      </c>
      <c r="S224" s="484"/>
      <c r="T224" s="644"/>
      <c r="U224" s="484"/>
      <c r="V224" s="484"/>
      <c r="W224" s="484"/>
      <c r="X224" s="484"/>
      <c r="Y224" s="484"/>
      <c r="Z224" s="484"/>
      <c r="AA224" s="484"/>
      <c r="AB224" s="484"/>
      <c r="AC224" s="484"/>
      <c r="AD224" s="484"/>
      <c r="AE224" s="484"/>
      <c r="AF224" s="484"/>
      <c r="AG224" s="484"/>
      <c r="AH224" s="484"/>
      <c r="AI224" s="484"/>
      <c r="AJ224" s="484"/>
    </row>
    <row r="225" spans="1:36" s="65" customFormat="1" x14ac:dyDescent="0.35">
      <c r="A225" s="30"/>
      <c r="B225" s="30" t="str">
        <f t="shared" si="137"/>
        <v>Essential</v>
      </c>
      <c r="C225" s="30" t="str">
        <f t="shared" si="137"/>
        <v>Small business</v>
      </c>
      <c r="D225" s="30" t="str">
        <f t="shared" si="137"/>
        <v>flat rate</v>
      </c>
      <c r="E225" s="30" t="s">
        <v>19</v>
      </c>
      <c r="F225" s="258">
        <f>F224</f>
        <v>10000</v>
      </c>
      <c r="G225" s="30" t="s">
        <v>155</v>
      </c>
      <c r="H225" s="482"/>
      <c r="I225" s="482" cm="1">
        <f t="array" ref="I225">_xlfn.XLOOKUP(1,($B225=DistributionZone)*($G225=Description)*($I$5=Desc_FixedOrVar),valuesPY,0)</f>
        <v>1.8634456011480964</v>
      </c>
      <c r="J225" s="482">
        <f>IF(AND(H225="",I225=""),"",H225+I225*$F225/1000)</f>
        <v>18.634456011480964</v>
      </c>
      <c r="K225" s="484">
        <f>IFERROR(J225/J227,"")</f>
        <v>0.11761241018354492</v>
      </c>
      <c r="L225" s="563"/>
      <c r="M225" s="484">
        <f t="shared" si="138"/>
        <v>-0.8994584724775363</v>
      </c>
      <c r="N225" s="563"/>
      <c r="O225" s="482"/>
      <c r="P225" s="482" cm="1">
        <f t="array" ref="P225">_xlfn.XLOOKUP(1,($B225=DistributionZone)*($G225=Description)*($I$5=Desc_FixedOrVar),valuesFY,0)</f>
        <v>0.18735366719444529</v>
      </c>
      <c r="Q225" s="482">
        <f t="shared" si="139"/>
        <v>1.8735366719444531</v>
      </c>
      <c r="R225" s="484">
        <f>IFERROR(Q225/Q227,"")</f>
        <v>1.6903630557902557E-2</v>
      </c>
      <c r="S225" s="484"/>
      <c r="T225" s="644"/>
      <c r="U225" s="484"/>
      <c r="V225" s="484"/>
      <c r="W225" s="484"/>
      <c r="X225" s="484"/>
      <c r="Y225" s="484"/>
      <c r="Z225" s="484"/>
      <c r="AA225" s="484"/>
      <c r="AB225" s="484"/>
      <c r="AC225" s="484"/>
      <c r="AD225" s="484"/>
      <c r="AE225" s="484"/>
      <c r="AF225" s="484"/>
      <c r="AG225" s="484"/>
      <c r="AH225" s="484"/>
      <c r="AI225" s="484"/>
      <c r="AJ225" s="484"/>
    </row>
    <row r="226" spans="1:36" s="65" customFormat="1" x14ac:dyDescent="0.35">
      <c r="A226" s="30"/>
      <c r="B226" s="30" t="str">
        <f t="shared" si="137"/>
        <v>Essential</v>
      </c>
      <c r="C226" s="30" t="str">
        <f t="shared" si="137"/>
        <v>Small business</v>
      </c>
      <c r="D226" s="30" t="str">
        <f t="shared" si="137"/>
        <v>flat rate</v>
      </c>
      <c r="E226" s="30" t="s">
        <v>19</v>
      </c>
      <c r="F226" s="258">
        <f>F225</f>
        <v>10000</v>
      </c>
      <c r="G226" s="30" t="s">
        <v>72</v>
      </c>
      <c r="H226" s="482"/>
      <c r="I226" s="482" cm="1">
        <f t="array" ref="I226">_xlfn.XLOOKUP(1,($B226=DistributionZone)*($C226=CustomerType)*($D226=tariffL2)*($E226=tariffType)*($G226=Description)*($I$5=Desc_FixedOrVar),valuesPY,0)*SUM(I222:I225)</f>
        <v>0.59824645165120494</v>
      </c>
      <c r="J226" s="482">
        <f>IF(AND(H226="",I226=""),"",H226+I226*$F226/1000)</f>
        <v>5.9824645165120494</v>
      </c>
      <c r="K226" s="484">
        <f>IFERROR(J226/J227,"")</f>
        <v>3.7758659023424783E-2</v>
      </c>
      <c r="L226" s="563"/>
      <c r="M226" s="484">
        <f t="shared" si="138"/>
        <v>-0.19545556452522095</v>
      </c>
      <c r="N226" s="563"/>
      <c r="O226" s="482"/>
      <c r="P226" s="482" cm="1">
        <f t="array" ref="P226">_xlfn.XLOOKUP(1,($B226=DistributionZone)*($C226=CustomerType)*($D226=tariffL2)*($E226=tariffType)*($G226=Description)*($P$5=Desc_FixedOrVar),valuesFY,0)*SUM(P222:P225)</f>
        <v>0.48131585371850832</v>
      </c>
      <c r="Q226" s="482">
        <f t="shared" si="139"/>
        <v>4.8131585371850836</v>
      </c>
      <c r="R226" s="484">
        <f>IFERROR(Q226/Q227,"")</f>
        <v>4.3425813301402792E-2</v>
      </c>
      <c r="S226" s="484"/>
      <c r="T226" s="644"/>
      <c r="U226" s="484"/>
      <c r="V226" s="484"/>
      <c r="W226" s="484"/>
      <c r="X226" s="484"/>
      <c r="Y226" s="484"/>
      <c r="Z226" s="484"/>
      <c r="AA226" s="484"/>
      <c r="AB226" s="484"/>
      <c r="AC226" s="484"/>
      <c r="AD226" s="484"/>
      <c r="AE226" s="484"/>
      <c r="AF226" s="484"/>
      <c r="AG226" s="484"/>
      <c r="AH226" s="484"/>
      <c r="AI226" s="484"/>
      <c r="AJ226" s="484"/>
    </row>
    <row r="227" spans="1:36" s="65" customFormat="1" x14ac:dyDescent="0.35">
      <c r="A227" s="30"/>
      <c r="B227" s="30" t="str">
        <f t="shared" si="137"/>
        <v>Essential</v>
      </c>
      <c r="C227" s="30" t="str">
        <f t="shared" si="137"/>
        <v>Small business</v>
      </c>
      <c r="D227" s="30" t="str">
        <f t="shared" si="137"/>
        <v>flat rate</v>
      </c>
      <c r="E227" s="30" t="s">
        <v>19</v>
      </c>
      <c r="F227" s="258">
        <f>F226</f>
        <v>10000</v>
      </c>
      <c r="G227" s="64" t="s">
        <v>55</v>
      </c>
      <c r="H227" s="487">
        <f>SUM(H222:H226)</f>
        <v>0</v>
      </c>
      <c r="I227" s="487">
        <f>SUM(I222:I226)</f>
        <v>15.843953867113337</v>
      </c>
      <c r="J227" s="487">
        <f>IF(AND(H227="",I227=""),"",H227+I227*+Usage!M$41/1000)</f>
        <v>158.43953867113336</v>
      </c>
      <c r="K227" s="564"/>
      <c r="L227" s="566"/>
      <c r="M227" s="564">
        <f t="shared" si="138"/>
        <v>-0.30045020003564005</v>
      </c>
      <c r="N227" s="566"/>
      <c r="O227" s="487">
        <f>SUM(O222:O226)</f>
        <v>0</v>
      </c>
      <c r="P227" s="487">
        <f>SUM(P222:P226)</f>
        <v>11.083634758383681</v>
      </c>
      <c r="Q227" s="487">
        <f t="shared" si="139"/>
        <v>110.83634758383681</v>
      </c>
      <c r="R227" s="564"/>
      <c r="S227" s="564"/>
      <c r="T227" s="646"/>
      <c r="U227" s="564"/>
      <c r="V227" s="564"/>
      <c r="W227" s="564"/>
      <c r="X227" s="564"/>
      <c r="Y227" s="564"/>
      <c r="Z227" s="564"/>
      <c r="AA227" s="564"/>
      <c r="AB227" s="564"/>
      <c r="AC227" s="564"/>
      <c r="AD227" s="564"/>
      <c r="AE227" s="564"/>
      <c r="AF227" s="564"/>
      <c r="AG227" s="564"/>
      <c r="AH227" s="564"/>
      <c r="AI227" s="564"/>
      <c r="AJ227" s="564"/>
    </row>
    <row r="228" spans="1:36" s="65" customFormat="1" x14ac:dyDescent="0.35">
      <c r="A228" s="30"/>
      <c r="B228" s="30" t="str">
        <f t="shared" si="137"/>
        <v>Essential</v>
      </c>
      <c r="C228" s="30" t="str">
        <f t="shared" si="137"/>
        <v>Small business</v>
      </c>
      <c r="D228" s="30" t="str">
        <f t="shared" si="137"/>
        <v>flat rate</v>
      </c>
      <c r="E228" s="30"/>
      <c r="F228" s="258"/>
      <c r="G228" s="30" t="s">
        <v>38</v>
      </c>
      <c r="H228" s="482"/>
      <c r="I228" s="482"/>
      <c r="J228" s="482">
        <f>J227*GST</f>
        <v>15.843953867113337</v>
      </c>
      <c r="K228" s="484"/>
      <c r="L228" s="568"/>
      <c r="M228" s="484"/>
      <c r="N228" s="568"/>
      <c r="O228" s="482"/>
      <c r="P228" s="482"/>
      <c r="Q228" s="482">
        <f>Q227*GST</f>
        <v>11.083634758383681</v>
      </c>
      <c r="R228" s="564"/>
      <c r="S228" s="564"/>
      <c r="T228" s="646"/>
      <c r="U228" s="564"/>
      <c r="V228" s="564"/>
      <c r="W228" s="564"/>
      <c r="X228" s="564"/>
      <c r="Y228" s="564"/>
      <c r="Z228" s="564"/>
      <c r="AA228" s="564"/>
      <c r="AB228" s="564"/>
      <c r="AC228" s="564"/>
      <c r="AD228" s="564"/>
      <c r="AE228" s="564"/>
      <c r="AF228" s="564"/>
      <c r="AG228" s="564"/>
      <c r="AH228" s="564"/>
      <c r="AI228" s="564"/>
      <c r="AJ228" s="564"/>
    </row>
    <row r="229" spans="1:36" s="65" customFormat="1" x14ac:dyDescent="0.35">
      <c r="A229" s="30"/>
      <c r="B229" s="30" t="str">
        <f t="shared" si="137"/>
        <v>Essential</v>
      </c>
      <c r="C229" s="30" t="str">
        <f t="shared" si="137"/>
        <v>Small business</v>
      </c>
      <c r="D229" s="30" t="str">
        <f t="shared" si="137"/>
        <v>flat rate</v>
      </c>
      <c r="E229" s="30"/>
      <c r="F229" s="258"/>
      <c r="G229" s="64" t="s">
        <v>79</v>
      </c>
      <c r="H229" s="487"/>
      <c r="I229" s="487"/>
      <c r="J229" s="487">
        <f>SUM(J227:J228)</f>
        <v>174.28349253824669</v>
      </c>
      <c r="K229" s="564"/>
      <c r="L229" s="566"/>
      <c r="M229" s="564">
        <f>IF(OR(J229=0,Q229=""),"",Q229/J229-1)</f>
        <v>-0.30045020003564005</v>
      </c>
      <c r="N229" s="566"/>
      <c r="O229" s="487"/>
      <c r="P229" s="487"/>
      <c r="Q229" s="487">
        <f>SUM(Q227:Q228)</f>
        <v>121.91998234222049</v>
      </c>
      <c r="R229" s="564"/>
      <c r="S229" s="564"/>
      <c r="T229" s="646"/>
      <c r="U229" s="564"/>
      <c r="V229" s="564"/>
      <c r="W229" s="564"/>
      <c r="X229" s="564"/>
      <c r="Y229" s="564"/>
      <c r="Z229" s="564"/>
      <c r="AA229" s="564"/>
      <c r="AB229" s="564"/>
      <c r="AC229" s="564"/>
      <c r="AD229" s="564"/>
      <c r="AE229" s="564"/>
      <c r="AF229" s="564"/>
      <c r="AG229" s="564"/>
      <c r="AH229" s="564"/>
      <c r="AI229" s="564"/>
      <c r="AJ229" s="564"/>
    </row>
    <row r="230" spans="1:36" s="65" customFormat="1" x14ac:dyDescent="0.35">
      <c r="A230" s="30"/>
      <c r="B230" s="30"/>
      <c r="C230" s="30"/>
      <c r="D230" s="30"/>
      <c r="E230" s="30"/>
      <c r="F230" s="258"/>
      <c r="G230" s="30"/>
      <c r="H230" s="482"/>
      <c r="I230" s="482"/>
      <c r="J230" s="482"/>
      <c r="K230" s="484"/>
      <c r="L230" s="568"/>
      <c r="M230" s="484"/>
      <c r="N230" s="568"/>
      <c r="O230" s="482"/>
      <c r="P230" s="482"/>
      <c r="Q230" s="482"/>
      <c r="R230" s="484"/>
      <c r="S230" s="484"/>
      <c r="T230" s="644"/>
      <c r="U230" s="484"/>
      <c r="V230" s="484"/>
      <c r="W230" s="484"/>
      <c r="X230" s="484"/>
      <c r="Y230" s="484"/>
      <c r="Z230" s="484"/>
      <c r="AA230" s="484"/>
      <c r="AB230" s="484"/>
      <c r="AC230" s="484"/>
      <c r="AD230" s="484"/>
      <c r="AE230" s="484"/>
      <c r="AF230" s="484"/>
      <c r="AG230" s="484"/>
      <c r="AH230" s="484"/>
      <c r="AI230" s="484"/>
      <c r="AJ230" s="484"/>
    </row>
    <row r="231" spans="1:36" s="627" customFormat="1" x14ac:dyDescent="0.35">
      <c r="A231" s="570"/>
      <c r="B231" s="571" t="s">
        <v>3</v>
      </c>
      <c r="C231" s="571" t="s">
        <v>13</v>
      </c>
      <c r="D231" s="571" t="s">
        <v>272</v>
      </c>
      <c r="E231" s="570"/>
      <c r="F231" s="485"/>
      <c r="G231" s="570"/>
      <c r="H231" s="574"/>
      <c r="I231" s="574"/>
      <c r="J231" s="574"/>
      <c r="K231" s="575"/>
      <c r="L231" s="582"/>
      <c r="M231" s="575"/>
      <c r="N231" s="582"/>
      <c r="O231" s="574"/>
      <c r="P231" s="574"/>
      <c r="Q231" s="574"/>
      <c r="R231" s="575"/>
      <c r="S231" s="575"/>
      <c r="T231" s="649"/>
      <c r="U231" s="575"/>
      <c r="V231" s="575"/>
      <c r="W231" s="575"/>
      <c r="X231" s="575"/>
      <c r="Y231" s="575"/>
      <c r="Z231" s="575"/>
      <c r="AA231" s="575"/>
      <c r="AB231" s="575"/>
      <c r="AC231" s="575"/>
      <c r="AD231" s="575"/>
      <c r="AE231" s="575"/>
      <c r="AF231" s="575"/>
      <c r="AG231" s="575"/>
      <c r="AH231" s="575"/>
      <c r="AI231" s="575"/>
      <c r="AJ231" s="575"/>
    </row>
    <row r="232" spans="1:36" s="627" customFormat="1" x14ac:dyDescent="0.35">
      <c r="A232" s="570"/>
      <c r="B232" s="570" t="str">
        <f t="shared" ref="B232:D232" si="140">B231</f>
        <v>Essential</v>
      </c>
      <c r="C232" s="570" t="str">
        <f t="shared" si="140"/>
        <v>Small business</v>
      </c>
      <c r="D232" s="570" t="str">
        <f t="shared" si="140"/>
        <v>time of use</v>
      </c>
      <c r="E232" s="570" t="s">
        <v>279</v>
      </c>
      <c r="F232" s="485" cm="1">
        <f t="array" ref="F232">_xlfn.XLOOKUP(1,($B232=DistributionZone)*($C232=CustomerType)*($D232=tariffL2)*($F$5=Description),valuesPY)*_xlfn.XLOOKUP(1,($B232=DistributionZone)*($C232=CustomerType)*($D232=tariffL2)*($E232=tariffType)*("Usage proportion"=Description),valuesFY)</f>
        <v>5608.19842747042</v>
      </c>
      <c r="G232" s="570" t="s">
        <v>73</v>
      </c>
      <c r="H232" s="574"/>
      <c r="I232" s="574" cm="1">
        <f t="array" ref="I232">_xlfn.XLOOKUP(1,($B232=DistributionZone)*($G232=Description)*($I$5=Desc_FixedOrVar),valuesPY,0)</f>
        <v>6.1170426505850894</v>
      </c>
      <c r="J232" s="574">
        <f>IF(AND(H232="",I232=""),"",H232+I232*$F232/1000)</f>
        <v>34.305588973780786</v>
      </c>
      <c r="K232" s="575" t="str">
        <f>IFERROR(J232/J237,"")</f>
        <v/>
      </c>
      <c r="L232" s="576"/>
      <c r="M232" s="575">
        <f t="shared" ref="M232:M237" si="141">IF(OR(J232=0,Q232=""),"",Q232/J232-1)</f>
        <v>-0.48482055209325348</v>
      </c>
      <c r="N232" s="576"/>
      <c r="O232" s="574"/>
      <c r="P232" s="574" cm="1">
        <f t="array" ref="P232">_xlfn.XLOOKUP(1,($B232=DistributionZone)*($G232=Description)*($I$5=Desc_FixedOrVar),valuesFY,0)</f>
        <v>3.1513746555504474</v>
      </c>
      <c r="Q232" s="574">
        <f t="shared" ref="Q232:Q237" si="142">IF(AND(O232="",P232=""),"",O232+P232*$F232/1000)</f>
        <v>17.673534387628155</v>
      </c>
      <c r="R232" s="575">
        <f>IFERROR(Q232/Q237,"")</f>
        <v>0.28432682276603727</v>
      </c>
      <c r="S232" s="575"/>
      <c r="T232" s="634"/>
      <c r="U232" s="575"/>
      <c r="V232" s="575"/>
      <c r="W232" s="575"/>
      <c r="X232" s="575"/>
      <c r="Y232" s="575"/>
      <c r="Z232" s="575"/>
      <c r="AA232" s="575"/>
      <c r="AB232" s="575"/>
      <c r="AC232" s="575"/>
      <c r="AD232" s="575"/>
      <c r="AE232" s="575"/>
      <c r="AF232" s="575"/>
      <c r="AG232" s="575"/>
      <c r="AH232" s="575"/>
      <c r="AI232" s="575"/>
      <c r="AJ232" s="575"/>
    </row>
    <row r="233" spans="1:36" s="627" customFormat="1" x14ac:dyDescent="0.35">
      <c r="A233" s="570"/>
      <c r="B233" s="570" t="str">
        <f t="shared" ref="B233:E233" si="143">B232</f>
        <v>Essential</v>
      </c>
      <c r="C233" s="570" t="str">
        <f t="shared" si="143"/>
        <v>Small business</v>
      </c>
      <c r="D233" s="570" t="str">
        <f t="shared" si="143"/>
        <v>time of use</v>
      </c>
      <c r="E233" s="570" t="str">
        <f t="shared" si="143"/>
        <v>time of use (Off-peak)</v>
      </c>
      <c r="F233" s="485">
        <f>F232</f>
        <v>5608.19842747042</v>
      </c>
      <c r="G233" s="570" t="s">
        <v>74</v>
      </c>
      <c r="H233" s="574"/>
      <c r="I233" s="574" cm="1">
        <f t="array" ref="I233">_xlfn.XLOOKUP(1,($B233=DistributionZone)*($G233=Description)*($I$5=Desc_FixedOrVar),valuesPY,0)</f>
        <v>5.1359999999999992</v>
      </c>
      <c r="J233" s="574">
        <f>IF(AND(H233="",I233=""),"",H233+I233*$F233/1000)</f>
        <v>28.803707123488071</v>
      </c>
      <c r="K233" s="575" t="str">
        <f>IFERROR(J233/J237,"")</f>
        <v/>
      </c>
      <c r="L233" s="576"/>
      <c r="M233" s="575">
        <f t="shared" si="141"/>
        <v>-0.1269470404984423</v>
      </c>
      <c r="N233" s="576"/>
      <c r="O233" s="574"/>
      <c r="P233" s="574" cm="1">
        <f t="array" ref="P233">_xlfn.XLOOKUP(1,($B233=DistributionZone)*($G233=Description)*($I$5=Desc_FixedOrVar),valuesFY,0)</f>
        <v>4.484</v>
      </c>
      <c r="Q233" s="574">
        <f t="shared" si="142"/>
        <v>25.147161748777361</v>
      </c>
      <c r="R233" s="575">
        <f>IFERROR(Q233/Q237,"")</f>
        <v>0.40456042604690612</v>
      </c>
      <c r="S233" s="575"/>
      <c r="T233" s="649"/>
      <c r="U233" s="575"/>
      <c r="V233" s="575"/>
      <c r="W233" s="575"/>
      <c r="X233" s="575"/>
      <c r="Y233" s="575"/>
      <c r="Z233" s="575"/>
      <c r="AA233" s="575"/>
      <c r="AB233" s="575"/>
      <c r="AC233" s="575"/>
      <c r="AD233" s="575"/>
      <c r="AE233" s="575"/>
      <c r="AF233" s="575"/>
      <c r="AG233" s="575"/>
      <c r="AH233" s="575"/>
      <c r="AI233" s="575"/>
      <c r="AJ233" s="575"/>
    </row>
    <row r="234" spans="1:36" s="627" customFormat="1" x14ac:dyDescent="0.35">
      <c r="A234" s="570"/>
      <c r="B234" s="570" t="str">
        <f t="shared" ref="B234:E234" si="144">B233</f>
        <v>Essential</v>
      </c>
      <c r="C234" s="570" t="str">
        <f t="shared" si="144"/>
        <v>Small business</v>
      </c>
      <c r="D234" s="570" t="str">
        <f t="shared" si="144"/>
        <v>time of use</v>
      </c>
      <c r="E234" s="570" t="str">
        <f t="shared" si="144"/>
        <v>time of use (Off-peak)</v>
      </c>
      <c r="F234" s="485">
        <f>F233</f>
        <v>5608.19842747042</v>
      </c>
      <c r="G234" s="570" t="s">
        <v>75</v>
      </c>
      <c r="H234" s="574"/>
      <c r="I234" s="574" cm="1">
        <f t="array" ref="I234">_xlfn.XLOOKUP(1,($B234=DistributionZone)*($G234=Description)*($I$5=Desc_FixedOrVar),valuesPY,0)</f>
        <v>2.1292191637289464</v>
      </c>
      <c r="J234" s="574">
        <f>IF(AND(H234="",I234=""),"",H234+I234*$F234/1000)</f>
        <v>11.94108356576456</v>
      </c>
      <c r="K234" s="575" t="str">
        <f>IFERROR(J234/J237,"")</f>
        <v/>
      </c>
      <c r="L234" s="576"/>
      <c r="M234" s="575">
        <f t="shared" si="141"/>
        <v>0.30545066908581009</v>
      </c>
      <c r="N234" s="576"/>
      <c r="O234" s="574"/>
      <c r="P234" s="574" cm="1">
        <f t="array" ref="P234">_xlfn.XLOOKUP(1,($B234=DistributionZone)*($G234=Description)*($I$5=Desc_FixedOrVar),valuesFY,0)</f>
        <v>2.7795905819202815</v>
      </c>
      <c r="Q234" s="574">
        <f t="shared" si="142"/>
        <v>15.588495530536914</v>
      </c>
      <c r="R234" s="575">
        <f>IFERROR(Q234/Q237,"")</f>
        <v>0.25078330732775134</v>
      </c>
      <c r="S234" s="575"/>
      <c r="T234" s="649"/>
      <c r="U234" s="575"/>
      <c r="V234" s="575"/>
      <c r="W234" s="575"/>
      <c r="X234" s="575"/>
      <c r="Y234" s="575"/>
      <c r="Z234" s="575"/>
      <c r="AA234" s="575"/>
      <c r="AB234" s="575"/>
      <c r="AC234" s="575"/>
      <c r="AD234" s="575"/>
      <c r="AE234" s="575"/>
      <c r="AF234" s="575"/>
      <c r="AG234" s="575"/>
      <c r="AH234" s="575"/>
      <c r="AI234" s="575"/>
      <c r="AJ234" s="575"/>
    </row>
    <row r="235" spans="1:36" s="627" customFormat="1" x14ac:dyDescent="0.35">
      <c r="A235" s="570"/>
      <c r="B235" s="570" t="str">
        <f t="shared" ref="B235:E235" si="145">B234</f>
        <v>Essential</v>
      </c>
      <c r="C235" s="570" t="str">
        <f t="shared" si="145"/>
        <v>Small business</v>
      </c>
      <c r="D235" s="570" t="str">
        <f t="shared" si="145"/>
        <v>time of use</v>
      </c>
      <c r="E235" s="570" t="str">
        <f t="shared" si="145"/>
        <v>time of use (Off-peak)</v>
      </c>
      <c r="F235" s="485">
        <f>F234</f>
        <v>5608.19842747042</v>
      </c>
      <c r="G235" s="570" t="s">
        <v>155</v>
      </c>
      <c r="H235" s="574"/>
      <c r="I235" s="574" cm="1">
        <f t="array" ref="I235">_xlfn.XLOOKUP(1,($B235=DistributionZone)*($G235=Description)*($I$5=Desc_FixedOrVar),valuesPY,0)</f>
        <v>1.8634456011480964</v>
      </c>
      <c r="J235" s="574">
        <f>IF(AND(H235="",I235=""),"",H235+I235*$F235/1000)</f>
        <v>10.450572690035425</v>
      </c>
      <c r="K235" s="575" t="str">
        <f>IFERROR(J235/J237,"")</f>
        <v/>
      </c>
      <c r="L235" s="576"/>
      <c r="M235" s="575">
        <f t="shared" si="141"/>
        <v>-0.8994584724775363</v>
      </c>
      <c r="N235" s="576"/>
      <c r="O235" s="574"/>
      <c r="P235" s="574" cm="1">
        <f t="array" ref="P235">_xlfn.XLOOKUP(1,($B235=DistributionZone)*($G235=Description)*($I$5=Desc_FixedOrVar),valuesFY,0)</f>
        <v>0.18735366719444529</v>
      </c>
      <c r="Q235" s="574">
        <f t="shared" si="142"/>
        <v>1.0507165417407045</v>
      </c>
      <c r="R235" s="575">
        <f>IFERROR(Q235/Q237,"")</f>
        <v>1.6903630557902553E-2</v>
      </c>
      <c r="S235" s="575"/>
      <c r="T235" s="649"/>
      <c r="U235" s="575"/>
      <c r="V235" s="575"/>
      <c r="W235" s="575"/>
      <c r="X235" s="575"/>
      <c r="Y235" s="575"/>
      <c r="Z235" s="575"/>
      <c r="AA235" s="575"/>
      <c r="AB235" s="575"/>
      <c r="AC235" s="575"/>
      <c r="AD235" s="575"/>
      <c r="AE235" s="575"/>
      <c r="AF235" s="575"/>
      <c r="AG235" s="575"/>
      <c r="AH235" s="575"/>
      <c r="AI235" s="575"/>
      <c r="AJ235" s="575"/>
    </row>
    <row r="236" spans="1:36" s="627" customFormat="1" x14ac:dyDescent="0.35">
      <c r="A236" s="570"/>
      <c r="B236" s="570" t="str">
        <f t="shared" ref="B236:E236" si="146">B235</f>
        <v>Essential</v>
      </c>
      <c r="C236" s="570" t="str">
        <f t="shared" si="146"/>
        <v>Small business</v>
      </c>
      <c r="D236" s="570" t="str">
        <f t="shared" si="146"/>
        <v>time of use</v>
      </c>
      <c r="E236" s="570" t="str">
        <f t="shared" si="146"/>
        <v>time of use (Off-peak)</v>
      </c>
      <c r="F236" s="485">
        <f>F235</f>
        <v>5608.19842747042</v>
      </c>
      <c r="G236" s="570" t="s">
        <v>72</v>
      </c>
      <c r="H236" s="574"/>
      <c r="I236" s="574" cm="1">
        <f t="array" ref="I236">_xlfn.XLOOKUP(1,($B236=DistributionZone)*($C236=CustomerType)*($D236=tariffL2)*($G236=Description)*($I$5=Desc_FixedOrVar),valuesPY,0)*SUM(I232:I235)</f>
        <v>0</v>
      </c>
      <c r="J236" s="574">
        <f>IF(AND(H236="",I236=""),"",H236+I236*$F236/1000)</f>
        <v>0</v>
      </c>
      <c r="K236" s="575" t="str">
        <f>IFERROR(J236/J237,"")</f>
        <v/>
      </c>
      <c r="L236" s="576"/>
      <c r="M236" s="575" t="str">
        <f t="shared" si="141"/>
        <v/>
      </c>
      <c r="N236" s="576"/>
      <c r="O236" s="574"/>
      <c r="P236" s="574" cm="1">
        <f t="array" ref="P236">_xlfn.XLOOKUP(1,($B236=DistributionZone)*($C236=CustomerType)*($D236=tariffL2)*($G236=Description)*($P$5=Desc_FixedOrVar),valuesFY,0)*SUM(P232:P235)</f>
        <v>0.48131585371850832</v>
      </c>
      <c r="Q236" s="574">
        <f t="shared" si="142"/>
        <v>2.6993148139407213</v>
      </c>
      <c r="R236" s="575">
        <f>IFERROR(Q236/Q237,"")</f>
        <v>4.3425813301402792E-2</v>
      </c>
      <c r="S236" s="575"/>
      <c r="T236" s="649"/>
      <c r="U236" s="575"/>
      <c r="V236" s="575"/>
      <c r="W236" s="575"/>
      <c r="X236" s="575"/>
      <c r="Y236" s="575"/>
      <c r="Z236" s="575"/>
      <c r="AA236" s="575"/>
      <c r="AB236" s="575"/>
      <c r="AC236" s="575"/>
      <c r="AD236" s="575"/>
      <c r="AE236" s="575"/>
      <c r="AF236" s="575"/>
      <c r="AG236" s="575"/>
      <c r="AH236" s="575"/>
      <c r="AI236" s="575"/>
      <c r="AJ236" s="575"/>
    </row>
    <row r="237" spans="1:36" s="627" customFormat="1" x14ac:dyDescent="0.35">
      <c r="A237" s="570"/>
      <c r="B237" s="570" t="str">
        <f t="shared" ref="B237:E237" si="147">B236</f>
        <v>Essential</v>
      </c>
      <c r="C237" s="570" t="str">
        <f t="shared" si="147"/>
        <v>Small business</v>
      </c>
      <c r="D237" s="570" t="str">
        <f t="shared" si="147"/>
        <v>time of use</v>
      </c>
      <c r="E237" s="570" t="str">
        <f t="shared" si="147"/>
        <v>time of use (Off-peak)</v>
      </c>
      <c r="F237" s="485">
        <f>F236</f>
        <v>5608.19842747042</v>
      </c>
      <c r="G237" s="571" t="s">
        <v>55</v>
      </c>
      <c r="H237" s="577">
        <f>IF($H$3=PY,0,SUM(H232:H236))</f>
        <v>0</v>
      </c>
      <c r="I237" s="577">
        <f>IF($H$3=PY,0,SUM(I232:I236))</f>
        <v>0</v>
      </c>
      <c r="J237" s="577">
        <f>IF($H$3=PY,0,SUM(J232:J236))</f>
        <v>0</v>
      </c>
      <c r="K237" s="578"/>
      <c r="L237" s="580"/>
      <c r="M237" s="578" t="str">
        <f t="shared" si="141"/>
        <v/>
      </c>
      <c r="N237" s="580"/>
      <c r="O237" s="577">
        <f>SUM(O232:O236)</f>
        <v>0</v>
      </c>
      <c r="P237" s="577">
        <f>SUM(P232:P236)</f>
        <v>11.083634758383681</v>
      </c>
      <c r="Q237" s="577">
        <f t="shared" si="142"/>
        <v>62.159223022623848</v>
      </c>
      <c r="R237" s="578"/>
      <c r="S237" s="578"/>
      <c r="T237" s="650"/>
      <c r="U237" s="578"/>
      <c r="V237" s="578"/>
      <c r="W237" s="578"/>
      <c r="X237" s="578"/>
      <c r="Y237" s="578"/>
      <c r="Z237" s="578"/>
      <c r="AA237" s="578"/>
      <c r="AB237" s="578"/>
      <c r="AC237" s="578"/>
      <c r="AD237" s="578"/>
      <c r="AE237" s="578"/>
      <c r="AF237" s="578"/>
      <c r="AG237" s="578"/>
      <c r="AH237" s="578"/>
      <c r="AI237" s="578"/>
      <c r="AJ237" s="578"/>
    </row>
    <row r="238" spans="1:36" s="627" customFormat="1" x14ac:dyDescent="0.35">
      <c r="A238" s="570"/>
      <c r="B238" s="570" t="str">
        <f t="shared" ref="B238:D238" si="148">B237</f>
        <v>Essential</v>
      </c>
      <c r="C238" s="570" t="str">
        <f t="shared" si="148"/>
        <v>Small business</v>
      </c>
      <c r="D238" s="570" t="str">
        <f t="shared" si="148"/>
        <v>time of use</v>
      </c>
      <c r="E238" s="570" t="s">
        <v>278</v>
      </c>
      <c r="F238" s="485" cm="1">
        <f t="array" ref="F238">_xlfn.XLOOKUP(1,($B238=DistributionZone)*($C238=CustomerType)*($D238=tariffL2)*($F$5=Description),valuesPY)*_xlfn.XLOOKUP(1,($B238=DistributionZone)*($C238=CustomerType)*($D238=tariffL2)*($E238=tariffType)*("Usage proportion"=Description),valuesFY)</f>
        <v>4391.8015725295809</v>
      </c>
      <c r="G238" s="570" t="s">
        <v>73</v>
      </c>
      <c r="H238" s="574"/>
      <c r="I238" s="574" cm="1">
        <f t="array" ref="I238">_xlfn.XLOOKUP(1,($B238=DistributionZone)*($G238=Description)*($I$5=Desc_FixedOrVar),valuesPY,0)</f>
        <v>6.1170426505850894</v>
      </c>
      <c r="J238" s="574">
        <f>IF(AND(H238="",I238=""),"",H238+I238*$F238/1000)</f>
        <v>26.864837532070112</v>
      </c>
      <c r="K238" s="575" t="str">
        <f>IFERROR(J238/J243,"")</f>
        <v/>
      </c>
      <c r="L238" s="576"/>
      <c r="M238" s="575">
        <f t="shared" ref="M238:M243" si="149">IF(OR(J238=0,Q238=""),"",Q238/J238-1)</f>
        <v>-0.48482055209325348</v>
      </c>
      <c r="N238" s="576"/>
      <c r="O238" s="574"/>
      <c r="P238" s="574" cm="1">
        <f t="array" ref="P238">_xlfn.XLOOKUP(1,($B238=DistributionZone)*($G238=Description)*($I$5=Desc_FixedOrVar),valuesFY,0)</f>
        <v>3.1513746555504474</v>
      </c>
      <c r="Q238" s="574">
        <f t="shared" ref="Q238:Q243" si="150">IF(AND(O238="",P238=""),"",O238+P238*$F238/1000)</f>
        <v>13.840212167876322</v>
      </c>
      <c r="R238" s="575">
        <f>IFERROR(Q238/Q243,"")</f>
        <v>0.28432682276603732</v>
      </c>
      <c r="S238" s="575"/>
      <c r="T238" s="634"/>
      <c r="U238" s="575"/>
      <c r="V238" s="575"/>
      <c r="W238" s="575"/>
      <c r="X238" s="575"/>
      <c r="Y238" s="575"/>
      <c r="Z238" s="575"/>
      <c r="AA238" s="575"/>
      <c r="AB238" s="575"/>
      <c r="AC238" s="575"/>
      <c r="AD238" s="575"/>
      <c r="AE238" s="575"/>
      <c r="AF238" s="575"/>
      <c r="AG238" s="575"/>
      <c r="AH238" s="575"/>
      <c r="AI238" s="575"/>
      <c r="AJ238" s="575"/>
    </row>
    <row r="239" spans="1:36" s="627" customFormat="1" x14ac:dyDescent="0.35">
      <c r="A239" s="570"/>
      <c r="B239" s="570" t="str">
        <f t="shared" ref="B239:E239" si="151">B238</f>
        <v>Essential</v>
      </c>
      <c r="C239" s="570" t="str">
        <f t="shared" si="151"/>
        <v>Small business</v>
      </c>
      <c r="D239" s="570" t="str">
        <f t="shared" si="151"/>
        <v>time of use</v>
      </c>
      <c r="E239" s="570" t="str">
        <f t="shared" si="151"/>
        <v>time of use (Peak)</v>
      </c>
      <c r="F239" s="485">
        <f>F238</f>
        <v>4391.8015725295809</v>
      </c>
      <c r="G239" s="570" t="s">
        <v>74</v>
      </c>
      <c r="H239" s="574"/>
      <c r="I239" s="574" cm="1">
        <f t="array" ref="I239">_xlfn.XLOOKUP(1,($B239=DistributionZone)*($G239=Description)*($I$5=Desc_FixedOrVar),valuesPY,0)</f>
        <v>5.1359999999999992</v>
      </c>
      <c r="J239" s="574">
        <f>IF(AND(H239="",I239=""),"",H239+I239*$F239/1000)</f>
        <v>22.556292876511925</v>
      </c>
      <c r="K239" s="575" t="str">
        <f>IFERROR(J239/J243,"")</f>
        <v/>
      </c>
      <c r="L239" s="576"/>
      <c r="M239" s="575">
        <f t="shared" si="149"/>
        <v>-0.12694704049844219</v>
      </c>
      <c r="N239" s="576"/>
      <c r="O239" s="574"/>
      <c r="P239" s="574" cm="1">
        <f t="array" ref="P239">_xlfn.XLOOKUP(1,($B239=DistributionZone)*($G239=Description)*($I$5=Desc_FixedOrVar),valuesFY,0)</f>
        <v>4.484</v>
      </c>
      <c r="Q239" s="574">
        <f t="shared" si="150"/>
        <v>19.692838251222643</v>
      </c>
      <c r="R239" s="575">
        <f>IFERROR(Q239/Q243,"")</f>
        <v>0.40456042604690623</v>
      </c>
      <c r="S239" s="575"/>
      <c r="T239" s="649"/>
      <c r="U239" s="575"/>
      <c r="V239" s="575"/>
      <c r="W239" s="575"/>
      <c r="X239" s="575"/>
      <c r="Y239" s="575"/>
      <c r="Z239" s="575"/>
      <c r="AA239" s="575"/>
      <c r="AB239" s="575"/>
      <c r="AC239" s="575"/>
      <c r="AD239" s="575"/>
      <c r="AE239" s="575"/>
      <c r="AF239" s="575"/>
      <c r="AG239" s="575"/>
      <c r="AH239" s="575"/>
      <c r="AI239" s="575"/>
      <c r="AJ239" s="575"/>
    </row>
    <row r="240" spans="1:36" s="627" customFormat="1" x14ac:dyDescent="0.35">
      <c r="A240" s="570"/>
      <c r="B240" s="570" t="str">
        <f t="shared" ref="B240:E240" si="152">B239</f>
        <v>Essential</v>
      </c>
      <c r="C240" s="570" t="str">
        <f t="shared" si="152"/>
        <v>Small business</v>
      </c>
      <c r="D240" s="570" t="str">
        <f t="shared" si="152"/>
        <v>time of use</v>
      </c>
      <c r="E240" s="570" t="str">
        <f t="shared" si="152"/>
        <v>time of use (Peak)</v>
      </c>
      <c r="F240" s="485">
        <f>F239</f>
        <v>4391.8015725295809</v>
      </c>
      <c r="G240" s="570" t="s">
        <v>75</v>
      </c>
      <c r="H240" s="574"/>
      <c r="I240" s="574" cm="1">
        <f t="array" ref="I240">_xlfn.XLOOKUP(1,($B240=DistributionZone)*($G240=Description)*($I$5=Desc_FixedOrVar),valuesPY,0)</f>
        <v>2.1292191637289464</v>
      </c>
      <c r="J240" s="574">
        <f>IF(AND(H240="",I240=""),"",H240+I240*$F240/1000)</f>
        <v>9.3511080715249069</v>
      </c>
      <c r="K240" s="575" t="str">
        <f>IFERROR(J240/J243,"")</f>
        <v/>
      </c>
      <c r="L240" s="576"/>
      <c r="M240" s="575">
        <f t="shared" si="149"/>
        <v>0.30545066908580965</v>
      </c>
      <c r="N240" s="576"/>
      <c r="O240" s="574"/>
      <c r="P240" s="574" cm="1">
        <f t="array" ref="P240">_xlfn.XLOOKUP(1,($B240=DistributionZone)*($G240=Description)*($I$5=Desc_FixedOrVar),valuesFY,0)</f>
        <v>2.7795905819202815</v>
      </c>
      <c r="Q240" s="574">
        <f t="shared" si="150"/>
        <v>12.207410288665905</v>
      </c>
      <c r="R240" s="575">
        <f>IFERROR(Q240/Q243,"")</f>
        <v>0.25078330732775134</v>
      </c>
      <c r="S240" s="575"/>
      <c r="T240" s="649"/>
      <c r="U240" s="575"/>
      <c r="V240" s="575"/>
      <c r="W240" s="575"/>
      <c r="X240" s="575"/>
      <c r="Y240" s="575"/>
      <c r="Z240" s="575"/>
      <c r="AA240" s="575"/>
      <c r="AB240" s="575"/>
      <c r="AC240" s="575"/>
      <c r="AD240" s="575"/>
      <c r="AE240" s="575"/>
      <c r="AF240" s="575"/>
      <c r="AG240" s="575"/>
      <c r="AH240" s="575"/>
      <c r="AI240" s="575"/>
      <c r="AJ240" s="575"/>
    </row>
    <row r="241" spans="1:36" s="627" customFormat="1" x14ac:dyDescent="0.35">
      <c r="A241" s="570"/>
      <c r="B241" s="570" t="str">
        <f t="shared" ref="B241:E241" si="153">B240</f>
        <v>Essential</v>
      </c>
      <c r="C241" s="570" t="str">
        <f t="shared" si="153"/>
        <v>Small business</v>
      </c>
      <c r="D241" s="570" t="str">
        <f t="shared" si="153"/>
        <v>time of use</v>
      </c>
      <c r="E241" s="570" t="str">
        <f t="shared" si="153"/>
        <v>time of use (Peak)</v>
      </c>
      <c r="F241" s="485">
        <f>F240</f>
        <v>4391.8015725295809</v>
      </c>
      <c r="G241" s="570" t="s">
        <v>155</v>
      </c>
      <c r="H241" s="574"/>
      <c r="I241" s="574" cm="1">
        <f t="array" ref="I241">_xlfn.XLOOKUP(1,($B241=DistributionZone)*($G241=Description)*($I$5=Desc_FixedOrVar),valuesPY,0)</f>
        <v>1.8634456011480964</v>
      </c>
      <c r="J241" s="574">
        <f>IF(AND(H241="",I241=""),"",H241+I241*$F241/1000)</f>
        <v>8.1838833214455402</v>
      </c>
      <c r="K241" s="575" t="str">
        <f>IFERROR(J241/J243,"")</f>
        <v/>
      </c>
      <c r="L241" s="576"/>
      <c r="M241" s="575">
        <f t="shared" si="149"/>
        <v>-0.8994584724775363</v>
      </c>
      <c r="N241" s="576"/>
      <c r="O241" s="574"/>
      <c r="P241" s="574" cm="1">
        <f t="array" ref="P241">_xlfn.XLOOKUP(1,($B241=DistributionZone)*($G241=Description)*($I$5=Desc_FixedOrVar),valuesFY,0)</f>
        <v>0.18735366719444529</v>
      </c>
      <c r="Q241" s="574">
        <f t="shared" si="150"/>
        <v>0.82282013020374856</v>
      </c>
      <c r="R241" s="575">
        <f>IFERROR(Q241/Q243,"")</f>
        <v>1.6903630557902553E-2</v>
      </c>
      <c r="S241" s="575"/>
      <c r="T241" s="649"/>
      <c r="U241" s="575"/>
      <c r="V241" s="575"/>
      <c r="W241" s="575"/>
      <c r="X241" s="575"/>
      <c r="Y241" s="575"/>
      <c r="Z241" s="575"/>
      <c r="AA241" s="575"/>
      <c r="AB241" s="575"/>
      <c r="AC241" s="575"/>
      <c r="AD241" s="575"/>
      <c r="AE241" s="575"/>
      <c r="AF241" s="575"/>
      <c r="AG241" s="575"/>
      <c r="AH241" s="575"/>
      <c r="AI241" s="575"/>
      <c r="AJ241" s="575"/>
    </row>
    <row r="242" spans="1:36" s="627" customFormat="1" x14ac:dyDescent="0.35">
      <c r="A242" s="570"/>
      <c r="B242" s="570" t="str">
        <f t="shared" ref="B242:E242" si="154">B241</f>
        <v>Essential</v>
      </c>
      <c r="C242" s="570" t="str">
        <f t="shared" si="154"/>
        <v>Small business</v>
      </c>
      <c r="D242" s="570" t="str">
        <f t="shared" si="154"/>
        <v>time of use</v>
      </c>
      <c r="E242" s="570" t="str">
        <f t="shared" si="154"/>
        <v>time of use (Peak)</v>
      </c>
      <c r="F242" s="485">
        <f>F241</f>
        <v>4391.8015725295809</v>
      </c>
      <c r="G242" s="570" t="s">
        <v>72</v>
      </c>
      <c r="H242" s="574"/>
      <c r="I242" s="574" cm="1">
        <f t="array" ref="I242">_xlfn.XLOOKUP(1,($B242=DistributionZone)*($C242=CustomerType)*($D242=tariffL2)*($G242=Description)*($I$5=Desc_FixedOrVar),valuesPY,0)*SUM(I238:I241)</f>
        <v>0</v>
      </c>
      <c r="J242" s="574">
        <f>IF(AND(H242="",I242=""),"",H242+I242*$F242/1000)</f>
        <v>0</v>
      </c>
      <c r="K242" s="575" t="str">
        <f>IFERROR(J242/J243,"")</f>
        <v/>
      </c>
      <c r="L242" s="576"/>
      <c r="M242" s="575" t="str">
        <f t="shared" si="149"/>
        <v/>
      </c>
      <c r="N242" s="576"/>
      <c r="O242" s="574"/>
      <c r="P242" s="574" cm="1">
        <f t="array" ref="P242">_xlfn.XLOOKUP(1,($B242=DistributionZone)*($C242=CustomerType)*($D242=tariffL2)*($G242=Description)*($P$5=Desc_FixedOrVar),valuesFY,0)*SUM(P238:P241)</f>
        <v>0.48131585371850832</v>
      </c>
      <c r="Q242" s="574">
        <f t="shared" si="150"/>
        <v>2.1138437232443623</v>
      </c>
      <c r="R242" s="575">
        <f>IFERROR(Q242/Q243,"")</f>
        <v>4.3425813301402785E-2</v>
      </c>
      <c r="S242" s="575"/>
      <c r="T242" s="649"/>
      <c r="U242" s="575"/>
      <c r="V242" s="575"/>
      <c r="W242" s="575"/>
      <c r="X242" s="575"/>
      <c r="Y242" s="575"/>
      <c r="Z242" s="575"/>
      <c r="AA242" s="575"/>
      <c r="AB242" s="575"/>
      <c r="AC242" s="575"/>
      <c r="AD242" s="575"/>
      <c r="AE242" s="575"/>
      <c r="AF242" s="575"/>
      <c r="AG242" s="575"/>
      <c r="AH242" s="575"/>
      <c r="AI242" s="575"/>
      <c r="AJ242" s="575"/>
    </row>
    <row r="243" spans="1:36" s="627" customFormat="1" x14ac:dyDescent="0.35">
      <c r="A243" s="570"/>
      <c r="B243" s="570" t="str">
        <f t="shared" ref="B243:E243" si="155">B242</f>
        <v>Essential</v>
      </c>
      <c r="C243" s="570" t="str">
        <f t="shared" si="155"/>
        <v>Small business</v>
      </c>
      <c r="D243" s="570" t="str">
        <f t="shared" si="155"/>
        <v>time of use</v>
      </c>
      <c r="E243" s="570" t="str">
        <f t="shared" si="155"/>
        <v>time of use (Peak)</v>
      </c>
      <c r="F243" s="485">
        <f>F242</f>
        <v>4391.8015725295809</v>
      </c>
      <c r="G243" s="571" t="s">
        <v>55</v>
      </c>
      <c r="H243" s="577">
        <f>IF($H$3=PY,0,SUM(H238:H242))</f>
        <v>0</v>
      </c>
      <c r="I243" s="577">
        <f>IF($H$3=PY,0,SUM(I238:I242))</f>
        <v>0</v>
      </c>
      <c r="J243" s="577">
        <f>IF($H$3=PY,0,SUM(J238:J242))</f>
        <v>0</v>
      </c>
      <c r="K243" s="578"/>
      <c r="L243" s="580"/>
      <c r="M243" s="578" t="str">
        <f t="shared" si="149"/>
        <v/>
      </c>
      <c r="N243" s="580"/>
      <c r="O243" s="577">
        <f>SUM(O238:O242)</f>
        <v>0</v>
      </c>
      <c r="P243" s="577">
        <f>SUM(P238:P242)</f>
        <v>11.083634758383681</v>
      </c>
      <c r="Q243" s="577">
        <f t="shared" si="150"/>
        <v>48.67712456121297</v>
      </c>
      <c r="R243" s="578"/>
      <c r="S243" s="578"/>
      <c r="T243" s="650"/>
      <c r="U243" s="578"/>
      <c r="V243" s="578"/>
      <c r="W243" s="578"/>
      <c r="X243" s="578"/>
      <c r="Y243" s="578"/>
      <c r="Z243" s="578"/>
      <c r="AA243" s="578"/>
      <c r="AB243" s="578"/>
      <c r="AC243" s="578"/>
      <c r="AD243" s="578"/>
      <c r="AE243" s="578"/>
      <c r="AF243" s="578"/>
      <c r="AG243" s="578"/>
      <c r="AH243" s="578"/>
      <c r="AI243" s="578"/>
      <c r="AJ243" s="578"/>
    </row>
    <row r="244" spans="1:36" s="627" customFormat="1" x14ac:dyDescent="0.35">
      <c r="A244" s="570"/>
      <c r="B244" s="570"/>
      <c r="C244" s="570"/>
      <c r="D244" s="570"/>
      <c r="E244" s="570"/>
      <c r="F244" s="485">
        <f>SUM(F232,F238)</f>
        <v>10000</v>
      </c>
      <c r="G244" s="571" t="s">
        <v>55</v>
      </c>
      <c r="H244" s="577">
        <f>SUM(H237,H243)</f>
        <v>0</v>
      </c>
      <c r="I244" s="577">
        <f t="shared" ref="I244:J244" si="156">SUM(I237,I243)</f>
        <v>0</v>
      </c>
      <c r="J244" s="577">
        <f t="shared" si="156"/>
        <v>0</v>
      </c>
      <c r="K244" s="578"/>
      <c r="L244" s="580"/>
      <c r="M244" s="578"/>
      <c r="N244" s="580"/>
      <c r="O244" s="577">
        <f t="shared" ref="O244:Q244" si="157">SUM(O237,O243)</f>
        <v>0</v>
      </c>
      <c r="P244" s="577">
        <f t="shared" si="157"/>
        <v>22.167269516767362</v>
      </c>
      <c r="Q244" s="577">
        <f t="shared" si="157"/>
        <v>110.83634758383681</v>
      </c>
      <c r="R244" s="578"/>
      <c r="S244" s="578"/>
      <c r="T244" s="650"/>
      <c r="U244" s="578"/>
      <c r="V244" s="578"/>
      <c r="W244" s="578"/>
      <c r="X244" s="578"/>
      <c r="Y244" s="578"/>
      <c r="Z244" s="578"/>
      <c r="AA244" s="578"/>
      <c r="AB244" s="578"/>
      <c r="AC244" s="578"/>
      <c r="AD244" s="578"/>
      <c r="AE244" s="578"/>
      <c r="AF244" s="578"/>
      <c r="AG244" s="578"/>
      <c r="AH244" s="578"/>
      <c r="AI244" s="578"/>
      <c r="AJ244" s="578"/>
    </row>
    <row r="245" spans="1:36" s="627" customFormat="1" x14ac:dyDescent="0.35">
      <c r="A245" s="570"/>
      <c r="B245" s="570" t="str">
        <f>B243</f>
        <v>Essential</v>
      </c>
      <c r="C245" s="570" t="str">
        <f>C243</f>
        <v>Small business</v>
      </c>
      <c r="D245" s="570" t="str">
        <f>D243</f>
        <v>time of use</v>
      </c>
      <c r="E245" s="570"/>
      <c r="F245" s="485"/>
      <c r="G245" s="570" t="s">
        <v>38</v>
      </c>
      <c r="H245" s="574"/>
      <c r="I245" s="574"/>
      <c r="J245" s="574">
        <f>J244*GST</f>
        <v>0</v>
      </c>
      <c r="K245" s="575"/>
      <c r="L245" s="582"/>
      <c r="M245" s="575"/>
      <c r="N245" s="582"/>
      <c r="O245" s="574"/>
      <c r="P245" s="574"/>
      <c r="Q245" s="574">
        <f>Q244*GST</f>
        <v>11.083634758383681</v>
      </c>
      <c r="R245" s="578"/>
      <c r="S245" s="578"/>
      <c r="T245" s="650"/>
      <c r="U245" s="578"/>
      <c r="V245" s="578"/>
      <c r="W245" s="578"/>
      <c r="X245" s="578"/>
      <c r="Y245" s="578"/>
      <c r="Z245" s="578"/>
      <c r="AA245" s="578"/>
      <c r="AB245" s="578"/>
      <c r="AC245" s="578"/>
      <c r="AD245" s="578"/>
      <c r="AE245" s="578"/>
      <c r="AF245" s="578"/>
      <c r="AG245" s="578"/>
      <c r="AH245" s="578"/>
      <c r="AI245" s="578"/>
      <c r="AJ245" s="578"/>
    </row>
    <row r="246" spans="1:36" s="627" customFormat="1" x14ac:dyDescent="0.35">
      <c r="A246" s="570"/>
      <c r="B246" s="570" t="str">
        <f t="shared" ref="B246:D246" si="158">B245</f>
        <v>Essential</v>
      </c>
      <c r="C246" s="570" t="str">
        <f t="shared" si="158"/>
        <v>Small business</v>
      </c>
      <c r="D246" s="570" t="str">
        <f t="shared" si="158"/>
        <v>time of use</v>
      </c>
      <c r="E246" s="570" t="s">
        <v>272</v>
      </c>
      <c r="F246" s="485"/>
      <c r="G246" s="571" t="s">
        <v>79</v>
      </c>
      <c r="H246" s="577"/>
      <c r="I246" s="577"/>
      <c r="J246" s="577">
        <f>SUM(J244:J245)</f>
        <v>0</v>
      </c>
      <c r="K246" s="578"/>
      <c r="L246" s="580"/>
      <c r="M246" s="578" t="str">
        <f>IF(OR(J246=0,Q246=""),"",Q246/J246-1)</f>
        <v/>
      </c>
      <c r="N246" s="580"/>
      <c r="O246" s="577"/>
      <c r="P246" s="577"/>
      <c r="Q246" s="577">
        <f>SUM(Q244:Q245)</f>
        <v>121.91998234222049</v>
      </c>
      <c r="R246" s="578"/>
      <c r="S246" s="578"/>
      <c r="T246" s="650"/>
      <c r="U246" s="578"/>
      <c r="V246" s="578"/>
      <c r="W246" s="578"/>
      <c r="X246" s="578"/>
      <c r="Y246" s="578"/>
      <c r="Z246" s="578"/>
      <c r="AA246" s="578"/>
      <c r="AB246" s="578"/>
      <c r="AC246" s="578"/>
      <c r="AD246" s="578"/>
      <c r="AE246" s="578"/>
      <c r="AF246" s="578"/>
      <c r="AG246" s="578"/>
      <c r="AH246" s="578"/>
      <c r="AI246" s="578"/>
      <c r="AJ246" s="578"/>
    </row>
    <row r="247" spans="1:36" s="627" customFormat="1" x14ac:dyDescent="0.35">
      <c r="A247" s="570"/>
      <c r="B247" s="570"/>
      <c r="C247" s="570"/>
      <c r="D247" s="570"/>
      <c r="E247" s="570"/>
      <c r="F247" s="485"/>
      <c r="G247" s="570"/>
      <c r="H247" s="574"/>
      <c r="I247" s="574"/>
      <c r="J247" s="574"/>
      <c r="K247" s="575"/>
      <c r="L247" s="582"/>
      <c r="M247" s="575"/>
      <c r="N247" s="582"/>
      <c r="O247" s="574"/>
      <c r="P247" s="574"/>
      <c r="Q247" s="574"/>
      <c r="R247" s="575"/>
      <c r="S247" s="575"/>
      <c r="T247" s="649"/>
      <c r="U247" s="575"/>
      <c r="V247" s="575"/>
      <c r="W247" s="575"/>
      <c r="X247" s="575"/>
      <c r="Y247" s="575"/>
      <c r="Z247" s="575"/>
      <c r="AA247" s="575"/>
      <c r="AB247" s="575"/>
      <c r="AC247" s="575"/>
      <c r="AD247" s="575"/>
      <c r="AE247" s="575"/>
      <c r="AF247" s="575"/>
      <c r="AG247" s="575"/>
      <c r="AH247" s="575"/>
      <c r="AI247" s="575"/>
      <c r="AJ247" s="575"/>
    </row>
    <row r="248" spans="1:36" s="65" customFormat="1" x14ac:dyDescent="0.35">
      <c r="A248" s="30"/>
      <c r="B248" s="64" t="s">
        <v>0</v>
      </c>
      <c r="C248" s="64" t="s">
        <v>6</v>
      </c>
      <c r="D248" s="64" t="s">
        <v>276</v>
      </c>
      <c r="E248" s="30"/>
      <c r="F248" s="258"/>
      <c r="G248" s="30"/>
      <c r="H248" s="482"/>
      <c r="I248" s="482"/>
      <c r="J248" s="482"/>
      <c r="K248" s="484"/>
      <c r="L248" s="568"/>
      <c r="M248" s="484"/>
      <c r="N248" s="568"/>
      <c r="O248" s="482"/>
      <c r="P248" s="482"/>
      <c r="Q248" s="482"/>
      <c r="R248" s="484"/>
      <c r="S248" s="484"/>
      <c r="T248" s="644"/>
      <c r="U248" s="484"/>
      <c r="V248" s="484"/>
      <c r="W248" s="484"/>
      <c r="X248" s="484"/>
      <c r="Y248" s="484"/>
      <c r="Z248" s="484"/>
      <c r="AA248" s="484"/>
      <c r="AB248" s="484"/>
      <c r="AC248" s="484"/>
      <c r="AD248" s="484"/>
      <c r="AE248" s="484"/>
      <c r="AF248" s="484"/>
      <c r="AG248" s="484"/>
      <c r="AH248" s="484"/>
      <c r="AI248" s="484"/>
      <c r="AJ248" s="484"/>
    </row>
    <row r="249" spans="1:36" s="65" customFormat="1" x14ac:dyDescent="0.35">
      <c r="A249" s="30"/>
      <c r="B249" s="30" t="str">
        <f t="shared" ref="B249:D254" si="159">B248</f>
        <v>Energex</v>
      </c>
      <c r="C249" s="30" t="str">
        <f t="shared" si="159"/>
        <v>Residential</v>
      </c>
      <c r="D249" s="30" t="str">
        <f t="shared" si="159"/>
        <v>flat rate</v>
      </c>
      <c r="E249" s="30" t="s">
        <v>19</v>
      </c>
      <c r="F249" s="258" cm="1">
        <f t="array" ref="F249">IFERROR(_xlfn.XLOOKUP(1,($B249=DistributionZone)*($C249=CustomerType)*($E249=tariffType)*(F$5=Description)*($D249=tariffL2),valuesFY),0)</f>
        <v>4600</v>
      </c>
      <c r="G249" s="30" t="s">
        <v>73</v>
      </c>
      <c r="H249" s="482"/>
      <c r="I249" s="482" cm="1">
        <f t="array" ref="I249">_xlfn.XLOOKUP(1,($B249=DistributionZone)*($G249=Description)*($I$5=Desc_FixedOrVar),valuesPY,0)</f>
        <v>6.1170426505850894</v>
      </c>
      <c r="J249" s="482">
        <f>IF(AND(H249="",I249=""),"",H249+I249*$F249/1000)</f>
        <v>28.138396192691413</v>
      </c>
      <c r="K249" s="484">
        <f>IFERROR(J249/J252,"")</f>
        <v>0.51325965918250482</v>
      </c>
      <c r="L249" s="563"/>
      <c r="M249" s="484">
        <f>IF(OR(J249=0,Q249=""),"",Q249/J249-1)</f>
        <v>-0.48482055209325359</v>
      </c>
      <c r="N249" s="563"/>
      <c r="O249" s="482"/>
      <c r="P249" s="482" cm="1">
        <f t="array" ref="P249">_xlfn.XLOOKUP(1,($B249=DistributionZone)*($G249=Description)*($I$5=Desc_FixedOrVar),valuesFY,0)</f>
        <v>3.1513746555504474</v>
      </c>
      <c r="Q249" s="482">
        <f>IF(AND(O249="",P249=""),"",O249+P249*$F249/1000)</f>
        <v>14.496323415532059</v>
      </c>
      <c r="R249" s="484">
        <f>IFERROR(Q249/Q252,"")</f>
        <v>0.38998833958343421</v>
      </c>
      <c r="S249" s="484"/>
      <c r="T249" s="645"/>
      <c r="U249" s="484"/>
      <c r="V249" s="484"/>
      <c r="W249" s="484"/>
      <c r="X249" s="484"/>
      <c r="Y249" s="484"/>
      <c r="Z249" s="484"/>
      <c r="AA249" s="484"/>
      <c r="AB249" s="484"/>
      <c r="AC249" s="484"/>
      <c r="AD249" s="484"/>
      <c r="AE249" s="484"/>
      <c r="AF249" s="484"/>
      <c r="AG249" s="484"/>
      <c r="AH249" s="484"/>
      <c r="AI249" s="484"/>
      <c r="AJ249" s="484"/>
    </row>
    <row r="250" spans="1:36" s="65" customFormat="1" x14ac:dyDescent="0.35">
      <c r="A250" s="30"/>
      <c r="B250" s="30" t="str">
        <f t="shared" si="159"/>
        <v>Energex</v>
      </c>
      <c r="C250" s="30" t="str">
        <f t="shared" si="159"/>
        <v>Residential</v>
      </c>
      <c r="D250" s="30" t="str">
        <f t="shared" si="159"/>
        <v>flat rate</v>
      </c>
      <c r="E250" s="30" t="s">
        <v>19</v>
      </c>
      <c r="F250" s="258">
        <f>F249</f>
        <v>4600</v>
      </c>
      <c r="G250" s="30" t="s">
        <v>74</v>
      </c>
      <c r="H250" s="482"/>
      <c r="I250" s="482" cm="1">
        <f t="array" ref="I250">_xlfn.XLOOKUP(1,($B250=DistributionZone)*($G250=Description)*($I$5=Desc_FixedOrVar),valuesPY,0)</f>
        <v>5.1359999999999992</v>
      </c>
      <c r="J250" s="482">
        <f>IF(AND(H250="",I250=""),"",H250+I250*$F250/1000)</f>
        <v>23.625599999999995</v>
      </c>
      <c r="K250" s="484">
        <f>IFERROR(J250/J252,"")</f>
        <v>0.43094380081021721</v>
      </c>
      <c r="L250" s="563"/>
      <c r="M250" s="484">
        <f>IF(OR(J250=0,Q250=""),"",Q250/J250-1)</f>
        <v>-0.12694704049844219</v>
      </c>
      <c r="N250" s="563"/>
      <c r="O250" s="482"/>
      <c r="P250" s="482" cm="1">
        <f t="array" ref="P250">_xlfn.XLOOKUP(1,($B250=DistributionZone)*($G250=Description)*($I$5=Desc_FixedOrVar),valuesFY,0)</f>
        <v>4.484</v>
      </c>
      <c r="Q250" s="482">
        <f>IF(AND(O250="",P250=""),"",O250+P250*$F250/1000)</f>
        <v>20.6264</v>
      </c>
      <c r="R250" s="484">
        <f>IFERROR(Q250/Q252,"")</f>
        <v>0.55490314730181578</v>
      </c>
      <c r="S250" s="484"/>
      <c r="T250" s="644"/>
      <c r="U250" s="484"/>
      <c r="V250" s="484"/>
      <c r="W250" s="484"/>
      <c r="X250" s="484"/>
      <c r="Y250" s="484"/>
      <c r="Z250" s="484"/>
      <c r="AA250" s="484"/>
      <c r="AB250" s="484"/>
      <c r="AC250" s="484"/>
      <c r="AD250" s="484"/>
      <c r="AE250" s="484"/>
      <c r="AF250" s="484"/>
      <c r="AG250" s="484"/>
      <c r="AH250" s="484"/>
      <c r="AI250" s="484"/>
      <c r="AJ250" s="484"/>
    </row>
    <row r="251" spans="1:36" s="65" customFormat="1" x14ac:dyDescent="0.35">
      <c r="A251" s="30"/>
      <c r="B251" s="30" t="str">
        <f t="shared" si="159"/>
        <v>Energex</v>
      </c>
      <c r="C251" s="30" t="str">
        <f t="shared" si="159"/>
        <v>Residential</v>
      </c>
      <c r="D251" s="30" t="str">
        <f t="shared" si="159"/>
        <v>flat rate</v>
      </c>
      <c r="E251" s="30" t="s">
        <v>19</v>
      </c>
      <c r="F251" s="258">
        <f>F250</f>
        <v>4600</v>
      </c>
      <c r="G251" s="30" t="s">
        <v>72</v>
      </c>
      <c r="H251" s="482"/>
      <c r="I251" s="482" cm="1">
        <f t="array" ref="I251">_xlfn.XLOOKUP(1,($B251=DistributionZone)*($C251=CustomerType)*($D251=tariffL2)*($E251=tariffType)*($G251=Description)*($I$5=Desc_FixedOrVar),valuesPY,0)*SUM(I249:I250)</f>
        <v>0.6649846892764153</v>
      </c>
      <c r="J251" s="482">
        <f>IF(AND(H251="",I251=""),"",H251+I251*$F251/1000)</f>
        <v>3.0589295706715101</v>
      </c>
      <c r="K251" s="484">
        <f>IFERROR(J251/J252,"")</f>
        <v>5.5796540007277989E-2</v>
      </c>
      <c r="L251" s="563"/>
      <c r="M251" s="484">
        <f>IF(OR(J251=0,Q251=""),"",Q251/J251-1)</f>
        <v>-0.33033829665406289</v>
      </c>
      <c r="N251" s="563"/>
      <c r="O251" s="482"/>
      <c r="P251" s="482" cm="1">
        <f t="array" ref="P251">_xlfn.XLOOKUP(1,($B251=DistributionZone)*($C251=CustomerType)*($D251=tariffL2)*($E251=tariffType)*($G251=Description)*($P$5=Desc_FixedOrVar),valuesFY,0)*SUM(P249:P250)</f>
        <v>0.44531477971981298</v>
      </c>
      <c r="Q251" s="482">
        <f>IF(AND(O251="",P251=""),"",O251+P251*$F251/1000)</f>
        <v>2.0484479867111394</v>
      </c>
      <c r="R251" s="484">
        <f>IFERROR(Q251/Q252,"")</f>
        <v>5.5108513114749999E-2</v>
      </c>
      <c r="S251" s="484"/>
      <c r="T251" s="644"/>
      <c r="U251" s="484"/>
      <c r="V251" s="484"/>
      <c r="W251" s="484"/>
      <c r="X251" s="484"/>
      <c r="Y251" s="484"/>
      <c r="Z251" s="484"/>
      <c r="AA251" s="484"/>
      <c r="AB251" s="484"/>
      <c r="AC251" s="484"/>
      <c r="AD251" s="484"/>
      <c r="AE251" s="484"/>
      <c r="AF251" s="484"/>
      <c r="AG251" s="484"/>
      <c r="AH251" s="484"/>
      <c r="AI251" s="484"/>
      <c r="AJ251" s="484"/>
    </row>
    <row r="252" spans="1:36" s="65" customFormat="1" x14ac:dyDescent="0.35">
      <c r="A252" s="30"/>
      <c r="B252" s="30" t="str">
        <f t="shared" si="159"/>
        <v>Energex</v>
      </c>
      <c r="C252" s="30" t="str">
        <f t="shared" si="159"/>
        <v>Residential</v>
      </c>
      <c r="D252" s="30" t="str">
        <f t="shared" si="159"/>
        <v>flat rate</v>
      </c>
      <c r="E252" s="30" t="s">
        <v>19</v>
      </c>
      <c r="F252" s="258">
        <f>F251</f>
        <v>4600</v>
      </c>
      <c r="G252" s="64" t="s">
        <v>55</v>
      </c>
      <c r="H252" s="487">
        <f>SUM(H230:H251)</f>
        <v>0</v>
      </c>
      <c r="I252" s="487">
        <f>SUM(I249:I251)</f>
        <v>11.918027339861505</v>
      </c>
      <c r="J252" s="487">
        <f>SUM(J249:J251)</f>
        <v>54.822925763362917</v>
      </c>
      <c r="K252" s="564"/>
      <c r="L252" s="566"/>
      <c r="M252" s="564">
        <f>IF(OR(J252=0,Q252=""),"",Q252/J252-1)</f>
        <v>-0.32197760545125886</v>
      </c>
      <c r="N252" s="566"/>
      <c r="O252" s="487">
        <f>SUM(O249:O251)</f>
        <v>0</v>
      </c>
      <c r="P252" s="487">
        <f>SUM(P249:P251)</f>
        <v>8.0806894352702603</v>
      </c>
      <c r="Q252" s="487">
        <f>IF(AND(O252="",P252=""),"",O252+P252*$F252/1000)</f>
        <v>37.171171402243196</v>
      </c>
      <c r="R252" s="564"/>
      <c r="S252" s="564"/>
      <c r="T252" s="646"/>
      <c r="U252" s="564"/>
      <c r="V252" s="564"/>
      <c r="W252" s="564"/>
      <c r="X252" s="564"/>
      <c r="Y252" s="564"/>
      <c r="Z252" s="564"/>
      <c r="AA252" s="564"/>
      <c r="AB252" s="564"/>
      <c r="AC252" s="564"/>
      <c r="AD252" s="564"/>
      <c r="AE252" s="564"/>
      <c r="AF252" s="564"/>
      <c r="AG252" s="564"/>
      <c r="AH252" s="564"/>
      <c r="AI252" s="564"/>
      <c r="AJ252" s="564"/>
    </row>
    <row r="253" spans="1:36" s="65" customFormat="1" x14ac:dyDescent="0.35">
      <c r="A253" s="30"/>
      <c r="B253" s="30" t="str">
        <f t="shared" si="159"/>
        <v>Energex</v>
      </c>
      <c r="C253" s="30" t="str">
        <f t="shared" si="159"/>
        <v>Residential</v>
      </c>
      <c r="D253" s="30" t="str">
        <f t="shared" si="159"/>
        <v>flat rate</v>
      </c>
      <c r="E253" s="30"/>
      <c r="F253" s="258"/>
      <c r="G253" s="30" t="s">
        <v>38</v>
      </c>
      <c r="H253" s="482"/>
      <c r="I253" s="482"/>
      <c r="J253" s="482">
        <f>J252*GST</f>
        <v>5.4822925763362917</v>
      </c>
      <c r="K253" s="484"/>
      <c r="L253" s="568"/>
      <c r="M253" s="484"/>
      <c r="N253" s="568"/>
      <c r="O253" s="482"/>
      <c r="P253" s="482"/>
      <c r="Q253" s="482">
        <f>Q252*GST</f>
        <v>3.7171171402243197</v>
      </c>
      <c r="R253" s="564"/>
      <c r="S253" s="564"/>
      <c r="T253" s="646"/>
      <c r="U253" s="564"/>
      <c r="V253" s="564"/>
      <c r="W253" s="564"/>
      <c r="X253" s="564"/>
      <c r="Y253" s="564"/>
      <c r="Z253" s="564"/>
      <c r="AA253" s="564"/>
      <c r="AB253" s="564"/>
      <c r="AC253" s="564"/>
      <c r="AD253" s="564"/>
      <c r="AE253" s="564"/>
      <c r="AF253" s="564"/>
      <c r="AG253" s="564"/>
      <c r="AH253" s="564"/>
      <c r="AI253" s="564"/>
      <c r="AJ253" s="564"/>
    </row>
    <row r="254" spans="1:36" s="65" customFormat="1" x14ac:dyDescent="0.35">
      <c r="A254" s="30"/>
      <c r="B254" s="30" t="str">
        <f t="shared" si="159"/>
        <v>Energex</v>
      </c>
      <c r="C254" s="30" t="str">
        <f t="shared" si="159"/>
        <v>Residential</v>
      </c>
      <c r="D254" s="30" t="str">
        <f t="shared" si="159"/>
        <v>flat rate</v>
      </c>
      <c r="E254" s="30"/>
      <c r="F254" s="258"/>
      <c r="G254" s="64" t="s">
        <v>79</v>
      </c>
      <c r="H254" s="487"/>
      <c r="I254" s="487"/>
      <c r="J254" s="487">
        <f>SUM(J252:J253)</f>
        <v>60.305218339699209</v>
      </c>
      <c r="K254" s="564"/>
      <c r="L254" s="566"/>
      <c r="M254" s="564">
        <f>IF(OR(J254=0,Q254=""),"",Q254/J254-1)</f>
        <v>-0.32197760545125886</v>
      </c>
      <c r="N254" s="566"/>
      <c r="O254" s="487"/>
      <c r="P254" s="487"/>
      <c r="Q254" s="487">
        <f>SUM(Q252:Q253)</f>
        <v>40.888288542467514</v>
      </c>
      <c r="R254" s="564"/>
      <c r="S254" s="564"/>
      <c r="T254" s="646"/>
      <c r="U254" s="564"/>
      <c r="V254" s="564"/>
      <c r="W254" s="564"/>
      <c r="X254" s="564"/>
      <c r="Y254" s="564"/>
      <c r="Z254" s="564"/>
      <c r="AA254" s="564"/>
      <c r="AB254" s="564"/>
      <c r="AC254" s="564"/>
      <c r="AD254" s="564"/>
      <c r="AE254" s="564"/>
      <c r="AF254" s="564"/>
      <c r="AG254" s="564"/>
      <c r="AH254" s="564"/>
      <c r="AI254" s="564"/>
      <c r="AJ254" s="564"/>
    </row>
    <row r="255" spans="1:36" s="65" customFormat="1" x14ac:dyDescent="0.35">
      <c r="A255" s="30"/>
      <c r="B255" s="30"/>
      <c r="C255" s="30"/>
      <c r="D255" s="30"/>
      <c r="E255" s="30"/>
      <c r="F255" s="258"/>
      <c r="G255" s="30"/>
      <c r="H255" s="482"/>
      <c r="I255" s="482"/>
      <c r="J255" s="482"/>
      <c r="K255" s="484"/>
      <c r="L255" s="568"/>
      <c r="M255" s="484"/>
      <c r="N255" s="568"/>
      <c r="O255" s="482"/>
      <c r="P255" s="482"/>
      <c r="Q255" s="482"/>
      <c r="R255" s="484"/>
      <c r="S255" s="484"/>
      <c r="T255" s="644"/>
      <c r="U255" s="484"/>
      <c r="V255" s="484"/>
      <c r="W255" s="484"/>
      <c r="X255" s="484"/>
      <c r="Y255" s="484"/>
      <c r="Z255" s="484"/>
      <c r="AA255" s="484"/>
      <c r="AB255" s="484"/>
      <c r="AC255" s="484"/>
      <c r="AD255" s="484"/>
      <c r="AE255" s="484"/>
      <c r="AF255" s="484"/>
      <c r="AG255" s="484"/>
      <c r="AH255" s="484"/>
      <c r="AI255" s="484"/>
      <c r="AJ255" s="484"/>
    </row>
    <row r="256" spans="1:36" s="627" customFormat="1" x14ac:dyDescent="0.35">
      <c r="A256" s="570"/>
      <c r="B256" s="571" t="s">
        <v>0</v>
      </c>
      <c r="C256" s="571" t="s">
        <v>6</v>
      </c>
      <c r="D256" s="571" t="s">
        <v>272</v>
      </c>
      <c r="E256" s="570"/>
      <c r="F256" s="485"/>
      <c r="G256" s="570"/>
      <c r="H256" s="574"/>
      <c r="I256" s="574"/>
      <c r="J256" s="574"/>
      <c r="K256" s="575"/>
      <c r="L256" s="582"/>
      <c r="M256" s="575"/>
      <c r="N256" s="582"/>
      <c r="O256" s="574"/>
      <c r="P256" s="574"/>
      <c r="Q256" s="574"/>
      <c r="R256" s="575"/>
      <c r="S256" s="575"/>
      <c r="T256" s="649"/>
      <c r="U256" s="575"/>
      <c r="V256" s="575"/>
      <c r="W256" s="575"/>
      <c r="X256" s="575"/>
      <c r="Y256" s="575"/>
      <c r="Z256" s="575"/>
      <c r="AA256" s="575"/>
      <c r="AB256" s="575"/>
      <c r="AC256" s="575"/>
      <c r="AD256" s="575"/>
      <c r="AE256" s="575"/>
      <c r="AF256" s="575"/>
      <c r="AG256" s="575"/>
      <c r="AH256" s="575"/>
      <c r="AI256" s="575"/>
      <c r="AJ256" s="575"/>
    </row>
    <row r="257" spans="1:36" s="627" customFormat="1" x14ac:dyDescent="0.35">
      <c r="A257" s="570"/>
      <c r="B257" s="570" t="str">
        <f t="shared" ref="B257:D257" si="160">B256</f>
        <v>Energex</v>
      </c>
      <c r="C257" s="570" t="str">
        <f t="shared" si="160"/>
        <v>Residential</v>
      </c>
      <c r="D257" s="570" t="str">
        <f t="shared" si="160"/>
        <v>time of use</v>
      </c>
      <c r="E257" s="570" t="s">
        <v>279</v>
      </c>
      <c r="F257" s="485" cm="1">
        <f t="array" ref="F257">_xlfn.XLOOKUP(1,($B257=DistributionZone)*($C257=CustomerType)*($D257=tariffL2)*($F$5=Description),valuesPY)*_xlfn.XLOOKUP(1,($B257=DistributionZone)*($C257=CustomerType)*($D257=tariffL2)*($E257=tariffType)*("Usage proportion"=Description),valuesFY)</f>
        <v>1085.7113608025084</v>
      </c>
      <c r="G257" s="570" t="s">
        <v>73</v>
      </c>
      <c r="H257" s="574"/>
      <c r="I257" s="574" cm="1">
        <f t="array" ref="I257">_xlfn.XLOOKUP(1,($B257=DistributionZone)*($G257=Description)*($I$5=Desc_FixedOrVar),valuesPY,0)</f>
        <v>6.1170426505850894</v>
      </c>
      <c r="J257" s="574">
        <f>IF(AND(H257="",I257=""),"",H257+I257*$F257/1000)</f>
        <v>6.6413427002537198</v>
      </c>
      <c r="K257" s="575" t="str">
        <f>IFERROR(J257/J260,"")</f>
        <v/>
      </c>
      <c r="L257" s="576"/>
      <c r="M257" s="575">
        <f t="shared" ref="M257:M268" si="161">IF(OR(J257=0,Q257=""),"",Q257/J257-1)</f>
        <v>-0.48482055209325348</v>
      </c>
      <c r="N257" s="576"/>
      <c r="O257" s="574"/>
      <c r="P257" s="574" cm="1">
        <f t="array" ref="P257">_xlfn.XLOOKUP(1,($B257=DistributionZone)*($G257=Description)*($I$5=Desc_FixedOrVar),valuesFY,0)</f>
        <v>3.1513746555504474</v>
      </c>
      <c r="Q257" s="574">
        <f t="shared" ref="Q257:Q268" si="162">IF(AND(O257="",P257=""),"",O257+P257*$F257/1000)</f>
        <v>3.4214832656762124</v>
      </c>
      <c r="R257" s="575">
        <f>IFERROR(Q257/Q260,"")</f>
        <v>0.38998833958343421</v>
      </c>
      <c r="S257" s="575"/>
      <c r="T257" s="634"/>
      <c r="U257" s="575"/>
      <c r="V257" s="575"/>
      <c r="W257" s="575"/>
      <c r="X257" s="575"/>
      <c r="Y257" s="575"/>
      <c r="Z257" s="575"/>
      <c r="AA257" s="575"/>
      <c r="AB257" s="575"/>
      <c r="AC257" s="575"/>
      <c r="AD257" s="575"/>
      <c r="AE257" s="575"/>
      <c r="AF257" s="575"/>
      <c r="AG257" s="575"/>
      <c r="AH257" s="575"/>
      <c r="AI257" s="575"/>
      <c r="AJ257" s="575"/>
    </row>
    <row r="258" spans="1:36" s="627" customFormat="1" x14ac:dyDescent="0.35">
      <c r="A258" s="570"/>
      <c r="B258" s="570" t="str">
        <f t="shared" ref="B258:E258" si="163">B257</f>
        <v>Energex</v>
      </c>
      <c r="C258" s="570" t="str">
        <f t="shared" si="163"/>
        <v>Residential</v>
      </c>
      <c r="D258" s="570" t="str">
        <f t="shared" si="163"/>
        <v>time of use</v>
      </c>
      <c r="E258" s="570" t="str">
        <f t="shared" si="163"/>
        <v>time of use (Off-peak)</v>
      </c>
      <c r="F258" s="485">
        <f>F257</f>
        <v>1085.7113608025084</v>
      </c>
      <c r="G258" s="570" t="s">
        <v>74</v>
      </c>
      <c r="H258" s="574"/>
      <c r="I258" s="574" cm="1">
        <f t="array" ref="I258">_xlfn.XLOOKUP(1,($B258=DistributionZone)*($G258=Description)*($I$5=Desc_FixedOrVar),valuesPY,0)</f>
        <v>5.1359999999999992</v>
      </c>
      <c r="J258" s="574">
        <f>IF(AND(H258="",I258=""),"",H258+I258*$F258/1000)</f>
        <v>5.5762135490816815</v>
      </c>
      <c r="K258" s="575" t="str">
        <f>IFERROR(J258/J260,"")</f>
        <v/>
      </c>
      <c r="L258" s="576"/>
      <c r="M258" s="575">
        <f t="shared" si="161"/>
        <v>-0.12694704049844208</v>
      </c>
      <c r="N258" s="576"/>
      <c r="O258" s="574"/>
      <c r="P258" s="574" cm="1">
        <f t="array" ref="P258">_xlfn.XLOOKUP(1,($B258=DistributionZone)*($G258=Description)*($I$5=Desc_FixedOrVar),valuesFY,0)</f>
        <v>4.484</v>
      </c>
      <c r="Q258" s="574">
        <f t="shared" si="162"/>
        <v>4.8683297418384477</v>
      </c>
      <c r="R258" s="575">
        <f>IFERROR(Q258/Q260,"")</f>
        <v>0.55490314730181578</v>
      </c>
      <c r="S258" s="575"/>
      <c r="T258" s="649"/>
      <c r="U258" s="575"/>
      <c r="V258" s="575"/>
      <c r="W258" s="575"/>
      <c r="X258" s="575"/>
      <c r="Y258" s="575"/>
      <c r="Z258" s="575"/>
      <c r="AA258" s="575"/>
      <c r="AB258" s="575"/>
      <c r="AC258" s="575"/>
      <c r="AD258" s="575"/>
      <c r="AE258" s="575"/>
      <c r="AF258" s="575"/>
      <c r="AG258" s="575"/>
      <c r="AH258" s="575"/>
      <c r="AI258" s="575"/>
      <c r="AJ258" s="575"/>
    </row>
    <row r="259" spans="1:36" s="627" customFormat="1" x14ac:dyDescent="0.35">
      <c r="A259" s="570"/>
      <c r="B259" s="570" t="str">
        <f t="shared" ref="B259:E259" si="164">B258</f>
        <v>Energex</v>
      </c>
      <c r="C259" s="570" t="str">
        <f t="shared" si="164"/>
        <v>Residential</v>
      </c>
      <c r="D259" s="570" t="str">
        <f t="shared" si="164"/>
        <v>time of use</v>
      </c>
      <c r="E259" s="570" t="str">
        <f t="shared" si="164"/>
        <v>time of use (Off-peak)</v>
      </c>
      <c r="F259" s="485">
        <f>F258</f>
        <v>1085.7113608025084</v>
      </c>
      <c r="G259" s="570" t="s">
        <v>72</v>
      </c>
      <c r="H259" s="574"/>
      <c r="I259" s="574" cm="1">
        <f t="array" ref="I259">_xlfn.XLOOKUP(1,($B259=DistributionZone)*($C259=CustomerType)*($D259=tariffL2)*($G259=Description)*($I$5=Desc_FixedOrVar),valuesPY,0)*SUM(I257:I258)</f>
        <v>0</v>
      </c>
      <c r="J259" s="574">
        <f>IF(AND(H259="",I259=""),"",H259+I259*$F259/1000)</f>
        <v>0</v>
      </c>
      <c r="K259" s="575" t="str">
        <f>IFERROR(J259/J260,"")</f>
        <v/>
      </c>
      <c r="L259" s="576"/>
      <c r="M259" s="575" t="str">
        <f t="shared" si="161"/>
        <v/>
      </c>
      <c r="N259" s="576"/>
      <c r="O259" s="574"/>
      <c r="P259" s="574" cm="1">
        <f t="array" ref="P259">_xlfn.XLOOKUP(1,($B259=DistributionZone)*($C259=CustomerType)*($D259=tariffL2)*($G259=Description)*($P$5=Desc_FixedOrVar),valuesFY,0)*SUM(P257:P258)</f>
        <v>0.44531477971981298</v>
      </c>
      <c r="Q259" s="574">
        <f t="shared" si="162"/>
        <v>0.4834833154750674</v>
      </c>
      <c r="R259" s="575">
        <f>IFERROR(Q259/Q260,"")</f>
        <v>5.5108513114750006E-2</v>
      </c>
      <c r="S259" s="575"/>
      <c r="T259" s="649"/>
      <c r="U259" s="575"/>
      <c r="V259" s="575"/>
      <c r="W259" s="575"/>
      <c r="X259" s="575"/>
      <c r="Y259" s="575"/>
      <c r="Z259" s="575"/>
      <c r="AA259" s="575"/>
      <c r="AB259" s="575"/>
      <c r="AC259" s="575"/>
      <c r="AD259" s="575"/>
      <c r="AE259" s="575"/>
      <c r="AF259" s="575"/>
      <c r="AG259" s="575"/>
      <c r="AH259" s="575"/>
      <c r="AI259" s="575"/>
      <c r="AJ259" s="575"/>
    </row>
    <row r="260" spans="1:36" s="627" customFormat="1" x14ac:dyDescent="0.35">
      <c r="A260" s="570"/>
      <c r="B260" s="570" t="str">
        <f t="shared" ref="B260:E260" si="165">B259</f>
        <v>Energex</v>
      </c>
      <c r="C260" s="570" t="str">
        <f t="shared" si="165"/>
        <v>Residential</v>
      </c>
      <c r="D260" s="570" t="str">
        <f t="shared" si="165"/>
        <v>time of use</v>
      </c>
      <c r="E260" s="570" t="str">
        <f t="shared" si="165"/>
        <v>time of use (Off-peak)</v>
      </c>
      <c r="F260" s="485">
        <f>F259</f>
        <v>1085.7113608025084</v>
      </c>
      <c r="G260" s="571" t="s">
        <v>55</v>
      </c>
      <c r="H260" s="577">
        <f>IF($H$3=PY,0,SUM(H257:H259))</f>
        <v>0</v>
      </c>
      <c r="I260" s="577">
        <f>IF($H$3=PY,0,SUM(I257:I259))</f>
        <v>0</v>
      </c>
      <c r="J260" s="577">
        <f>IF($H$3=PY,0,SUM(J257:J259))</f>
        <v>0</v>
      </c>
      <c r="K260" s="578"/>
      <c r="L260" s="580"/>
      <c r="M260" s="578" t="str">
        <f t="shared" si="161"/>
        <v/>
      </c>
      <c r="N260" s="580"/>
      <c r="O260" s="577">
        <f>SUM(O257:O259)</f>
        <v>0</v>
      </c>
      <c r="P260" s="577">
        <f>SUM(P257:P259)</f>
        <v>8.0806894352702603</v>
      </c>
      <c r="Q260" s="577">
        <f t="shared" si="162"/>
        <v>8.7732963229897276</v>
      </c>
      <c r="R260" s="578"/>
      <c r="S260" s="578"/>
      <c r="T260" s="650"/>
      <c r="U260" s="578"/>
      <c r="V260" s="578"/>
      <c r="W260" s="578"/>
      <c r="X260" s="578"/>
      <c r="Y260" s="578"/>
      <c r="Z260" s="578"/>
      <c r="AA260" s="578"/>
      <c r="AB260" s="578"/>
      <c r="AC260" s="578"/>
      <c r="AD260" s="578"/>
      <c r="AE260" s="578"/>
      <c r="AF260" s="578"/>
      <c r="AG260" s="578"/>
      <c r="AH260" s="578"/>
      <c r="AI260" s="578"/>
      <c r="AJ260" s="578"/>
    </row>
    <row r="261" spans="1:36" s="627" customFormat="1" x14ac:dyDescent="0.35">
      <c r="A261" s="570"/>
      <c r="B261" s="570" t="str">
        <f t="shared" ref="B261:D261" si="166">B260</f>
        <v>Energex</v>
      </c>
      <c r="C261" s="570" t="str">
        <f t="shared" si="166"/>
        <v>Residential</v>
      </c>
      <c r="D261" s="570" t="str">
        <f t="shared" si="166"/>
        <v>time of use</v>
      </c>
      <c r="E261" s="570" t="s">
        <v>278</v>
      </c>
      <c r="F261" s="485" cm="1">
        <f t="array" ref="F261">_xlfn.XLOOKUP(1,($B261=DistributionZone)*($C261=CustomerType)*($D261=tariffL2)*($F$5=Description),valuesPY)*_xlfn.XLOOKUP(1,($B261=DistributionZone)*($C261=CustomerType)*($D261=tariffL2)*($E261=tariffType)*("Usage proportion"=Description),valuesFY)</f>
        <v>1333.0887059264937</v>
      </c>
      <c r="G261" s="570" t="s">
        <v>73</v>
      </c>
      <c r="H261" s="574"/>
      <c r="I261" s="574" cm="1">
        <f t="array" ref="I261">_xlfn.XLOOKUP(1,($B261=DistributionZone)*($G261=Description)*($I$5=Desc_FixedOrVar),valuesPY,0)</f>
        <v>6.1170426505850894</v>
      </c>
      <c r="J261" s="574">
        <f>IF(AND(H261="",I261=""),"",H261+I261*$F261/1000)</f>
        <v>8.1545604711656452</v>
      </c>
      <c r="K261" s="575" t="str">
        <f>IFERROR(J261/J264,"")</f>
        <v/>
      </c>
      <c r="L261" s="576"/>
      <c r="M261" s="575">
        <f t="shared" si="161"/>
        <v>-0.48482055209325348</v>
      </c>
      <c r="N261" s="576"/>
      <c r="O261" s="574"/>
      <c r="P261" s="574" cm="1">
        <f t="array" ref="P261">_xlfn.XLOOKUP(1,($B261=DistributionZone)*($G261=Description)*($I$5=Desc_FixedOrVar),valuesFY,0)</f>
        <v>3.1513746555504474</v>
      </c>
      <c r="Q261" s="574">
        <f t="shared" si="162"/>
        <v>4.2010619614572962</v>
      </c>
      <c r="R261" s="575">
        <f>IFERROR(Q261/Q264,"")</f>
        <v>0.38998833958343415</v>
      </c>
      <c r="S261" s="575"/>
      <c r="T261" s="634"/>
      <c r="U261" s="575"/>
      <c r="V261" s="575"/>
      <c r="W261" s="575"/>
      <c r="X261" s="575"/>
      <c r="Y261" s="575"/>
      <c r="Z261" s="575"/>
      <c r="AA261" s="575"/>
      <c r="AB261" s="575"/>
      <c r="AC261" s="575"/>
      <c r="AD261" s="575"/>
      <c r="AE261" s="575"/>
      <c r="AF261" s="575"/>
      <c r="AG261" s="575"/>
      <c r="AH261" s="575"/>
      <c r="AI261" s="575"/>
      <c r="AJ261" s="575"/>
    </row>
    <row r="262" spans="1:36" s="627" customFormat="1" x14ac:dyDescent="0.35">
      <c r="A262" s="570"/>
      <c r="B262" s="570" t="str">
        <f t="shared" ref="B262:E262" si="167">B261</f>
        <v>Energex</v>
      </c>
      <c r="C262" s="570" t="str">
        <f t="shared" si="167"/>
        <v>Residential</v>
      </c>
      <c r="D262" s="570" t="str">
        <f t="shared" si="167"/>
        <v>time of use</v>
      </c>
      <c r="E262" s="570" t="str">
        <f t="shared" si="167"/>
        <v>time of use (Peak)</v>
      </c>
      <c r="F262" s="485">
        <f>F261</f>
        <v>1333.0887059264937</v>
      </c>
      <c r="G262" s="570" t="s">
        <v>74</v>
      </c>
      <c r="H262" s="574"/>
      <c r="I262" s="574" cm="1">
        <f t="array" ref="I262">_xlfn.XLOOKUP(1,($B262=DistributionZone)*($G262=Description)*($I$5=Desc_FixedOrVar),valuesPY,0)</f>
        <v>5.1359999999999992</v>
      </c>
      <c r="J262" s="574">
        <f>IF(AND(H262="",I262=""),"",H262+I262*$F262/1000)</f>
        <v>6.8467435936384708</v>
      </c>
      <c r="K262" s="575" t="str">
        <f>IFERROR(J262/J264,"")</f>
        <v/>
      </c>
      <c r="L262" s="576"/>
      <c r="M262" s="575">
        <f t="shared" si="161"/>
        <v>-0.12694704049844219</v>
      </c>
      <c r="N262" s="576"/>
      <c r="O262" s="574"/>
      <c r="P262" s="574" cm="1">
        <f t="array" ref="P262">_xlfn.XLOOKUP(1,($B262=DistributionZone)*($G262=Description)*($I$5=Desc_FixedOrVar),valuesFY,0)</f>
        <v>4.484</v>
      </c>
      <c r="Q262" s="574">
        <f t="shared" si="162"/>
        <v>5.9775697573743987</v>
      </c>
      <c r="R262" s="575">
        <f>IFERROR(Q262/Q264,"")</f>
        <v>0.55490314730181578</v>
      </c>
      <c r="S262" s="575"/>
      <c r="T262" s="649"/>
      <c r="U262" s="575"/>
      <c r="V262" s="575"/>
      <c r="W262" s="575"/>
      <c r="X262" s="575"/>
      <c r="Y262" s="575"/>
      <c r="Z262" s="575"/>
      <c r="AA262" s="575"/>
      <c r="AB262" s="575"/>
      <c r="AC262" s="575"/>
      <c r="AD262" s="575"/>
      <c r="AE262" s="575"/>
      <c r="AF262" s="575"/>
      <c r="AG262" s="575"/>
      <c r="AH262" s="575"/>
      <c r="AI262" s="575"/>
      <c r="AJ262" s="575"/>
    </row>
    <row r="263" spans="1:36" s="627" customFormat="1" x14ac:dyDescent="0.35">
      <c r="A263" s="570"/>
      <c r="B263" s="570" t="str">
        <f t="shared" ref="B263:E263" si="168">B262</f>
        <v>Energex</v>
      </c>
      <c r="C263" s="570" t="str">
        <f t="shared" si="168"/>
        <v>Residential</v>
      </c>
      <c r="D263" s="570" t="str">
        <f t="shared" si="168"/>
        <v>time of use</v>
      </c>
      <c r="E263" s="570" t="str">
        <f t="shared" si="168"/>
        <v>time of use (Peak)</v>
      </c>
      <c r="F263" s="485">
        <f>F262</f>
        <v>1333.0887059264937</v>
      </c>
      <c r="G263" s="570" t="s">
        <v>72</v>
      </c>
      <c r="H263" s="574"/>
      <c r="I263" s="574" cm="1">
        <f t="array" ref="I263">_xlfn.XLOOKUP(1,($B263=DistributionZone)*($C263=CustomerType)*($D263=tariffL2)*($G263=Description)*($I$5=Desc_FixedOrVar),valuesPY,0)*SUM(I261:I262)</f>
        <v>0</v>
      </c>
      <c r="J263" s="574">
        <f>IF(AND(H263="",I263=""),"",H263+I263*$F263/1000)</f>
        <v>0</v>
      </c>
      <c r="K263" s="575" t="str">
        <f>IFERROR(J263/J264,"")</f>
        <v/>
      </c>
      <c r="L263" s="576"/>
      <c r="M263" s="575" t="str">
        <f t="shared" si="161"/>
        <v/>
      </c>
      <c r="N263" s="576"/>
      <c r="O263" s="574"/>
      <c r="P263" s="574" cm="1">
        <f t="array" ref="P263">_xlfn.XLOOKUP(1,($B263=DistributionZone)*($C263=CustomerType)*($D263=tariffL2)*($G263=Description)*($P$5=Desc_FixedOrVar),valuesFY,0)*SUM(P261:P262)</f>
        <v>0.44531477971981298</v>
      </c>
      <c r="Q263" s="574">
        <f t="shared" si="162"/>
        <v>0.5936441034266271</v>
      </c>
      <c r="R263" s="575">
        <f>IFERROR(Q263/Q264,"")</f>
        <v>5.5108513114749999E-2</v>
      </c>
      <c r="S263" s="575"/>
      <c r="T263" s="649"/>
      <c r="U263" s="575"/>
      <c r="V263" s="575"/>
      <c r="W263" s="575"/>
      <c r="X263" s="575"/>
      <c r="Y263" s="575"/>
      <c r="Z263" s="575"/>
      <c r="AA263" s="575"/>
      <c r="AB263" s="575"/>
      <c r="AC263" s="575"/>
      <c r="AD263" s="575"/>
      <c r="AE263" s="575"/>
      <c r="AF263" s="575"/>
      <c r="AG263" s="575"/>
      <c r="AH263" s="575"/>
      <c r="AI263" s="575"/>
      <c r="AJ263" s="575"/>
    </row>
    <row r="264" spans="1:36" s="627" customFormat="1" x14ac:dyDescent="0.35">
      <c r="A264" s="570"/>
      <c r="B264" s="570" t="str">
        <f t="shared" ref="B264:E264" si="169">B263</f>
        <v>Energex</v>
      </c>
      <c r="C264" s="570" t="str">
        <f t="shared" si="169"/>
        <v>Residential</v>
      </c>
      <c r="D264" s="570" t="str">
        <f t="shared" si="169"/>
        <v>time of use</v>
      </c>
      <c r="E264" s="570" t="str">
        <f t="shared" si="169"/>
        <v>time of use (Peak)</v>
      </c>
      <c r="F264" s="485">
        <f>F263</f>
        <v>1333.0887059264937</v>
      </c>
      <c r="G264" s="571" t="s">
        <v>55</v>
      </c>
      <c r="H264" s="577">
        <f>IF($H$3=PY,0,SUM(H261:H263))</f>
        <v>0</v>
      </c>
      <c r="I264" s="577">
        <f>IF($H$3=PY,0,SUM(I261:I263))</f>
        <v>0</v>
      </c>
      <c r="J264" s="577">
        <f>IF($H$3=PY,0,SUM(J261:J263))</f>
        <v>0</v>
      </c>
      <c r="K264" s="578"/>
      <c r="L264" s="580"/>
      <c r="M264" s="578" t="str">
        <f t="shared" si="161"/>
        <v/>
      </c>
      <c r="N264" s="580"/>
      <c r="O264" s="577">
        <f>SUM(O261:O263)</f>
        <v>0</v>
      </c>
      <c r="P264" s="577">
        <f>SUM(P261:P263)</f>
        <v>8.0806894352702603</v>
      </c>
      <c r="Q264" s="577">
        <f t="shared" si="162"/>
        <v>10.772275822258322</v>
      </c>
      <c r="R264" s="578"/>
      <c r="S264" s="578"/>
      <c r="T264" s="650"/>
      <c r="U264" s="578"/>
      <c r="V264" s="578"/>
      <c r="W264" s="578"/>
      <c r="X264" s="578"/>
      <c r="Y264" s="578"/>
      <c r="Z264" s="578"/>
      <c r="AA264" s="578"/>
      <c r="AB264" s="578"/>
      <c r="AC264" s="578"/>
      <c r="AD264" s="578"/>
      <c r="AE264" s="578"/>
      <c r="AF264" s="578"/>
      <c r="AG264" s="578"/>
      <c r="AH264" s="578"/>
      <c r="AI264" s="578"/>
      <c r="AJ264" s="578"/>
    </row>
    <row r="265" spans="1:36" s="627" customFormat="1" x14ac:dyDescent="0.35">
      <c r="A265" s="570"/>
      <c r="B265" s="570" t="str">
        <f t="shared" ref="B265:D265" si="170">B264</f>
        <v>Energex</v>
      </c>
      <c r="C265" s="570" t="str">
        <f t="shared" si="170"/>
        <v>Residential</v>
      </c>
      <c r="D265" s="570" t="str">
        <f t="shared" si="170"/>
        <v>time of use</v>
      </c>
      <c r="E265" s="570" t="s">
        <v>283</v>
      </c>
      <c r="F265" s="485" cm="1">
        <f t="array" ref="F265">_xlfn.XLOOKUP(1,($B265=DistributionZone)*($C265=CustomerType)*($D265=tariffL2)*($F$5=Description),valuesPY)*_xlfn.XLOOKUP(1,($B265=DistributionZone)*($C265=CustomerType)*($D265=tariffL2)*($E265=tariffType)*("Usage proportion"=Description),valuesFY)</f>
        <v>2181.1999332709984</v>
      </c>
      <c r="G265" s="570" t="s">
        <v>73</v>
      </c>
      <c r="H265" s="574"/>
      <c r="I265" s="574" cm="1">
        <f t="array" ref="I265">_xlfn.XLOOKUP(1,($B265=DistributionZone)*($G265=Description)*($I$5=Desc_FixedOrVar),valuesPY,0)</f>
        <v>6.1170426505850894</v>
      </c>
      <c r="J265" s="574">
        <f>IF(AND(H265="",I265=""),"",H265+I265*$F265/1000)</f>
        <v>13.342493021272048</v>
      </c>
      <c r="K265" s="575" t="str">
        <f>IFERROR(J265/J268,"")</f>
        <v/>
      </c>
      <c r="L265" s="576"/>
      <c r="M265" s="575">
        <f t="shared" si="161"/>
        <v>-0.48482055209325348</v>
      </c>
      <c r="N265" s="576"/>
      <c r="O265" s="574"/>
      <c r="P265" s="574" cm="1">
        <f t="array" ref="P265">_xlfn.XLOOKUP(1,($B265=DistributionZone)*($G265=Description)*($I$5=Desc_FixedOrVar),valuesFY,0)</f>
        <v>3.1513746555504474</v>
      </c>
      <c r="Q265" s="574">
        <f t="shared" si="162"/>
        <v>6.8737781883985516</v>
      </c>
      <c r="R265" s="575">
        <f>IFERROR(Q265/Q268,"")</f>
        <v>0.38998833958343426</v>
      </c>
      <c r="S265" s="575"/>
      <c r="T265" s="634"/>
      <c r="U265" s="575"/>
      <c r="V265" s="575"/>
      <c r="W265" s="575"/>
      <c r="X265" s="575"/>
      <c r="Y265" s="575"/>
      <c r="Z265" s="575"/>
      <c r="AA265" s="575"/>
      <c r="AB265" s="575"/>
      <c r="AC265" s="575"/>
      <c r="AD265" s="575"/>
      <c r="AE265" s="575"/>
      <c r="AF265" s="575"/>
      <c r="AG265" s="575"/>
      <c r="AH265" s="575"/>
      <c r="AI265" s="575"/>
      <c r="AJ265" s="575"/>
    </row>
    <row r="266" spans="1:36" s="627" customFormat="1" x14ac:dyDescent="0.35">
      <c r="A266" s="570"/>
      <c r="B266" s="570" t="str">
        <f t="shared" ref="B266:E266" si="171">B265</f>
        <v>Energex</v>
      </c>
      <c r="C266" s="570" t="str">
        <f t="shared" si="171"/>
        <v>Residential</v>
      </c>
      <c r="D266" s="570" t="str">
        <f t="shared" si="171"/>
        <v>time of use</v>
      </c>
      <c r="E266" s="570" t="str">
        <f t="shared" si="171"/>
        <v>time of use (Shoulder)</v>
      </c>
      <c r="F266" s="485">
        <f>F265</f>
        <v>2181.1999332709984</v>
      </c>
      <c r="G266" s="570" t="s">
        <v>74</v>
      </c>
      <c r="H266" s="574"/>
      <c r="I266" s="574" cm="1">
        <f t="array" ref="I266">_xlfn.XLOOKUP(1,($B266=DistributionZone)*($G266=Description)*($I$5=Desc_FixedOrVar),valuesPY,0)</f>
        <v>5.1359999999999992</v>
      </c>
      <c r="J266" s="574">
        <f>IF(AND(H266="",I266=""),"",H266+I266*$F266/1000)</f>
        <v>11.202642857279846</v>
      </c>
      <c r="K266" s="575" t="str">
        <f>IFERROR(J266/J268,"")</f>
        <v/>
      </c>
      <c r="L266" s="576"/>
      <c r="M266" s="575">
        <f t="shared" si="161"/>
        <v>-0.12694704049844219</v>
      </c>
      <c r="N266" s="576"/>
      <c r="O266" s="574"/>
      <c r="P266" s="574" cm="1">
        <f t="array" ref="P266">_xlfn.XLOOKUP(1,($B266=DistributionZone)*($G266=Description)*($I$5=Desc_FixedOrVar),valuesFY,0)</f>
        <v>4.484</v>
      </c>
      <c r="Q266" s="574">
        <f t="shared" si="162"/>
        <v>9.7805005007871575</v>
      </c>
      <c r="R266" s="575">
        <f>IFERROR(Q266/Q268,"")</f>
        <v>0.55490314730181589</v>
      </c>
      <c r="S266" s="575"/>
      <c r="T266" s="649"/>
      <c r="U266" s="575"/>
      <c r="V266" s="575"/>
      <c r="W266" s="575"/>
      <c r="X266" s="575"/>
      <c r="Y266" s="575"/>
      <c r="Z266" s="575"/>
      <c r="AA266" s="575"/>
      <c r="AB266" s="575"/>
      <c r="AC266" s="575"/>
      <c r="AD266" s="575"/>
      <c r="AE266" s="575"/>
      <c r="AF266" s="575"/>
      <c r="AG266" s="575"/>
      <c r="AH266" s="575"/>
      <c r="AI266" s="575"/>
      <c r="AJ266" s="575"/>
    </row>
    <row r="267" spans="1:36" s="627" customFormat="1" x14ac:dyDescent="0.35">
      <c r="A267" s="570"/>
      <c r="B267" s="570" t="str">
        <f t="shared" ref="B267:E267" si="172">B266</f>
        <v>Energex</v>
      </c>
      <c r="C267" s="570" t="str">
        <f t="shared" si="172"/>
        <v>Residential</v>
      </c>
      <c r="D267" s="570" t="str">
        <f t="shared" si="172"/>
        <v>time of use</v>
      </c>
      <c r="E267" s="570" t="str">
        <f t="shared" si="172"/>
        <v>time of use (Shoulder)</v>
      </c>
      <c r="F267" s="485">
        <f>F266</f>
        <v>2181.1999332709984</v>
      </c>
      <c r="G267" s="570" t="s">
        <v>72</v>
      </c>
      <c r="H267" s="574"/>
      <c r="I267" s="574" cm="1">
        <f t="array" ref="I267">_xlfn.XLOOKUP(1,($B267=DistributionZone)*($C267=CustomerType)*($D267=tariffL2)*($G267=Description)*($I$5=Desc_FixedOrVar),valuesPY,0)*SUM(I265:I266)</f>
        <v>0</v>
      </c>
      <c r="J267" s="574">
        <f>IF(AND(H267="",I267=""),"",H267+I267*$F267/1000)</f>
        <v>0</v>
      </c>
      <c r="K267" s="575" t="str">
        <f>IFERROR(J267/J268,"")</f>
        <v/>
      </c>
      <c r="L267" s="576"/>
      <c r="M267" s="575" t="str">
        <f t="shared" si="161"/>
        <v/>
      </c>
      <c r="N267" s="576"/>
      <c r="O267" s="574"/>
      <c r="P267" s="574" cm="1">
        <f t="array" ref="P267">_xlfn.XLOOKUP(1,($B267=DistributionZone)*($C267=CustomerType)*($D267=tariffL2)*($G267=Description)*($P$5=Desc_FixedOrVar),valuesFY,0)*SUM(P265:P266)</f>
        <v>0.44531477971981298</v>
      </c>
      <c r="Q267" s="574">
        <f t="shared" si="162"/>
        <v>0.97132056780944542</v>
      </c>
      <c r="R267" s="575">
        <f>IFERROR(Q267/Q268,"")</f>
        <v>5.5108513114750013E-2</v>
      </c>
      <c r="S267" s="575"/>
      <c r="T267" s="649"/>
      <c r="U267" s="575"/>
      <c r="V267" s="575"/>
      <c r="W267" s="575"/>
      <c r="X267" s="575"/>
      <c r="Y267" s="575"/>
      <c r="Z267" s="575"/>
      <c r="AA267" s="575"/>
      <c r="AB267" s="575"/>
      <c r="AC267" s="575"/>
      <c r="AD267" s="575"/>
      <c r="AE267" s="575"/>
      <c r="AF267" s="575"/>
      <c r="AG267" s="575"/>
      <c r="AH267" s="575"/>
      <c r="AI267" s="575"/>
      <c r="AJ267" s="575"/>
    </row>
    <row r="268" spans="1:36" s="627" customFormat="1" x14ac:dyDescent="0.35">
      <c r="A268" s="570"/>
      <c r="B268" s="570" t="str">
        <f t="shared" ref="B268:E271" si="173">B267</f>
        <v>Energex</v>
      </c>
      <c r="C268" s="570" t="str">
        <f t="shared" si="173"/>
        <v>Residential</v>
      </c>
      <c r="D268" s="570" t="str">
        <f t="shared" si="173"/>
        <v>time of use</v>
      </c>
      <c r="E268" s="570" t="str">
        <f t="shared" si="173"/>
        <v>time of use (Shoulder)</v>
      </c>
      <c r="F268" s="485">
        <f>F267</f>
        <v>2181.1999332709984</v>
      </c>
      <c r="G268" s="571" t="s">
        <v>55</v>
      </c>
      <c r="H268" s="577">
        <f>IF($H$3=PY,0,SUM(H265:H267))</f>
        <v>0</v>
      </c>
      <c r="I268" s="577">
        <f>IF($H$3=PY,0,SUM(I265:I267))</f>
        <v>0</v>
      </c>
      <c r="J268" s="577">
        <f>IF($H$3=PY,0,SUM(J265:J267))</f>
        <v>0</v>
      </c>
      <c r="K268" s="578"/>
      <c r="L268" s="580"/>
      <c r="M268" s="578" t="str">
        <f t="shared" si="161"/>
        <v/>
      </c>
      <c r="N268" s="580"/>
      <c r="O268" s="577">
        <f>SUM(O265:O267)</f>
        <v>0</v>
      </c>
      <c r="P268" s="577">
        <f>SUM(P265:P267)</f>
        <v>8.0806894352702603</v>
      </c>
      <c r="Q268" s="577">
        <f t="shared" si="162"/>
        <v>17.625599256995152</v>
      </c>
      <c r="R268" s="578"/>
      <c r="S268" s="578"/>
      <c r="T268" s="650"/>
      <c r="U268" s="578"/>
      <c r="V268" s="578"/>
      <c r="W268" s="578"/>
      <c r="X268" s="578"/>
      <c r="Y268" s="578"/>
      <c r="Z268" s="578"/>
      <c r="AA268" s="578"/>
      <c r="AB268" s="578"/>
      <c r="AC268" s="578"/>
      <c r="AD268" s="578"/>
      <c r="AE268" s="578"/>
      <c r="AF268" s="578"/>
      <c r="AG268" s="578"/>
      <c r="AH268" s="578"/>
      <c r="AI268" s="578"/>
      <c r="AJ268" s="578"/>
    </row>
    <row r="269" spans="1:36" s="627" customFormat="1" x14ac:dyDescent="0.35">
      <c r="A269" s="570"/>
      <c r="B269" s="570"/>
      <c r="C269" s="570"/>
      <c r="D269" s="570"/>
      <c r="E269" s="570"/>
      <c r="F269" s="485">
        <f>SUM(F260,F264,F268)</f>
        <v>4600</v>
      </c>
      <c r="G269" s="571" t="s">
        <v>55</v>
      </c>
      <c r="H269" s="577">
        <f>SUM(H260,H264,H268)</f>
        <v>0</v>
      </c>
      <c r="I269" s="577">
        <f t="shared" ref="I269:J269" si="174">SUM(I260,I264,I268)</f>
        <v>0</v>
      </c>
      <c r="J269" s="577">
        <f t="shared" si="174"/>
        <v>0</v>
      </c>
      <c r="K269" s="578"/>
      <c r="L269" s="580"/>
      <c r="M269" s="578"/>
      <c r="N269" s="580"/>
      <c r="O269" s="577">
        <f t="shared" ref="O269:Q269" si="175">SUM(O260,O264,O268)</f>
        <v>0</v>
      </c>
      <c r="P269" s="577">
        <f t="shared" si="175"/>
        <v>24.242068305810783</v>
      </c>
      <c r="Q269" s="577">
        <f t="shared" si="175"/>
        <v>37.171171402243203</v>
      </c>
      <c r="R269" s="578"/>
      <c r="S269" s="578"/>
      <c r="T269" s="650"/>
      <c r="U269" s="578"/>
      <c r="V269" s="578"/>
      <c r="W269" s="578"/>
      <c r="X269" s="578"/>
      <c r="Y269" s="578"/>
      <c r="Z269" s="578"/>
      <c r="AA269" s="578"/>
      <c r="AB269" s="578"/>
      <c r="AC269" s="578"/>
      <c r="AD269" s="578"/>
      <c r="AE269" s="578"/>
      <c r="AF269" s="578"/>
      <c r="AG269" s="578"/>
      <c r="AH269" s="578"/>
      <c r="AI269" s="578"/>
      <c r="AJ269" s="578"/>
    </row>
    <row r="270" spans="1:36" s="627" customFormat="1" x14ac:dyDescent="0.35">
      <c r="A270" s="570"/>
      <c r="B270" s="570" t="str">
        <f>B268</f>
        <v>Energex</v>
      </c>
      <c r="C270" s="570" t="str">
        <f>C268</f>
        <v>Residential</v>
      </c>
      <c r="D270" s="570" t="str">
        <f>D268</f>
        <v>time of use</v>
      </c>
      <c r="E270" s="570"/>
      <c r="F270" s="485"/>
      <c r="G270" s="570" t="s">
        <v>38</v>
      </c>
      <c r="H270" s="574"/>
      <c r="I270" s="574"/>
      <c r="J270" s="574">
        <f>J269*GST</f>
        <v>0</v>
      </c>
      <c r="K270" s="575"/>
      <c r="L270" s="582"/>
      <c r="M270" s="575"/>
      <c r="N270" s="582"/>
      <c r="O270" s="574"/>
      <c r="P270" s="574"/>
      <c r="Q270" s="574">
        <f>Q269*GST</f>
        <v>3.7171171402243206</v>
      </c>
      <c r="R270" s="578"/>
      <c r="S270" s="578"/>
      <c r="T270" s="650"/>
      <c r="U270" s="578"/>
      <c r="V270" s="578"/>
      <c r="W270" s="578"/>
      <c r="X270" s="578"/>
      <c r="Y270" s="578"/>
      <c r="Z270" s="578"/>
      <c r="AA270" s="578"/>
      <c r="AB270" s="578"/>
      <c r="AC270" s="578"/>
      <c r="AD270" s="578"/>
      <c r="AE270" s="578"/>
      <c r="AF270" s="578"/>
      <c r="AG270" s="578"/>
      <c r="AH270" s="578"/>
      <c r="AI270" s="578"/>
      <c r="AJ270" s="578"/>
    </row>
    <row r="271" spans="1:36" s="627" customFormat="1" x14ac:dyDescent="0.35">
      <c r="A271" s="570"/>
      <c r="B271" s="570" t="str">
        <f t="shared" si="173"/>
        <v>Energex</v>
      </c>
      <c r="C271" s="570" t="str">
        <f t="shared" si="173"/>
        <v>Residential</v>
      </c>
      <c r="D271" s="570" t="str">
        <f t="shared" si="173"/>
        <v>time of use</v>
      </c>
      <c r="E271" s="570" t="s">
        <v>272</v>
      </c>
      <c r="F271" s="485"/>
      <c r="G271" s="571" t="s">
        <v>79</v>
      </c>
      <c r="H271" s="577"/>
      <c r="I271" s="577"/>
      <c r="J271" s="577">
        <f>SUM(J269:J270)</f>
        <v>0</v>
      </c>
      <c r="K271" s="578"/>
      <c r="L271" s="580"/>
      <c r="M271" s="578" t="str">
        <f>IF(OR(J271=0,Q271=""),"",Q271/J271-1)</f>
        <v/>
      </c>
      <c r="N271" s="580"/>
      <c r="O271" s="577"/>
      <c r="P271" s="577"/>
      <c r="Q271" s="577">
        <f>SUM(Q269:Q270)</f>
        <v>40.888288542467521</v>
      </c>
      <c r="R271" s="578"/>
      <c r="S271" s="578"/>
      <c r="T271" s="650"/>
      <c r="U271" s="578"/>
      <c r="V271" s="578"/>
      <c r="W271" s="578"/>
      <c r="X271" s="578"/>
      <c r="Y271" s="578"/>
      <c r="Z271" s="578"/>
      <c r="AA271" s="578"/>
      <c r="AB271" s="578"/>
      <c r="AC271" s="578"/>
      <c r="AD271" s="578"/>
      <c r="AE271" s="578"/>
      <c r="AF271" s="578"/>
      <c r="AG271" s="578"/>
      <c r="AH271" s="578"/>
      <c r="AI271" s="578"/>
      <c r="AJ271" s="578"/>
    </row>
    <row r="272" spans="1:36" s="627" customFormat="1" x14ac:dyDescent="0.35">
      <c r="A272" s="570"/>
      <c r="B272" s="570"/>
      <c r="C272" s="570"/>
      <c r="D272" s="570"/>
      <c r="E272" s="570"/>
      <c r="F272" s="485"/>
      <c r="G272" s="570"/>
      <c r="H272" s="574"/>
      <c r="I272" s="574"/>
      <c r="J272" s="574"/>
      <c r="K272" s="575"/>
      <c r="L272" s="582"/>
      <c r="M272" s="575"/>
      <c r="N272" s="582"/>
      <c r="O272" s="574"/>
      <c r="P272" s="574"/>
      <c r="Q272" s="574"/>
      <c r="R272" s="575"/>
      <c r="S272" s="575"/>
      <c r="T272" s="649"/>
      <c r="U272" s="575"/>
      <c r="V272" s="575"/>
      <c r="W272" s="575"/>
      <c r="X272" s="575"/>
      <c r="Y272" s="575"/>
      <c r="Z272" s="575"/>
      <c r="AA272" s="575"/>
      <c r="AB272" s="575"/>
      <c r="AC272" s="575"/>
      <c r="AD272" s="575"/>
      <c r="AE272" s="575"/>
      <c r="AF272" s="575"/>
      <c r="AG272" s="575"/>
      <c r="AH272" s="575"/>
      <c r="AI272" s="575"/>
      <c r="AJ272" s="575"/>
    </row>
    <row r="273" spans="1:36" s="65" customFormat="1" x14ac:dyDescent="0.35">
      <c r="A273" s="30"/>
      <c r="B273" s="64" t="s">
        <v>0</v>
      </c>
      <c r="C273" s="64"/>
      <c r="D273" s="64" t="s">
        <v>285</v>
      </c>
      <c r="E273" s="30"/>
      <c r="F273" s="258"/>
      <c r="G273" s="30"/>
      <c r="H273" s="482"/>
      <c r="I273" s="482"/>
      <c r="J273" s="482"/>
      <c r="K273" s="484"/>
      <c r="L273" s="568"/>
      <c r="M273" s="484"/>
      <c r="N273" s="568"/>
      <c r="O273" s="482"/>
      <c r="P273" s="482"/>
      <c r="Q273" s="482"/>
      <c r="R273" s="484"/>
      <c r="S273" s="484"/>
      <c r="T273" s="644"/>
      <c r="U273" s="484"/>
      <c r="V273" s="484"/>
      <c r="W273" s="484"/>
      <c r="X273" s="484"/>
      <c r="Y273" s="484"/>
      <c r="Z273" s="484"/>
      <c r="AA273" s="484"/>
      <c r="AB273" s="484"/>
      <c r="AC273" s="484"/>
      <c r="AD273" s="484"/>
      <c r="AE273" s="484"/>
      <c r="AF273" s="484"/>
      <c r="AG273" s="484"/>
      <c r="AH273" s="484"/>
      <c r="AI273" s="484"/>
      <c r="AJ273" s="484"/>
    </row>
    <row r="274" spans="1:36" s="65" customFormat="1" x14ac:dyDescent="0.35">
      <c r="A274" s="30"/>
      <c r="B274" s="30" t="str">
        <f>B273</f>
        <v>Energex</v>
      </c>
      <c r="C274" s="30"/>
      <c r="D274" s="30" t="str">
        <f>D273</f>
        <v>controlled load</v>
      </c>
      <c r="E274" s="30"/>
      <c r="F274" s="258"/>
      <c r="G274" s="64"/>
      <c r="H274" s="487"/>
      <c r="I274" s="487"/>
      <c r="J274" s="487"/>
      <c r="K274" s="564"/>
      <c r="L274" s="566"/>
      <c r="M274" s="564"/>
      <c r="N274" s="566"/>
      <c r="O274" s="487"/>
      <c r="P274" s="487"/>
      <c r="Q274" s="487"/>
      <c r="R274" s="484"/>
      <c r="S274" s="484"/>
      <c r="T274" s="645"/>
      <c r="U274" s="484"/>
      <c r="V274" s="484"/>
      <c r="W274" s="484"/>
      <c r="X274" s="484"/>
      <c r="Y274" s="484"/>
      <c r="Z274" s="484"/>
      <c r="AA274" s="484"/>
      <c r="AB274" s="484"/>
      <c r="AC274" s="484"/>
      <c r="AD274" s="484"/>
      <c r="AE274" s="484"/>
      <c r="AF274" s="484"/>
      <c r="AG274" s="484"/>
      <c r="AH274" s="484"/>
      <c r="AI274" s="484"/>
      <c r="AJ274" s="484"/>
    </row>
    <row r="275" spans="1:36" s="65" customFormat="1" x14ac:dyDescent="0.35">
      <c r="A275" s="30"/>
      <c r="B275" s="30" t="str">
        <f t="shared" ref="B275:B285" si="176">B274</f>
        <v>Energex</v>
      </c>
      <c r="C275" s="30"/>
      <c r="D275" s="30" t="str">
        <f t="shared" ref="D275:D285" si="177">D274</f>
        <v>controlled load</v>
      </c>
      <c r="E275" s="30" t="s">
        <v>14</v>
      </c>
      <c r="F275" s="258" cm="1">
        <f t="array" ref="F275">IFERROR(_xlfn.XLOOKUP(1,($B275=DistributionZone)*($C275=CustomerType)*($E275=tariffType)*(F$5=Description)*($D275=tariffL2),valuesFY),0)</f>
        <v>551</v>
      </c>
      <c r="G275" s="30" t="s">
        <v>73</v>
      </c>
      <c r="H275" s="482"/>
      <c r="I275" s="482" cm="1">
        <f t="array" ref="I275">_xlfn.XLOOKUP(1,($B275=DistributionZone)*($G275=Description)*($I$5=Desc_FixedOrVar),valuesPY,0)</f>
        <v>6.1170426505850894</v>
      </c>
      <c r="J275" s="482">
        <f>IF(AND(H275="",I275=""),"",H275+I275*$F275/1000)</f>
        <v>3.3704905004723842</v>
      </c>
      <c r="K275" s="484">
        <f>IFERROR(J275/J278,"")</f>
        <v>0.51325965918250471</v>
      </c>
      <c r="L275" s="563"/>
      <c r="M275" s="484">
        <f t="shared" ref="M275:M283" si="178">IF(OR(J275=0,Q275=""),"",Q275/J275-1)</f>
        <v>-0.48482055209325359</v>
      </c>
      <c r="N275" s="563"/>
      <c r="O275" s="482"/>
      <c r="P275" s="482" cm="1">
        <f t="array" ref="P275">_xlfn.XLOOKUP(1,($B275=DistributionZone)*($G275=Description)*($I$5=Desc_FixedOrVar),valuesFY,0)</f>
        <v>3.1513746555504474</v>
      </c>
      <c r="Q275" s="482">
        <f t="shared" ref="Q275:Q282" si="179">IF(AND(O275="",P275=""),"",O275+P275*$F275/1000)</f>
        <v>1.7364074352082963</v>
      </c>
      <c r="R275" s="484">
        <f>IFERROR(Q275/Q278,"")</f>
        <v>0.38998833958343415</v>
      </c>
      <c r="S275" s="484"/>
      <c r="T275" s="645"/>
      <c r="U275" s="484"/>
      <c r="V275" s="484"/>
      <c r="W275" s="484"/>
      <c r="X275" s="484"/>
      <c r="Y275" s="484"/>
      <c r="Z275" s="484"/>
      <c r="AA275" s="484"/>
      <c r="AB275" s="484"/>
      <c r="AC275" s="484"/>
      <c r="AD275" s="484"/>
      <c r="AE275" s="484"/>
      <c r="AF275" s="484"/>
      <c r="AG275" s="484"/>
      <c r="AH275" s="484"/>
      <c r="AI275" s="484"/>
      <c r="AJ275" s="484"/>
    </row>
    <row r="276" spans="1:36" s="65" customFormat="1" x14ac:dyDescent="0.35">
      <c r="A276" s="30"/>
      <c r="B276" s="30" t="str">
        <f t="shared" si="176"/>
        <v>Energex</v>
      </c>
      <c r="C276" s="30"/>
      <c r="D276" s="30" t="str">
        <f t="shared" si="177"/>
        <v>controlled load</v>
      </c>
      <c r="E276" s="30" t="s">
        <v>14</v>
      </c>
      <c r="F276" s="258">
        <f>F275</f>
        <v>551</v>
      </c>
      <c r="G276" s="30" t="s">
        <v>74</v>
      </c>
      <c r="H276" s="482"/>
      <c r="I276" s="482" cm="1">
        <f t="array" ref="I276">_xlfn.XLOOKUP(1,($B276=DistributionZone)*($G276=Description)*($I$5=Desc_FixedOrVar),valuesPY,0)</f>
        <v>5.1359999999999992</v>
      </c>
      <c r="J276" s="482">
        <f>IF(AND(H276="",I276=""),"",H276+I276*$F276/1000)</f>
        <v>2.8299359999999996</v>
      </c>
      <c r="K276" s="484">
        <f>IFERROR(J276/J278,"")</f>
        <v>0.43094380081021721</v>
      </c>
      <c r="L276" s="563"/>
      <c r="M276" s="484">
        <f t="shared" si="178"/>
        <v>-0.12694704049844208</v>
      </c>
      <c r="N276" s="563"/>
      <c r="O276" s="482"/>
      <c r="P276" s="482" cm="1">
        <f t="array" ref="P276">_xlfn.XLOOKUP(1,($B276=DistributionZone)*($G276=Description)*($I$5=Desc_FixedOrVar),valuesFY,0)</f>
        <v>4.484</v>
      </c>
      <c r="Q276" s="482">
        <f t="shared" si="179"/>
        <v>2.4706840000000003</v>
      </c>
      <c r="R276" s="484">
        <f>IFERROR(Q276/Q278,"")</f>
        <v>0.55490314730181589</v>
      </c>
      <c r="S276" s="484"/>
      <c r="T276" s="644"/>
      <c r="U276" s="484"/>
      <c r="V276" s="484"/>
      <c r="W276" s="484"/>
      <c r="X276" s="484"/>
      <c r="Y276" s="484"/>
      <c r="Z276" s="484"/>
      <c r="AA276" s="484"/>
      <c r="AB276" s="484"/>
      <c r="AC276" s="484"/>
      <c r="AD276" s="484"/>
      <c r="AE276" s="484"/>
      <c r="AF276" s="484"/>
      <c r="AG276" s="484"/>
      <c r="AH276" s="484"/>
      <c r="AI276" s="484"/>
      <c r="AJ276" s="484"/>
    </row>
    <row r="277" spans="1:36" s="65" customFormat="1" x14ac:dyDescent="0.35">
      <c r="A277" s="30"/>
      <c r="B277" s="30" t="str">
        <f t="shared" si="176"/>
        <v>Energex</v>
      </c>
      <c r="C277" s="30"/>
      <c r="D277" s="30" t="str">
        <f t="shared" si="177"/>
        <v>controlled load</v>
      </c>
      <c r="E277" s="30" t="s">
        <v>14</v>
      </c>
      <c r="F277" s="258">
        <f>F276</f>
        <v>551</v>
      </c>
      <c r="G277" s="30" t="s">
        <v>72</v>
      </c>
      <c r="H277" s="482"/>
      <c r="I277" s="482" cm="1">
        <f t="array" ref="I277">_xlfn.XLOOKUP(1,($B277=DistributionZone)*($C277=CustomerType)*($D277=tariffL2)*($E277=tariffType)*($G277=Description)*($I$5=Desc_FixedOrVar),valuesPY,0)*SUM(I275:I276)</f>
        <v>0.6649846892764153</v>
      </c>
      <c r="J277" s="482">
        <f>IF(AND(H277="",I277=""),"",H277+I277*$F277/1000)</f>
        <v>0.36640656379130487</v>
      </c>
      <c r="K277" s="484">
        <f>IFERROR(J277/J278,"")</f>
        <v>5.5796540007277989E-2</v>
      </c>
      <c r="L277" s="563"/>
      <c r="M277" s="484">
        <f t="shared" si="178"/>
        <v>-0.330338296654063</v>
      </c>
      <c r="N277" s="563"/>
      <c r="O277" s="482"/>
      <c r="P277" s="482" cm="1">
        <f t="array" ref="P277">_xlfn.XLOOKUP(1,($B277=DistributionZone)*($C277=CustomerType)*($D277=tariffL2)*($E277=tariffType)*($G277=Description)*($P$5=Desc_FixedOrVar),valuesFY,0)*SUM(P275:P276)</f>
        <v>0.44531477971981298</v>
      </c>
      <c r="Q277" s="482">
        <f t="shared" si="179"/>
        <v>0.24536844362561694</v>
      </c>
      <c r="R277" s="484">
        <f>IFERROR(Q277/Q278,"")</f>
        <v>5.5108513114750006E-2</v>
      </c>
      <c r="S277" s="484"/>
      <c r="T277" s="644"/>
      <c r="U277" s="484"/>
      <c r="V277" s="484"/>
      <c r="W277" s="484"/>
      <c r="X277" s="484"/>
      <c r="Y277" s="484"/>
      <c r="Z277" s="484"/>
      <c r="AA277" s="484"/>
      <c r="AB277" s="484"/>
      <c r="AC277" s="484"/>
      <c r="AD277" s="484"/>
      <c r="AE277" s="484"/>
      <c r="AF277" s="484"/>
      <c r="AG277" s="484"/>
      <c r="AH277" s="484"/>
      <c r="AI277" s="484"/>
      <c r="AJ277" s="484"/>
    </row>
    <row r="278" spans="1:36" s="65" customFormat="1" x14ac:dyDescent="0.35">
      <c r="A278" s="30"/>
      <c r="B278" s="30" t="str">
        <f t="shared" si="176"/>
        <v>Energex</v>
      </c>
      <c r="C278" s="30"/>
      <c r="D278" s="30" t="str">
        <f t="shared" si="177"/>
        <v>controlled load</v>
      </c>
      <c r="E278" s="30" t="s">
        <v>14</v>
      </c>
      <c r="F278" s="258">
        <f>F277</f>
        <v>551</v>
      </c>
      <c r="G278" s="64" t="s">
        <v>55</v>
      </c>
      <c r="H278" s="487">
        <f>SUM(H273:H277)</f>
        <v>0</v>
      </c>
      <c r="I278" s="487">
        <f>SUM(I275:I277)</f>
        <v>11.918027339861505</v>
      </c>
      <c r="J278" s="487">
        <f>IF(AND(H278="",I278=""),"",H278+I278*+Usage!H$40/1000)</f>
        <v>6.5668330642636894</v>
      </c>
      <c r="K278" s="564"/>
      <c r="L278" s="566"/>
      <c r="M278" s="564">
        <f t="shared" si="178"/>
        <v>-0.32197760545125897</v>
      </c>
      <c r="N278" s="566"/>
      <c r="O278" s="487">
        <f>SUM(O275:O277)</f>
        <v>0</v>
      </c>
      <c r="P278" s="487">
        <f>SUM(P275:P277)</f>
        <v>8.0806894352702603</v>
      </c>
      <c r="Q278" s="487">
        <f t="shared" si="179"/>
        <v>4.4524598788339134</v>
      </c>
      <c r="R278" s="484"/>
      <c r="S278" s="484"/>
      <c r="T278" s="644"/>
      <c r="U278" s="484"/>
      <c r="V278" s="484"/>
      <c r="W278" s="484"/>
      <c r="X278" s="484"/>
      <c r="Y278" s="484"/>
      <c r="Z278" s="484"/>
      <c r="AA278" s="484"/>
      <c r="AB278" s="484"/>
      <c r="AC278" s="484"/>
      <c r="AD278" s="484"/>
      <c r="AE278" s="484"/>
      <c r="AF278" s="484"/>
      <c r="AG278" s="484"/>
      <c r="AH278" s="484"/>
      <c r="AI278" s="484"/>
      <c r="AJ278" s="484"/>
    </row>
    <row r="279" spans="1:36" s="65" customFormat="1" x14ac:dyDescent="0.35">
      <c r="A279" s="30"/>
      <c r="B279" s="30" t="str">
        <f t="shared" si="176"/>
        <v>Energex</v>
      </c>
      <c r="C279" s="30"/>
      <c r="D279" s="30" t="str">
        <f t="shared" si="177"/>
        <v>controlled load</v>
      </c>
      <c r="E279" s="30" t="s">
        <v>15</v>
      </c>
      <c r="F279" s="258" cm="1">
        <f t="array" ref="F279">IFERROR(_xlfn.XLOOKUP(1,($B279=DistributionZone)*($C279=CustomerType)*($E279=tariffType)*(F$5=Description)*($D279=tariffL2),valuesFY),0)</f>
        <v>1349</v>
      </c>
      <c r="G279" s="30" t="s">
        <v>73</v>
      </c>
      <c r="H279" s="482"/>
      <c r="I279" s="482" cm="1">
        <f t="array" ref="I279">_xlfn.XLOOKUP(1,($B279=DistributionZone)*($G279=Description)*($I$5=Desc_FixedOrVar),valuesPY,0)</f>
        <v>6.1170426505850894</v>
      </c>
      <c r="J279" s="482">
        <f>IF(AND(H279="",I279=""),"",H279+I279*$F279/1000)</f>
        <v>8.2518905356392853</v>
      </c>
      <c r="K279" s="484">
        <f>IFERROR(J279/J282,"")</f>
        <v>0.51325965918250482</v>
      </c>
      <c r="L279" s="563"/>
      <c r="M279" s="484">
        <f t="shared" si="178"/>
        <v>-0.48482055209325348</v>
      </c>
      <c r="N279" s="563"/>
      <c r="O279" s="482"/>
      <c r="P279" s="482" cm="1">
        <f t="array" ref="P279">_xlfn.XLOOKUP(1,($B279=DistributionZone)*($G279=Description)*($I$5=Desc_FixedOrVar),valuesFY,0)</f>
        <v>3.1513746555504474</v>
      </c>
      <c r="Q279" s="482">
        <f t="shared" si="179"/>
        <v>4.2512044103375537</v>
      </c>
      <c r="R279" s="484">
        <f>IFERROR(Q279/Q282,"")</f>
        <v>0.38998833958343421</v>
      </c>
      <c r="S279" s="484"/>
      <c r="T279" s="645"/>
      <c r="U279" s="484"/>
      <c r="V279" s="484"/>
      <c r="W279" s="484"/>
      <c r="X279" s="484"/>
      <c r="Y279" s="484"/>
      <c r="Z279" s="484"/>
      <c r="AA279" s="484"/>
      <c r="AB279" s="484"/>
      <c r="AC279" s="484"/>
      <c r="AD279" s="484"/>
      <c r="AE279" s="484"/>
      <c r="AF279" s="484"/>
      <c r="AG279" s="484"/>
      <c r="AH279" s="484"/>
      <c r="AI279" s="484"/>
      <c r="AJ279" s="484"/>
    </row>
    <row r="280" spans="1:36" s="65" customFormat="1" x14ac:dyDescent="0.35">
      <c r="A280" s="30"/>
      <c r="B280" s="30" t="str">
        <f t="shared" si="176"/>
        <v>Energex</v>
      </c>
      <c r="C280" s="30"/>
      <c r="D280" s="30" t="str">
        <f t="shared" si="177"/>
        <v>controlled load</v>
      </c>
      <c r="E280" s="30" t="s">
        <v>15</v>
      </c>
      <c r="F280" s="258">
        <f>F279</f>
        <v>1349</v>
      </c>
      <c r="G280" s="30" t="s">
        <v>74</v>
      </c>
      <c r="H280" s="482"/>
      <c r="I280" s="482" cm="1">
        <f t="array" ref="I280">_xlfn.XLOOKUP(1,($B280=DistributionZone)*($G280=Description)*($I$5=Desc_FixedOrVar),valuesPY,0)</f>
        <v>5.1359999999999992</v>
      </c>
      <c r="J280" s="482">
        <f>IF(AND(H280="",I280=""),"",H280+I280*$F280/1000)</f>
        <v>6.9284639999999991</v>
      </c>
      <c r="K280" s="484">
        <f>IFERROR(J280/J282,"")</f>
        <v>0.43094380081021727</v>
      </c>
      <c r="L280" s="563"/>
      <c r="M280" s="484">
        <f t="shared" si="178"/>
        <v>-0.12694704049844219</v>
      </c>
      <c r="N280" s="563"/>
      <c r="O280" s="482"/>
      <c r="P280" s="482" cm="1">
        <f t="array" ref="P280">_xlfn.XLOOKUP(1,($B280=DistributionZone)*($G280=Description)*($I$5=Desc_FixedOrVar),valuesFY,0)</f>
        <v>4.484</v>
      </c>
      <c r="Q280" s="482">
        <f t="shared" si="179"/>
        <v>6.0489160000000002</v>
      </c>
      <c r="R280" s="484">
        <f>IFERROR(Q280/Q282,"")</f>
        <v>0.55490314730181578</v>
      </c>
      <c r="S280" s="484"/>
      <c r="T280" s="644"/>
      <c r="U280" s="484"/>
      <c r="V280" s="484"/>
      <c r="W280" s="484"/>
      <c r="X280" s="484"/>
      <c r="Y280" s="484"/>
      <c r="Z280" s="484"/>
      <c r="AA280" s="484"/>
      <c r="AB280" s="484"/>
      <c r="AC280" s="484"/>
      <c r="AD280" s="484"/>
      <c r="AE280" s="484"/>
      <c r="AF280" s="484"/>
      <c r="AG280" s="484"/>
      <c r="AH280" s="484"/>
      <c r="AI280" s="484"/>
      <c r="AJ280" s="484"/>
    </row>
    <row r="281" spans="1:36" s="65" customFormat="1" x14ac:dyDescent="0.35">
      <c r="A281" s="30"/>
      <c r="B281" s="30" t="str">
        <f t="shared" si="176"/>
        <v>Energex</v>
      </c>
      <c r="C281" s="30"/>
      <c r="D281" s="30" t="str">
        <f t="shared" si="177"/>
        <v>controlled load</v>
      </c>
      <c r="E281" s="30" t="s">
        <v>15</v>
      </c>
      <c r="F281" s="258">
        <f>F280</f>
        <v>1349</v>
      </c>
      <c r="G281" s="30" t="s">
        <v>72</v>
      </c>
      <c r="H281" s="482"/>
      <c r="I281" s="482" cm="1">
        <f t="array" ref="I281">_xlfn.XLOOKUP(1,($B281=DistributionZone)*($C281=CustomerType)*($D281=tariffL2)*($E281=tariffType)*($G281=Description)*($I$5=Desc_FixedOrVar),valuesPY,0)*SUM(I279:I280)</f>
        <v>0.6649846892764153</v>
      </c>
      <c r="J281" s="482">
        <f>IF(AND(H281="",I281=""),"",H281+I281*$F281/1000)</f>
        <v>0.89706434583388417</v>
      </c>
      <c r="K281" s="484">
        <f>IFERROR(J281/J282,"")</f>
        <v>5.5796540007277989E-2</v>
      </c>
      <c r="L281" s="563"/>
      <c r="M281" s="484">
        <f t="shared" si="178"/>
        <v>-0.33033829665406289</v>
      </c>
      <c r="N281" s="563"/>
      <c r="O281" s="482"/>
      <c r="P281" s="482" cm="1">
        <f t="array" ref="P281">_xlfn.XLOOKUP(1,($B281=DistributionZone)*($C281=CustomerType)*($D281=tariffL2)*($E281=tariffType)*($G281=Description)*($P$5=Desc_FixedOrVar),valuesFY,0)*SUM(P279:P280)</f>
        <v>0.44531477971981298</v>
      </c>
      <c r="Q281" s="482">
        <f t="shared" si="179"/>
        <v>0.60072963784202771</v>
      </c>
      <c r="R281" s="484">
        <f>IFERROR(Q281/Q282,"")</f>
        <v>5.5108513114750006E-2</v>
      </c>
      <c r="S281" s="484"/>
      <c r="T281" s="644"/>
      <c r="U281" s="484"/>
      <c r="V281" s="484"/>
      <c r="W281" s="484"/>
      <c r="X281" s="484"/>
      <c r="Y281" s="484"/>
      <c r="Z281" s="484"/>
      <c r="AA281" s="484"/>
      <c r="AB281" s="484"/>
      <c r="AC281" s="484"/>
      <c r="AD281" s="484"/>
      <c r="AE281" s="484"/>
      <c r="AF281" s="484"/>
      <c r="AG281" s="484"/>
      <c r="AH281" s="484"/>
      <c r="AI281" s="484"/>
      <c r="AJ281" s="484"/>
    </row>
    <row r="282" spans="1:36" s="65" customFormat="1" x14ac:dyDescent="0.35">
      <c r="A282" s="30"/>
      <c r="B282" s="30" t="str">
        <f t="shared" si="176"/>
        <v>Energex</v>
      </c>
      <c r="C282" s="30"/>
      <c r="D282" s="30" t="str">
        <f t="shared" si="177"/>
        <v>controlled load</v>
      </c>
      <c r="E282" s="30" t="s">
        <v>15</v>
      </c>
      <c r="F282" s="258">
        <f>F281</f>
        <v>1349</v>
      </c>
      <c r="G282" s="64" t="s">
        <v>55</v>
      </c>
      <c r="H282" s="487">
        <f>SUM(H277:H281)</f>
        <v>0</v>
      </c>
      <c r="I282" s="487">
        <f>SUM(I279:I281)</f>
        <v>11.918027339861505</v>
      </c>
      <c r="J282" s="487">
        <f>IF(AND(H282="",I282=""),"",H282+I282*+Usage!I$40/1000)</f>
        <v>16.077418881473168</v>
      </c>
      <c r="K282" s="564"/>
      <c r="L282" s="566"/>
      <c r="M282" s="564">
        <f t="shared" si="178"/>
        <v>-0.32197760545125886</v>
      </c>
      <c r="N282" s="566"/>
      <c r="O282" s="487">
        <f>SUM(O279:O281)</f>
        <v>0</v>
      </c>
      <c r="P282" s="487">
        <f>SUM(P279:P281)</f>
        <v>8.0806894352702603</v>
      </c>
      <c r="Q282" s="487">
        <f t="shared" si="179"/>
        <v>10.900850048179581</v>
      </c>
      <c r="R282" s="484"/>
      <c r="S282" s="484"/>
      <c r="T282" s="644"/>
      <c r="U282" s="484"/>
      <c r="V282" s="484"/>
      <c r="W282" s="484"/>
      <c r="X282" s="484"/>
      <c r="Y282" s="484"/>
      <c r="Z282" s="484"/>
      <c r="AA282" s="484"/>
      <c r="AB282" s="484"/>
      <c r="AC282" s="484"/>
      <c r="AD282" s="484"/>
      <c r="AE282" s="484"/>
      <c r="AF282" s="484"/>
      <c r="AG282" s="484"/>
      <c r="AH282" s="484"/>
      <c r="AI282" s="484"/>
      <c r="AJ282" s="484"/>
    </row>
    <row r="283" spans="1:36" s="65" customFormat="1" x14ac:dyDescent="0.35">
      <c r="A283" s="30"/>
      <c r="B283" s="30" t="str">
        <f t="shared" si="176"/>
        <v>Energex</v>
      </c>
      <c r="C283" s="30"/>
      <c r="D283" s="30" t="str">
        <f t="shared" si="177"/>
        <v>controlled load</v>
      </c>
      <c r="E283" s="30" t="s">
        <v>55</v>
      </c>
      <c r="F283" s="258">
        <f>SUM(F274,F275,F279)</f>
        <v>1900</v>
      </c>
      <c r="G283" s="64" t="s">
        <v>55</v>
      </c>
      <c r="H283" s="487"/>
      <c r="I283" s="487"/>
      <c r="J283" s="487">
        <f>J274+J278+J282</f>
        <v>22.644251945736858</v>
      </c>
      <c r="K283" s="564"/>
      <c r="L283" s="566"/>
      <c r="M283" s="564">
        <f t="shared" si="178"/>
        <v>-0.32197760545125886</v>
      </c>
      <c r="N283" s="566"/>
      <c r="O283" s="487"/>
      <c r="P283" s="487"/>
      <c r="Q283" s="487">
        <f>Q274+Q278+Q282</f>
        <v>15.353309927013495</v>
      </c>
      <c r="R283" s="484"/>
      <c r="S283" s="484"/>
      <c r="T283" s="644"/>
      <c r="U283" s="484"/>
      <c r="V283" s="484"/>
      <c r="W283" s="484"/>
      <c r="X283" s="484"/>
      <c r="Y283" s="484"/>
      <c r="Z283" s="484"/>
      <c r="AA283" s="484"/>
      <c r="AB283" s="484"/>
      <c r="AC283" s="484"/>
      <c r="AD283" s="484"/>
      <c r="AE283" s="484"/>
      <c r="AF283" s="484"/>
      <c r="AG283" s="484"/>
      <c r="AH283" s="484"/>
      <c r="AI283" s="484"/>
      <c r="AJ283" s="484"/>
    </row>
    <row r="284" spans="1:36" s="65" customFormat="1" x14ac:dyDescent="0.35">
      <c r="A284" s="30"/>
      <c r="B284" s="30" t="str">
        <f t="shared" si="176"/>
        <v>Energex</v>
      </c>
      <c r="C284" s="30"/>
      <c r="D284" s="30" t="str">
        <f t="shared" si="177"/>
        <v>controlled load</v>
      </c>
      <c r="E284" s="30"/>
      <c r="F284" s="258"/>
      <c r="G284" s="30" t="s">
        <v>38</v>
      </c>
      <c r="H284" s="482"/>
      <c r="I284" s="482"/>
      <c r="J284" s="482">
        <f>J283*GST</f>
        <v>2.2644251945736857</v>
      </c>
      <c r="K284" s="484"/>
      <c r="L284" s="568"/>
      <c r="M284" s="484"/>
      <c r="N284" s="568"/>
      <c r="O284" s="482"/>
      <c r="P284" s="482"/>
      <c r="Q284" s="482">
        <f>Q283*GST</f>
        <v>1.5353309927013497</v>
      </c>
      <c r="R284" s="564"/>
      <c r="S284" s="564"/>
      <c r="T284" s="646"/>
      <c r="U284" s="564"/>
      <c r="V284" s="564"/>
      <c r="W284" s="564"/>
      <c r="X284" s="564"/>
      <c r="Y284" s="564"/>
      <c r="Z284" s="564"/>
      <c r="AA284" s="564"/>
      <c r="AB284" s="564"/>
      <c r="AC284" s="564"/>
      <c r="AD284" s="564"/>
      <c r="AE284" s="564"/>
      <c r="AF284" s="564"/>
      <c r="AG284" s="564"/>
      <c r="AH284" s="564"/>
      <c r="AI284" s="564"/>
      <c r="AJ284" s="564"/>
    </row>
    <row r="285" spans="1:36" s="65" customFormat="1" x14ac:dyDescent="0.35">
      <c r="A285" s="30"/>
      <c r="B285" s="30" t="str">
        <f t="shared" si="176"/>
        <v>Energex</v>
      </c>
      <c r="C285" s="30"/>
      <c r="D285" s="30" t="str">
        <f t="shared" si="177"/>
        <v>controlled load</v>
      </c>
      <c r="E285" s="30"/>
      <c r="F285" s="258"/>
      <c r="G285" s="64" t="s">
        <v>79</v>
      </c>
      <c r="H285" s="487"/>
      <c r="I285" s="487"/>
      <c r="J285" s="487">
        <f>SUM(J283:J284)</f>
        <v>24.908677140310544</v>
      </c>
      <c r="K285" s="564"/>
      <c r="L285" s="566"/>
      <c r="M285" s="564">
        <f>IF(OR(J285=0,Q285=""),"",Q285/J285-1)</f>
        <v>-0.32197760545125886</v>
      </c>
      <c r="N285" s="566"/>
      <c r="O285" s="487"/>
      <c r="P285" s="487"/>
      <c r="Q285" s="487">
        <f>SUM(Q283:Q284)</f>
        <v>16.888640919714845</v>
      </c>
      <c r="R285" s="564"/>
      <c r="S285" s="564"/>
      <c r="T285" s="646"/>
      <c r="U285" s="564"/>
      <c r="V285" s="564"/>
      <c r="W285" s="564"/>
      <c r="X285" s="564"/>
      <c r="Y285" s="564"/>
      <c r="Z285" s="564"/>
      <c r="AA285" s="564"/>
      <c r="AB285" s="564"/>
      <c r="AC285" s="564"/>
      <c r="AD285" s="564"/>
      <c r="AE285" s="564"/>
      <c r="AF285" s="564"/>
      <c r="AG285" s="564"/>
      <c r="AH285" s="564"/>
      <c r="AI285" s="564"/>
      <c r="AJ285" s="564"/>
    </row>
    <row r="286" spans="1:36" s="65" customFormat="1" x14ac:dyDescent="0.35">
      <c r="A286" s="30"/>
      <c r="B286" s="30"/>
      <c r="C286" s="30"/>
      <c r="D286" s="30"/>
      <c r="E286" s="30"/>
      <c r="F286" s="258"/>
      <c r="G286" s="30"/>
      <c r="H286" s="482"/>
      <c r="I286" s="482"/>
      <c r="J286" s="482"/>
      <c r="K286" s="484"/>
      <c r="L286" s="568"/>
      <c r="M286" s="484"/>
      <c r="N286" s="568"/>
      <c r="O286" s="482"/>
      <c r="P286" s="482"/>
      <c r="Q286" s="482"/>
      <c r="R286" s="484"/>
      <c r="S286" s="484"/>
      <c r="T286" s="644"/>
      <c r="U286" s="484"/>
      <c r="V286" s="484"/>
      <c r="W286" s="484"/>
      <c r="X286" s="484"/>
      <c r="Y286" s="484"/>
      <c r="Z286" s="484"/>
      <c r="AA286" s="484"/>
      <c r="AB286" s="484"/>
      <c r="AC286" s="484"/>
      <c r="AD286" s="484"/>
      <c r="AE286" s="484"/>
      <c r="AF286" s="484"/>
      <c r="AG286" s="484"/>
      <c r="AH286" s="484"/>
      <c r="AI286" s="484"/>
      <c r="AJ286" s="484"/>
    </row>
    <row r="287" spans="1:36" s="65" customFormat="1" x14ac:dyDescent="0.35">
      <c r="A287" s="30"/>
      <c r="B287" s="64" t="s">
        <v>0</v>
      </c>
      <c r="C287" s="64" t="s">
        <v>13</v>
      </c>
      <c r="D287" s="64" t="s">
        <v>276</v>
      </c>
      <c r="E287" s="30"/>
      <c r="F287" s="258"/>
      <c r="G287" s="30"/>
      <c r="H287" s="482"/>
      <c r="I287" s="482"/>
      <c r="J287" s="482"/>
      <c r="K287" s="484"/>
      <c r="L287" s="568"/>
      <c r="M287" s="484"/>
      <c r="N287" s="568"/>
      <c r="O287" s="482"/>
      <c r="P287" s="482"/>
      <c r="Q287" s="482"/>
      <c r="R287" s="484"/>
      <c r="S287" s="484"/>
      <c r="T287" s="644"/>
      <c r="U287" s="484"/>
      <c r="V287" s="484"/>
      <c r="W287" s="484"/>
      <c r="X287" s="484"/>
      <c r="Y287" s="484"/>
      <c r="Z287" s="484"/>
      <c r="AA287" s="484"/>
      <c r="AB287" s="484"/>
      <c r="AC287" s="484"/>
      <c r="AD287" s="484"/>
      <c r="AE287" s="484"/>
      <c r="AF287" s="484"/>
      <c r="AG287" s="484"/>
      <c r="AH287" s="484"/>
      <c r="AI287" s="484"/>
      <c r="AJ287" s="484"/>
    </row>
    <row r="288" spans="1:36" s="65" customFormat="1" x14ac:dyDescent="0.35">
      <c r="A288" s="30"/>
      <c r="B288" s="30" t="str">
        <f t="shared" ref="B288:D293" si="180">B287</f>
        <v>Energex</v>
      </c>
      <c r="C288" s="30" t="str">
        <f t="shared" si="180"/>
        <v>Small business</v>
      </c>
      <c r="D288" s="30" t="str">
        <f t="shared" si="180"/>
        <v>flat rate</v>
      </c>
      <c r="E288" s="30" t="s">
        <v>19</v>
      </c>
      <c r="F288" s="258" cm="1">
        <f t="array" ref="F288">IFERROR(_xlfn.XLOOKUP(1,($B288=DistributionZone)*($C288=CustomerType)*($E288=tariffType)*(F$5=Description)*($D288=tariffL2),valuesFY),0)</f>
        <v>10000</v>
      </c>
      <c r="G288" s="30" t="s">
        <v>73</v>
      </c>
      <c r="H288" s="482"/>
      <c r="I288" s="482" cm="1">
        <f t="array" ref="I288">_xlfn.XLOOKUP(1,($B288=DistributionZone)*($G288=Description)*($I$5=Desc_FixedOrVar),valuesPY,0)</f>
        <v>6.1170426505850894</v>
      </c>
      <c r="J288" s="482">
        <f>IF(AND(H288="",I288=""),"",H288+I288*$F288/1000)</f>
        <v>61.170426505850898</v>
      </c>
      <c r="K288" s="484">
        <f>IFERROR(J288/J291,"")</f>
        <v>0.51325965918250482</v>
      </c>
      <c r="L288" s="563"/>
      <c r="M288" s="484">
        <f>IF(OR(J288=0,Q288=""),"",Q288/J288-1)</f>
        <v>-0.48482055209325359</v>
      </c>
      <c r="N288" s="563"/>
      <c r="O288" s="482"/>
      <c r="P288" s="482" cm="1">
        <f t="array" ref="P288">_xlfn.XLOOKUP(1,($B288=DistributionZone)*($G288=Description)*($I$5=Desc_FixedOrVar),valuesFY,0)</f>
        <v>3.1513746555504474</v>
      </c>
      <c r="Q288" s="482">
        <f>IF(AND(O288="",P288=""),"",O288+P288*$F288/1000)</f>
        <v>31.513746555504472</v>
      </c>
      <c r="R288" s="484">
        <f>IFERROR(Q288/Q291,"")</f>
        <v>0.38998833958343421</v>
      </c>
      <c r="S288" s="484"/>
      <c r="T288" s="645"/>
      <c r="U288" s="484"/>
      <c r="V288" s="484"/>
      <c r="W288" s="484"/>
      <c r="X288" s="484"/>
      <c r="Y288" s="484"/>
      <c r="Z288" s="484"/>
      <c r="AA288" s="484"/>
      <c r="AB288" s="484"/>
      <c r="AC288" s="484"/>
      <c r="AD288" s="484"/>
      <c r="AE288" s="484"/>
      <c r="AF288" s="484"/>
      <c r="AG288" s="484"/>
      <c r="AH288" s="484"/>
      <c r="AI288" s="484"/>
      <c r="AJ288" s="484"/>
    </row>
    <row r="289" spans="1:36" s="65" customFormat="1" x14ac:dyDescent="0.35">
      <c r="A289" s="30"/>
      <c r="B289" s="30" t="str">
        <f t="shared" si="180"/>
        <v>Energex</v>
      </c>
      <c r="C289" s="30" t="str">
        <f t="shared" si="180"/>
        <v>Small business</v>
      </c>
      <c r="D289" s="30" t="str">
        <f t="shared" si="180"/>
        <v>flat rate</v>
      </c>
      <c r="E289" s="30" t="s">
        <v>19</v>
      </c>
      <c r="F289" s="258">
        <f>F288</f>
        <v>10000</v>
      </c>
      <c r="G289" s="30" t="s">
        <v>74</v>
      </c>
      <c r="H289" s="482"/>
      <c r="I289" s="482" cm="1">
        <f t="array" ref="I289">_xlfn.XLOOKUP(1,($B289=DistributionZone)*($G289=Description)*($I$5=Desc_FixedOrVar),valuesPY,0)</f>
        <v>5.1359999999999992</v>
      </c>
      <c r="J289" s="482">
        <f>IF(AND(H289="",I289=""),"",H289+I289*$F289/1000)</f>
        <v>51.359999999999992</v>
      </c>
      <c r="K289" s="484">
        <f>IFERROR(J289/J291,"")</f>
        <v>0.43094380081021721</v>
      </c>
      <c r="L289" s="563"/>
      <c r="M289" s="484">
        <f>IF(OR(J289=0,Q289=""),"",Q289/J289-1)</f>
        <v>-0.12694704049844219</v>
      </c>
      <c r="N289" s="563"/>
      <c r="O289" s="482"/>
      <c r="P289" s="482" cm="1">
        <f t="array" ref="P289">_xlfn.XLOOKUP(1,($B289=DistributionZone)*($G289=Description)*($I$5=Desc_FixedOrVar),valuesFY,0)</f>
        <v>4.484</v>
      </c>
      <c r="Q289" s="482">
        <f>IF(AND(O289="",P289=""),"",O289+P289*$F289/1000)</f>
        <v>44.84</v>
      </c>
      <c r="R289" s="484">
        <f>IFERROR(Q289/Q291,"")</f>
        <v>0.55490314730181589</v>
      </c>
      <c r="S289" s="484"/>
      <c r="T289" s="644"/>
      <c r="U289" s="484"/>
      <c r="V289" s="484"/>
      <c r="W289" s="484"/>
      <c r="X289" s="484"/>
      <c r="Y289" s="484"/>
      <c r="Z289" s="484"/>
      <c r="AA289" s="484"/>
      <c r="AB289" s="484"/>
      <c r="AC289" s="484"/>
      <c r="AD289" s="484"/>
      <c r="AE289" s="484"/>
      <c r="AF289" s="484"/>
      <c r="AG289" s="484"/>
      <c r="AH289" s="484"/>
      <c r="AI289" s="484"/>
      <c r="AJ289" s="484"/>
    </row>
    <row r="290" spans="1:36" s="65" customFormat="1" x14ac:dyDescent="0.35">
      <c r="A290" s="30"/>
      <c r="B290" s="30" t="str">
        <f t="shared" si="180"/>
        <v>Energex</v>
      </c>
      <c r="C290" s="30" t="str">
        <f t="shared" si="180"/>
        <v>Small business</v>
      </c>
      <c r="D290" s="30" t="str">
        <f t="shared" si="180"/>
        <v>flat rate</v>
      </c>
      <c r="E290" s="30" t="s">
        <v>19</v>
      </c>
      <c r="F290" s="258">
        <f>F289</f>
        <v>10000</v>
      </c>
      <c r="G290" s="30" t="s">
        <v>72</v>
      </c>
      <c r="H290" s="482"/>
      <c r="I290" s="482" cm="1">
        <f t="array" ref="I290">_xlfn.XLOOKUP(1,($B290=DistributionZone)*($C290=CustomerType)*($D290=tariffL2)*($E290=tariffType)*($G290=Description)*($I$5=Desc_FixedOrVar),valuesPY,0)*SUM(I288:I289)</f>
        <v>0.6649846892764153</v>
      </c>
      <c r="J290" s="482">
        <f>IF(AND(H290="",I290=""),"",H290+I290*$F290/1000)</f>
        <v>6.6498468927641534</v>
      </c>
      <c r="K290" s="484">
        <f>IFERROR(J290/J291,"")</f>
        <v>5.5796540007277996E-2</v>
      </c>
      <c r="L290" s="563"/>
      <c r="M290" s="484">
        <f>IF(OR(J290=0,Q290=""),"",Q290/J290-1)</f>
        <v>-0.330338296654063</v>
      </c>
      <c r="N290" s="563"/>
      <c r="O290" s="482"/>
      <c r="P290" s="482" cm="1">
        <f t="array" ref="P290">_xlfn.XLOOKUP(1,($B290=DistributionZone)*($C290=CustomerType)*($D290=tariffL2)*($E290=tariffType)*($G290=Description)*($P$5=Desc_FixedOrVar),valuesFY,0)*SUM(P288:P289)</f>
        <v>0.44531477971981298</v>
      </c>
      <c r="Q290" s="482">
        <f>IF(AND(O290="",P290=""),"",O290+P290*$F290/1000)</f>
        <v>4.4531477971981293</v>
      </c>
      <c r="R290" s="484">
        <f>IFERROR(Q290/Q291,"")</f>
        <v>5.5108513114750006E-2</v>
      </c>
      <c r="S290" s="484"/>
      <c r="T290" s="644"/>
      <c r="U290" s="484"/>
      <c r="V290" s="484"/>
      <c r="W290" s="484"/>
      <c r="X290" s="484"/>
      <c r="Y290" s="484"/>
      <c r="Z290" s="484"/>
      <c r="AA290" s="484"/>
      <c r="AB290" s="484"/>
      <c r="AC290" s="484"/>
      <c r="AD290" s="484"/>
      <c r="AE290" s="484"/>
      <c r="AF290" s="484"/>
      <c r="AG290" s="484"/>
      <c r="AH290" s="484"/>
      <c r="AI290" s="484"/>
      <c r="AJ290" s="484"/>
    </row>
    <row r="291" spans="1:36" s="65" customFormat="1" x14ac:dyDescent="0.35">
      <c r="A291" s="30"/>
      <c r="B291" s="30" t="str">
        <f t="shared" si="180"/>
        <v>Energex</v>
      </c>
      <c r="C291" s="30" t="str">
        <f t="shared" si="180"/>
        <v>Small business</v>
      </c>
      <c r="D291" s="30" t="str">
        <f t="shared" si="180"/>
        <v>flat rate</v>
      </c>
      <c r="E291" s="30" t="s">
        <v>19</v>
      </c>
      <c r="F291" s="258">
        <f>F290</f>
        <v>10000</v>
      </c>
      <c r="G291" s="64" t="s">
        <v>55</v>
      </c>
      <c r="H291" s="487">
        <f>SUM(H288:H290)</f>
        <v>0</v>
      </c>
      <c r="I291" s="487">
        <f>SUM(I288:I290)</f>
        <v>11.918027339861505</v>
      </c>
      <c r="J291" s="487">
        <f>IF(AND(H291="",I291=""),"",H291+I291*+Usage!M$40/1000)</f>
        <v>119.18027339861504</v>
      </c>
      <c r="K291" s="564"/>
      <c r="L291" s="566"/>
      <c r="M291" s="564">
        <f>IF(OR(J291=0,Q291=""),"",Q291/J291-1)</f>
        <v>-0.32197760545125897</v>
      </c>
      <c r="N291" s="566"/>
      <c r="O291" s="487">
        <f>SUM(O288:O290)</f>
        <v>0</v>
      </c>
      <c r="P291" s="487">
        <f>SUM(P288:P290)</f>
        <v>8.0806894352702603</v>
      </c>
      <c r="Q291" s="487">
        <f>IF(AND(O291="",P291=""),"",O291+P291*$F291/1000)</f>
        <v>80.806894352702599</v>
      </c>
      <c r="R291" s="484"/>
      <c r="S291" s="484"/>
      <c r="T291" s="644"/>
      <c r="U291" s="484"/>
      <c r="V291" s="484"/>
      <c r="W291" s="484"/>
      <c r="X291" s="484"/>
      <c r="Y291" s="484"/>
      <c r="Z291" s="484"/>
      <c r="AA291" s="484"/>
      <c r="AB291" s="484"/>
      <c r="AC291" s="484"/>
      <c r="AD291" s="484"/>
      <c r="AE291" s="484"/>
      <c r="AF291" s="484"/>
      <c r="AG291" s="484"/>
      <c r="AH291" s="484"/>
      <c r="AI291" s="484"/>
      <c r="AJ291" s="484"/>
    </row>
    <row r="292" spans="1:36" s="65" customFormat="1" x14ac:dyDescent="0.35">
      <c r="A292" s="30"/>
      <c r="B292" s="30" t="str">
        <f t="shared" si="180"/>
        <v>Energex</v>
      </c>
      <c r="C292" s="30" t="str">
        <f t="shared" si="180"/>
        <v>Small business</v>
      </c>
      <c r="D292" s="30" t="str">
        <f t="shared" si="180"/>
        <v>flat rate</v>
      </c>
      <c r="E292" s="30"/>
      <c r="F292" s="258"/>
      <c r="G292" s="30" t="s">
        <v>38</v>
      </c>
      <c r="H292" s="482"/>
      <c r="I292" s="482"/>
      <c r="J292" s="482">
        <f>J291*GST</f>
        <v>11.918027339861505</v>
      </c>
      <c r="K292" s="484"/>
      <c r="L292" s="568"/>
      <c r="M292" s="484"/>
      <c r="N292" s="568"/>
      <c r="O292" s="482"/>
      <c r="P292" s="482"/>
      <c r="Q292" s="482">
        <f>Q291*GST</f>
        <v>8.0806894352702603</v>
      </c>
      <c r="R292" s="564"/>
      <c r="S292" s="564"/>
      <c r="T292" s="646"/>
      <c r="U292" s="564"/>
      <c r="V292" s="564"/>
      <c r="W292" s="564"/>
      <c r="X292" s="564"/>
      <c r="Y292" s="564"/>
      <c r="Z292" s="564"/>
      <c r="AA292" s="564"/>
      <c r="AB292" s="564"/>
      <c r="AC292" s="564"/>
      <c r="AD292" s="564"/>
      <c r="AE292" s="564"/>
      <c r="AF292" s="564"/>
      <c r="AG292" s="564"/>
      <c r="AH292" s="564"/>
      <c r="AI292" s="564"/>
      <c r="AJ292" s="564"/>
    </row>
    <row r="293" spans="1:36" s="65" customFormat="1" x14ac:dyDescent="0.35">
      <c r="A293" s="30"/>
      <c r="B293" s="30" t="str">
        <f t="shared" si="180"/>
        <v>Energex</v>
      </c>
      <c r="C293" s="30" t="str">
        <f t="shared" si="180"/>
        <v>Small business</v>
      </c>
      <c r="D293" s="30" t="str">
        <f t="shared" si="180"/>
        <v>flat rate</v>
      </c>
      <c r="E293" s="30"/>
      <c r="F293" s="258"/>
      <c r="G293" s="64" t="s">
        <v>79</v>
      </c>
      <c r="H293" s="487"/>
      <c r="I293" s="487"/>
      <c r="J293" s="487">
        <f>SUM(J291:J292)</f>
        <v>131.09830073847655</v>
      </c>
      <c r="K293" s="564"/>
      <c r="L293" s="566"/>
      <c r="M293" s="564">
        <f>IF(OR(J293=0,Q293=""),"",Q293/J293-1)</f>
        <v>-0.32197760545125897</v>
      </c>
      <c r="N293" s="566"/>
      <c r="O293" s="487"/>
      <c r="P293" s="487"/>
      <c r="Q293" s="487">
        <f>SUM(Q291:Q292)</f>
        <v>88.887583787972858</v>
      </c>
      <c r="R293" s="564"/>
      <c r="S293" s="564"/>
      <c r="T293" s="646"/>
      <c r="U293" s="564"/>
      <c r="V293" s="564"/>
      <c r="W293" s="564"/>
      <c r="X293" s="564"/>
      <c r="Y293" s="564"/>
      <c r="Z293" s="564"/>
      <c r="AA293" s="564"/>
      <c r="AB293" s="564"/>
      <c r="AC293" s="564"/>
      <c r="AD293" s="564"/>
      <c r="AE293" s="564"/>
      <c r="AF293" s="564"/>
      <c r="AG293" s="564"/>
      <c r="AH293" s="564"/>
      <c r="AI293" s="564"/>
      <c r="AJ293" s="564"/>
    </row>
    <row r="294" spans="1:36" s="65" customFormat="1" x14ac:dyDescent="0.35">
      <c r="A294" s="30"/>
      <c r="B294" s="30"/>
      <c r="C294" s="30"/>
      <c r="D294" s="30"/>
      <c r="E294" s="30"/>
      <c r="F294" s="258"/>
      <c r="G294" s="30"/>
      <c r="H294" s="482"/>
      <c r="I294" s="482"/>
      <c r="J294" s="482"/>
      <c r="K294" s="484"/>
      <c r="L294" s="568"/>
      <c r="M294" s="484"/>
      <c r="N294" s="568"/>
      <c r="O294" s="482"/>
      <c r="P294" s="482"/>
      <c r="Q294" s="482"/>
      <c r="R294" s="484"/>
      <c r="S294" s="484"/>
      <c r="T294" s="644"/>
      <c r="U294" s="484"/>
      <c r="V294" s="484"/>
      <c r="W294" s="484"/>
      <c r="X294" s="484"/>
      <c r="Y294" s="484"/>
      <c r="Z294" s="484"/>
      <c r="AA294" s="484"/>
      <c r="AB294" s="484"/>
      <c r="AC294" s="484"/>
      <c r="AD294" s="484"/>
      <c r="AE294" s="484"/>
      <c r="AF294" s="484"/>
      <c r="AG294" s="484"/>
      <c r="AH294" s="484"/>
      <c r="AI294" s="484"/>
      <c r="AJ294" s="484"/>
    </row>
    <row r="295" spans="1:36" s="627" customFormat="1" x14ac:dyDescent="0.35">
      <c r="A295" s="570"/>
      <c r="B295" s="571" t="s">
        <v>0</v>
      </c>
      <c r="C295" s="571" t="s">
        <v>13</v>
      </c>
      <c r="D295" s="571" t="s">
        <v>272</v>
      </c>
      <c r="E295" s="570"/>
      <c r="F295" s="485"/>
      <c r="G295" s="570"/>
      <c r="H295" s="574"/>
      <c r="I295" s="574"/>
      <c r="J295" s="574"/>
      <c r="K295" s="575"/>
      <c r="L295" s="582"/>
      <c r="M295" s="575"/>
      <c r="N295" s="582"/>
      <c r="O295" s="574"/>
      <c r="P295" s="574"/>
      <c r="Q295" s="574"/>
      <c r="R295" s="575"/>
      <c r="S295" s="575"/>
      <c r="T295" s="649"/>
      <c r="U295" s="575"/>
      <c r="V295" s="575"/>
      <c r="W295" s="575"/>
      <c r="X295" s="575"/>
      <c r="Y295" s="575"/>
      <c r="Z295" s="575"/>
      <c r="AA295" s="575"/>
      <c r="AB295" s="575"/>
      <c r="AC295" s="575"/>
      <c r="AD295" s="575"/>
      <c r="AE295" s="575"/>
      <c r="AF295" s="575"/>
      <c r="AG295" s="575"/>
      <c r="AH295" s="575"/>
      <c r="AI295" s="575"/>
      <c r="AJ295" s="575"/>
    </row>
    <row r="296" spans="1:36" s="627" customFormat="1" x14ac:dyDescent="0.35">
      <c r="A296" s="570"/>
      <c r="B296" s="570" t="str">
        <f t="shared" ref="B296:D296" si="181">B295</f>
        <v>Energex</v>
      </c>
      <c r="C296" s="570" t="str">
        <f t="shared" si="181"/>
        <v>Small business</v>
      </c>
      <c r="D296" s="570" t="str">
        <f t="shared" si="181"/>
        <v>time of use</v>
      </c>
      <c r="E296" s="570" t="s">
        <v>279</v>
      </c>
      <c r="F296" s="485" cm="1">
        <f t="array" ref="F296">_xlfn.XLOOKUP(1,($B296=DistributionZone)*($C296=CustomerType)*($D296=tariffL2)*($F$5=Description),valuesPY)*_xlfn.XLOOKUP(1,($B296=DistributionZone)*($C296=CustomerType)*($D296=tariffL2)*($E296=tariffType)*("Usage proportion"=Description),valuesFY)</f>
        <v>1251.8730860537928</v>
      </c>
      <c r="G296" s="570" t="s">
        <v>73</v>
      </c>
      <c r="H296" s="574"/>
      <c r="I296" s="574" cm="1">
        <f t="array" ref="I296">_xlfn.XLOOKUP(1,($B296=DistributionZone)*($G296=Description)*($I$5=Desc_FixedOrVar),valuesPY,0)</f>
        <v>6.1170426505850894</v>
      </c>
      <c r="J296" s="574">
        <f>IF(AND(H296="",I296=""),"",H296+I296*$F296/1000)</f>
        <v>7.6577610605106283</v>
      </c>
      <c r="K296" s="575" t="str">
        <f>IFERROR(J296/J299,"")</f>
        <v/>
      </c>
      <c r="L296" s="576"/>
      <c r="M296" s="575">
        <f t="shared" ref="M296:M307" si="182">IF(OR(J296=0,Q296=""),"",Q296/J296-1)</f>
        <v>-0.48482055209325359</v>
      </c>
      <c r="N296" s="576"/>
      <c r="O296" s="574"/>
      <c r="P296" s="574" cm="1">
        <f t="array" ref="P296">_xlfn.XLOOKUP(1,($B296=DistributionZone)*($G296=Description)*($I$5=Desc_FixedOrVar),valuesFY,0)</f>
        <v>3.1513746555504474</v>
      </c>
      <c r="Q296" s="574">
        <f t="shared" ref="Q296:Q307" si="183">IF(AND(O296="",P296=""),"",O296+P296*$F296/1000)</f>
        <v>3.9451211153556467</v>
      </c>
      <c r="R296" s="575">
        <f>IFERROR(Q296/Q299,"")</f>
        <v>0.38998833958343421</v>
      </c>
      <c r="S296" s="575"/>
      <c r="T296" s="634"/>
      <c r="U296" s="575"/>
      <c r="V296" s="575"/>
      <c r="W296" s="575"/>
      <c r="X296" s="575"/>
      <c r="Y296" s="575"/>
      <c r="Z296" s="575"/>
      <c r="AA296" s="575"/>
      <c r="AB296" s="575"/>
      <c r="AC296" s="575"/>
      <c r="AD296" s="575"/>
      <c r="AE296" s="575"/>
      <c r="AF296" s="575"/>
      <c r="AG296" s="575"/>
      <c r="AH296" s="575"/>
      <c r="AI296" s="575"/>
      <c r="AJ296" s="575"/>
    </row>
    <row r="297" spans="1:36" s="627" customFormat="1" x14ac:dyDescent="0.35">
      <c r="A297" s="570"/>
      <c r="B297" s="570" t="str">
        <f t="shared" ref="B297:E297" si="184">B296</f>
        <v>Energex</v>
      </c>
      <c r="C297" s="570" t="str">
        <f t="shared" si="184"/>
        <v>Small business</v>
      </c>
      <c r="D297" s="570" t="str">
        <f t="shared" si="184"/>
        <v>time of use</v>
      </c>
      <c r="E297" s="570" t="str">
        <f t="shared" si="184"/>
        <v>time of use (Off-peak)</v>
      </c>
      <c r="F297" s="485">
        <f>F296</f>
        <v>1251.8730860537928</v>
      </c>
      <c r="G297" s="570" t="s">
        <v>74</v>
      </c>
      <c r="H297" s="574"/>
      <c r="I297" s="574" cm="1">
        <f t="array" ref="I297">_xlfn.XLOOKUP(1,($B297=DistributionZone)*($G297=Description)*($I$5=Desc_FixedOrVar),valuesPY,0)</f>
        <v>5.1359999999999992</v>
      </c>
      <c r="J297" s="574">
        <f>IF(AND(H297="",I297=""),"",H297+I297*$F297/1000)</f>
        <v>6.4296201699722788</v>
      </c>
      <c r="K297" s="575" t="str">
        <f>IFERROR(J297/J299,"")</f>
        <v/>
      </c>
      <c r="L297" s="576"/>
      <c r="M297" s="575">
        <f t="shared" si="182"/>
        <v>-0.12694704049844219</v>
      </c>
      <c r="N297" s="576"/>
      <c r="O297" s="574"/>
      <c r="P297" s="574" cm="1">
        <f t="array" ref="P297">_xlfn.XLOOKUP(1,($B297=DistributionZone)*($G297=Description)*($I$5=Desc_FixedOrVar),valuesFY,0)</f>
        <v>4.484</v>
      </c>
      <c r="Q297" s="574">
        <f t="shared" si="183"/>
        <v>5.6133989178652071</v>
      </c>
      <c r="R297" s="575">
        <f>IFERROR(Q297/Q299,"")</f>
        <v>0.55490314730181589</v>
      </c>
      <c r="S297" s="575"/>
      <c r="T297" s="649"/>
      <c r="U297" s="575"/>
      <c r="V297" s="575"/>
      <c r="W297" s="575"/>
      <c r="X297" s="575"/>
      <c r="Y297" s="575"/>
      <c r="Z297" s="575"/>
      <c r="AA297" s="575"/>
      <c r="AB297" s="575"/>
      <c r="AC297" s="575"/>
      <c r="AD297" s="575"/>
      <c r="AE297" s="575"/>
      <c r="AF297" s="575"/>
      <c r="AG297" s="575"/>
      <c r="AH297" s="575"/>
      <c r="AI297" s="575"/>
      <c r="AJ297" s="575"/>
    </row>
    <row r="298" spans="1:36" s="627" customFormat="1" x14ac:dyDescent="0.35">
      <c r="A298" s="570"/>
      <c r="B298" s="570" t="str">
        <f t="shared" ref="B298:E298" si="185">B297</f>
        <v>Energex</v>
      </c>
      <c r="C298" s="570" t="str">
        <f t="shared" si="185"/>
        <v>Small business</v>
      </c>
      <c r="D298" s="570" t="str">
        <f t="shared" si="185"/>
        <v>time of use</v>
      </c>
      <c r="E298" s="570" t="str">
        <f t="shared" si="185"/>
        <v>time of use (Off-peak)</v>
      </c>
      <c r="F298" s="485">
        <f>F297</f>
        <v>1251.8730860537928</v>
      </c>
      <c r="G298" s="570" t="s">
        <v>72</v>
      </c>
      <c r="H298" s="574"/>
      <c r="I298" s="574" cm="1">
        <f t="array" ref="I298">_xlfn.XLOOKUP(1,($B298=DistributionZone)*($C298=CustomerType)*($D298=tariffL2)*($G298=Description)*($I$5=Desc_FixedOrVar),valuesPY,0)*SUM(I296:I297)</f>
        <v>0</v>
      </c>
      <c r="J298" s="574">
        <f>IF(AND(H298="",I298=""),"",H298+I298*$F298/1000)</f>
        <v>0</v>
      </c>
      <c r="K298" s="575" t="str">
        <f>IFERROR(J298/J299,"")</f>
        <v/>
      </c>
      <c r="L298" s="576"/>
      <c r="M298" s="575" t="str">
        <f t="shared" si="182"/>
        <v/>
      </c>
      <c r="N298" s="576"/>
      <c r="O298" s="574"/>
      <c r="P298" s="574" cm="1">
        <f t="array" ref="P298">_xlfn.XLOOKUP(1,($B298=DistributionZone)*($C298=CustomerType)*($D298=tariffL2)*($G298=Description)*($P$5=Desc_FixedOrVar),valuesFY,0)*SUM(P296:P297)</f>
        <v>0.44531477971981298</v>
      </c>
      <c r="Q298" s="574">
        <f t="shared" si="183"/>
        <v>0.5574775875532072</v>
      </c>
      <c r="R298" s="575">
        <f>IFERROR(Q298/Q299,"")</f>
        <v>5.5108513114750013E-2</v>
      </c>
      <c r="S298" s="575"/>
      <c r="T298" s="649"/>
      <c r="U298" s="575"/>
      <c r="V298" s="575"/>
      <c r="W298" s="575"/>
      <c r="X298" s="575"/>
      <c r="Y298" s="575"/>
      <c r="Z298" s="575"/>
      <c r="AA298" s="575"/>
      <c r="AB298" s="575"/>
      <c r="AC298" s="575"/>
      <c r="AD298" s="575"/>
      <c r="AE298" s="575"/>
      <c r="AF298" s="575"/>
      <c r="AG298" s="575"/>
      <c r="AH298" s="575"/>
      <c r="AI298" s="575"/>
      <c r="AJ298" s="575"/>
    </row>
    <row r="299" spans="1:36" s="627" customFormat="1" x14ac:dyDescent="0.35">
      <c r="A299" s="570"/>
      <c r="B299" s="570" t="str">
        <f t="shared" ref="B299:E299" si="186">B298</f>
        <v>Energex</v>
      </c>
      <c r="C299" s="570" t="str">
        <f t="shared" si="186"/>
        <v>Small business</v>
      </c>
      <c r="D299" s="570" t="str">
        <f t="shared" si="186"/>
        <v>time of use</v>
      </c>
      <c r="E299" s="570" t="str">
        <f t="shared" si="186"/>
        <v>time of use (Off-peak)</v>
      </c>
      <c r="F299" s="485">
        <f>F298</f>
        <v>1251.8730860537928</v>
      </c>
      <c r="G299" s="571" t="s">
        <v>55</v>
      </c>
      <c r="H299" s="577">
        <f>IF($H$3=PY,0,SUM(H296:H298))</f>
        <v>0</v>
      </c>
      <c r="I299" s="577">
        <f>IF($H$3=PY,0,SUM(I296:I298))</f>
        <v>0</v>
      </c>
      <c r="J299" s="577">
        <f>IF($H$3=PY,0,SUM(J296:J298))</f>
        <v>0</v>
      </c>
      <c r="K299" s="578"/>
      <c r="L299" s="580"/>
      <c r="M299" s="578" t="str">
        <f t="shared" si="182"/>
        <v/>
      </c>
      <c r="N299" s="580"/>
      <c r="O299" s="577">
        <f>SUM(O296:O298)</f>
        <v>0</v>
      </c>
      <c r="P299" s="577">
        <f>SUM(P296:P298)</f>
        <v>8.0806894352702603</v>
      </c>
      <c r="Q299" s="577">
        <f t="shared" si="183"/>
        <v>10.11599762077406</v>
      </c>
      <c r="R299" s="575"/>
      <c r="S299" s="575"/>
      <c r="T299" s="649"/>
      <c r="U299" s="575"/>
      <c r="V299" s="575"/>
      <c r="W299" s="575"/>
      <c r="X299" s="575"/>
      <c r="Y299" s="575"/>
      <c r="Z299" s="575"/>
      <c r="AA299" s="575"/>
      <c r="AB299" s="575"/>
      <c r="AC299" s="575"/>
      <c r="AD299" s="575"/>
      <c r="AE299" s="575"/>
      <c r="AF299" s="575"/>
      <c r="AG299" s="575"/>
      <c r="AH299" s="575"/>
      <c r="AI299" s="575"/>
      <c r="AJ299" s="575"/>
    </row>
    <row r="300" spans="1:36" s="627" customFormat="1" x14ac:dyDescent="0.35">
      <c r="A300" s="570"/>
      <c r="B300" s="570" t="str">
        <f t="shared" ref="B300:D300" si="187">B299</f>
        <v>Energex</v>
      </c>
      <c r="C300" s="570" t="str">
        <f t="shared" si="187"/>
        <v>Small business</v>
      </c>
      <c r="D300" s="570" t="str">
        <f t="shared" si="187"/>
        <v>time of use</v>
      </c>
      <c r="E300" s="570" t="s">
        <v>278</v>
      </c>
      <c r="F300" s="485" cm="1">
        <f t="array" ref="F300">_xlfn.XLOOKUP(1,($B300=DistributionZone)*($C300=CustomerType)*($D300=tariffL2)*($F$5=Description),valuesPY)*_xlfn.XLOOKUP(1,($B300=DistributionZone)*($C300=CustomerType)*($D300=tariffL2)*($E300=tariffType)*("Usage proportion"=Description),valuesFY)</f>
        <v>867.04544081915776</v>
      </c>
      <c r="G300" s="570" t="s">
        <v>73</v>
      </c>
      <c r="H300" s="574"/>
      <c r="I300" s="574" cm="1">
        <f t="array" ref="I300">_xlfn.XLOOKUP(1,($B300=DistributionZone)*($G300=Description)*($I$5=Desc_FixedOrVar),valuesPY,0)</f>
        <v>6.1170426505850894</v>
      </c>
      <c r="J300" s="574">
        <f>IF(AND(H300="",I300=""),"",H300+I300*$F300/1000)</f>
        <v>5.3037539414861383</v>
      </c>
      <c r="K300" s="575" t="str">
        <f>IFERROR(J300/J303,"")</f>
        <v/>
      </c>
      <c r="L300" s="576"/>
      <c r="M300" s="575">
        <f t="shared" si="182"/>
        <v>-0.48482055209325359</v>
      </c>
      <c r="N300" s="576"/>
      <c r="O300" s="574"/>
      <c r="P300" s="574" cm="1">
        <f t="array" ref="P300">_xlfn.XLOOKUP(1,($B300=DistributionZone)*($G300=Description)*($I$5=Desc_FixedOrVar),valuesFY,0)</f>
        <v>3.1513746555504474</v>
      </c>
      <c r="Q300" s="574">
        <f t="shared" si="183"/>
        <v>2.7323850274080592</v>
      </c>
      <c r="R300" s="575">
        <f>IFERROR(Q300/Q303,"")</f>
        <v>0.38998833958343421</v>
      </c>
      <c r="S300" s="575"/>
      <c r="T300" s="634"/>
      <c r="U300" s="575"/>
      <c r="V300" s="575"/>
      <c r="W300" s="575"/>
      <c r="X300" s="575"/>
      <c r="Y300" s="575"/>
      <c r="Z300" s="575"/>
      <c r="AA300" s="575"/>
      <c r="AB300" s="575"/>
      <c r="AC300" s="575"/>
      <c r="AD300" s="575"/>
      <c r="AE300" s="575"/>
      <c r="AF300" s="575"/>
      <c r="AG300" s="575"/>
      <c r="AH300" s="575"/>
      <c r="AI300" s="575"/>
      <c r="AJ300" s="575"/>
    </row>
    <row r="301" spans="1:36" s="627" customFormat="1" x14ac:dyDescent="0.35">
      <c r="A301" s="570"/>
      <c r="B301" s="570" t="str">
        <f t="shared" ref="B301:E301" si="188">B300</f>
        <v>Energex</v>
      </c>
      <c r="C301" s="570" t="str">
        <f t="shared" si="188"/>
        <v>Small business</v>
      </c>
      <c r="D301" s="570" t="str">
        <f t="shared" si="188"/>
        <v>time of use</v>
      </c>
      <c r="E301" s="570" t="str">
        <f t="shared" si="188"/>
        <v>time of use (Peak)</v>
      </c>
      <c r="F301" s="485">
        <f>F300</f>
        <v>867.04544081915776</v>
      </c>
      <c r="G301" s="570" t="s">
        <v>74</v>
      </c>
      <c r="H301" s="574"/>
      <c r="I301" s="574" cm="1">
        <f t="array" ref="I301">_xlfn.XLOOKUP(1,($B301=DistributionZone)*($G301=Description)*($I$5=Desc_FixedOrVar),valuesPY,0)</f>
        <v>5.1359999999999992</v>
      </c>
      <c r="J301" s="574">
        <f>IF(AND(H301="",I301=""),"",H301+I301*$F301/1000)</f>
        <v>4.4531453840471933</v>
      </c>
      <c r="K301" s="575" t="str">
        <f>IFERROR(J301/J303,"")</f>
        <v/>
      </c>
      <c r="L301" s="576"/>
      <c r="M301" s="575">
        <f t="shared" si="182"/>
        <v>-0.12694704049844219</v>
      </c>
      <c r="N301" s="576"/>
      <c r="O301" s="574"/>
      <c r="P301" s="574" cm="1">
        <f t="array" ref="P301">_xlfn.XLOOKUP(1,($B301=DistributionZone)*($G301=Description)*($I$5=Desc_FixedOrVar),valuesFY,0)</f>
        <v>4.484</v>
      </c>
      <c r="Q301" s="574">
        <f t="shared" si="183"/>
        <v>3.8878317566331035</v>
      </c>
      <c r="R301" s="575">
        <f>IFERROR(Q301/Q303,"")</f>
        <v>0.55490314730181589</v>
      </c>
      <c r="S301" s="575"/>
      <c r="T301" s="649"/>
      <c r="U301" s="575"/>
      <c r="V301" s="575"/>
      <c r="W301" s="575"/>
      <c r="X301" s="575"/>
      <c r="Y301" s="575"/>
      <c r="Z301" s="575"/>
      <c r="AA301" s="575"/>
      <c r="AB301" s="575"/>
      <c r="AC301" s="575"/>
      <c r="AD301" s="575"/>
      <c r="AE301" s="575"/>
      <c r="AF301" s="575"/>
      <c r="AG301" s="575"/>
      <c r="AH301" s="575"/>
      <c r="AI301" s="575"/>
      <c r="AJ301" s="575"/>
    </row>
    <row r="302" spans="1:36" s="627" customFormat="1" x14ac:dyDescent="0.35">
      <c r="A302" s="570"/>
      <c r="B302" s="570" t="str">
        <f t="shared" ref="B302:E302" si="189">B301</f>
        <v>Energex</v>
      </c>
      <c r="C302" s="570" t="str">
        <f t="shared" si="189"/>
        <v>Small business</v>
      </c>
      <c r="D302" s="570" t="str">
        <f t="shared" si="189"/>
        <v>time of use</v>
      </c>
      <c r="E302" s="570" t="str">
        <f t="shared" si="189"/>
        <v>time of use (Peak)</v>
      </c>
      <c r="F302" s="485">
        <f>F301</f>
        <v>867.04544081915776</v>
      </c>
      <c r="G302" s="570" t="s">
        <v>72</v>
      </c>
      <c r="H302" s="574"/>
      <c r="I302" s="574" cm="1">
        <f t="array" ref="I302">_xlfn.XLOOKUP(1,($B302=DistributionZone)*($C302=CustomerType)*($D302=tariffL2)*($G302=Description)*($I$5=Desc_FixedOrVar),valuesPY,0)*SUM(I300:I301)</f>
        <v>0</v>
      </c>
      <c r="J302" s="574">
        <f>IF(AND(H302="",I302=""),"",H302+I302*$F302/1000)</f>
        <v>0</v>
      </c>
      <c r="K302" s="575" t="str">
        <f>IFERROR(J302/J303,"")</f>
        <v/>
      </c>
      <c r="L302" s="576"/>
      <c r="M302" s="575" t="str">
        <f t="shared" si="182"/>
        <v/>
      </c>
      <c r="N302" s="576"/>
      <c r="O302" s="574"/>
      <c r="P302" s="574" cm="1">
        <f t="array" ref="P302">_xlfn.XLOOKUP(1,($B302=DistributionZone)*($C302=CustomerType)*($D302=tariffL2)*($G302=Description)*($P$5=Desc_FixedOrVar),valuesFY,0)*SUM(P300:P301)</f>
        <v>0.44531477971981298</v>
      </c>
      <c r="Q302" s="574">
        <f t="shared" si="183"/>
        <v>0.38610814948545141</v>
      </c>
      <c r="R302" s="575">
        <f>IFERROR(Q302/Q303,"")</f>
        <v>5.5108513114750013E-2</v>
      </c>
      <c r="S302" s="575"/>
      <c r="T302" s="649"/>
      <c r="U302" s="575"/>
      <c r="V302" s="575"/>
      <c r="W302" s="575"/>
      <c r="X302" s="575"/>
      <c r="Y302" s="575"/>
      <c r="Z302" s="575"/>
      <c r="AA302" s="575"/>
      <c r="AB302" s="575"/>
      <c r="AC302" s="575"/>
      <c r="AD302" s="575"/>
      <c r="AE302" s="575"/>
      <c r="AF302" s="575"/>
      <c r="AG302" s="575"/>
      <c r="AH302" s="575"/>
      <c r="AI302" s="575"/>
      <c r="AJ302" s="575"/>
    </row>
    <row r="303" spans="1:36" s="627" customFormat="1" x14ac:dyDescent="0.35">
      <c r="A303" s="570"/>
      <c r="B303" s="570" t="str">
        <f t="shared" ref="B303:E303" si="190">B302</f>
        <v>Energex</v>
      </c>
      <c r="C303" s="570" t="str">
        <f t="shared" si="190"/>
        <v>Small business</v>
      </c>
      <c r="D303" s="570" t="str">
        <f t="shared" si="190"/>
        <v>time of use</v>
      </c>
      <c r="E303" s="570" t="str">
        <f t="shared" si="190"/>
        <v>time of use (Peak)</v>
      </c>
      <c r="F303" s="485">
        <f>F302</f>
        <v>867.04544081915776</v>
      </c>
      <c r="G303" s="571" t="s">
        <v>55</v>
      </c>
      <c r="H303" s="577">
        <f>IF($H$3=PY,0,SUM(H300:H302))</f>
        <v>0</v>
      </c>
      <c r="I303" s="577">
        <f>IF($H$3=PY,0,SUM(I300:I302))</f>
        <v>0</v>
      </c>
      <c r="J303" s="577">
        <f>IF($H$3=PY,0,SUM(J300:J302))</f>
        <v>0</v>
      </c>
      <c r="K303" s="578"/>
      <c r="L303" s="580"/>
      <c r="M303" s="578" t="str">
        <f t="shared" si="182"/>
        <v/>
      </c>
      <c r="N303" s="580"/>
      <c r="O303" s="577">
        <f>SUM(O300:O302)</f>
        <v>0</v>
      </c>
      <c r="P303" s="577">
        <f>SUM(P300:P302)</f>
        <v>8.0806894352702603</v>
      </c>
      <c r="Q303" s="577">
        <f t="shared" si="183"/>
        <v>7.0063249335266136</v>
      </c>
      <c r="R303" s="575"/>
      <c r="S303" s="575"/>
      <c r="T303" s="649"/>
      <c r="U303" s="575"/>
      <c r="V303" s="575"/>
      <c r="W303" s="575"/>
      <c r="X303" s="575"/>
      <c r="Y303" s="575"/>
      <c r="Z303" s="575"/>
      <c r="AA303" s="575"/>
      <c r="AB303" s="575"/>
      <c r="AC303" s="575"/>
      <c r="AD303" s="575"/>
      <c r="AE303" s="575"/>
      <c r="AF303" s="575"/>
      <c r="AG303" s="575"/>
      <c r="AH303" s="575"/>
      <c r="AI303" s="575"/>
      <c r="AJ303" s="575"/>
    </row>
    <row r="304" spans="1:36" s="627" customFormat="1" x14ac:dyDescent="0.35">
      <c r="A304" s="570"/>
      <c r="B304" s="570" t="str">
        <f t="shared" ref="B304:D304" si="191">B303</f>
        <v>Energex</v>
      </c>
      <c r="C304" s="570" t="str">
        <f t="shared" si="191"/>
        <v>Small business</v>
      </c>
      <c r="D304" s="570" t="str">
        <f t="shared" si="191"/>
        <v>time of use</v>
      </c>
      <c r="E304" s="570" t="s">
        <v>283</v>
      </c>
      <c r="F304" s="485" cm="1">
        <f t="array" ref="F304">_xlfn.XLOOKUP(1,($B304=DistributionZone)*($C304=CustomerType)*($D304=tariffL2)*($F$5=Description),valuesPY)*_xlfn.XLOOKUP(1,($B304=DistributionZone)*($C304=CustomerType)*($D304=tariffL2)*($E304=tariffType)*("Usage proportion"=Description),valuesFY)</f>
        <v>7881.0814731270493</v>
      </c>
      <c r="G304" s="570" t="s">
        <v>73</v>
      </c>
      <c r="H304" s="574"/>
      <c r="I304" s="574" cm="1">
        <f t="array" ref="I304">_xlfn.XLOOKUP(1,($B304=DistributionZone)*($G304=Description)*($I$5=Desc_FixedOrVar),valuesPY,0)</f>
        <v>6.1170426505850894</v>
      </c>
      <c r="J304" s="574">
        <f>IF(AND(H304="",I304=""),"",H304+I304*$F304/1000)</f>
        <v>48.208911503854125</v>
      </c>
      <c r="K304" s="575" t="str">
        <f>IFERROR(J304/J307,"")</f>
        <v/>
      </c>
      <c r="L304" s="576"/>
      <c r="M304" s="575">
        <f t="shared" si="182"/>
        <v>-0.48482055209325348</v>
      </c>
      <c r="N304" s="576"/>
      <c r="O304" s="574"/>
      <c r="P304" s="574" cm="1">
        <f t="array" ref="P304">_xlfn.XLOOKUP(1,($B304=DistributionZone)*($G304=Description)*($I$5=Desc_FixedOrVar),valuesFY,0)</f>
        <v>3.1513746555504474</v>
      </c>
      <c r="Q304" s="574">
        <f t="shared" si="183"/>
        <v>24.836240412740768</v>
      </c>
      <c r="R304" s="575">
        <f>IFERROR(Q304/Q307,"")</f>
        <v>0.38998833958343421</v>
      </c>
      <c r="S304" s="575"/>
      <c r="T304" s="634"/>
      <c r="U304" s="575"/>
      <c r="V304" s="575"/>
      <c r="W304" s="575"/>
      <c r="X304" s="575"/>
      <c r="Y304" s="575"/>
      <c r="Z304" s="575"/>
      <c r="AA304" s="575"/>
      <c r="AB304" s="575"/>
      <c r="AC304" s="575"/>
      <c r="AD304" s="575"/>
      <c r="AE304" s="575"/>
      <c r="AF304" s="575"/>
      <c r="AG304" s="575"/>
      <c r="AH304" s="575"/>
      <c r="AI304" s="575"/>
      <c r="AJ304" s="575"/>
    </row>
    <row r="305" spans="1:36" s="627" customFormat="1" x14ac:dyDescent="0.35">
      <c r="A305" s="570"/>
      <c r="B305" s="570" t="str">
        <f t="shared" ref="B305:E305" si="192">B304</f>
        <v>Energex</v>
      </c>
      <c r="C305" s="570" t="str">
        <f t="shared" si="192"/>
        <v>Small business</v>
      </c>
      <c r="D305" s="570" t="str">
        <f t="shared" si="192"/>
        <v>time of use</v>
      </c>
      <c r="E305" s="570" t="str">
        <f t="shared" si="192"/>
        <v>time of use (Shoulder)</v>
      </c>
      <c r="F305" s="485">
        <f>F304</f>
        <v>7881.0814731270493</v>
      </c>
      <c r="G305" s="570" t="s">
        <v>74</v>
      </c>
      <c r="H305" s="574"/>
      <c r="I305" s="574" cm="1">
        <f t="array" ref="I305">_xlfn.XLOOKUP(1,($B305=DistributionZone)*($G305=Description)*($I$5=Desc_FixedOrVar),valuesPY,0)</f>
        <v>5.1359999999999992</v>
      </c>
      <c r="J305" s="574">
        <f>IF(AND(H305="",I305=""),"",H305+I305*$F305/1000)</f>
        <v>40.477234445980514</v>
      </c>
      <c r="K305" s="575" t="str">
        <f>IFERROR(J305/J307,"")</f>
        <v/>
      </c>
      <c r="L305" s="576"/>
      <c r="M305" s="575">
        <f t="shared" si="182"/>
        <v>-0.12694704049844219</v>
      </c>
      <c r="N305" s="576"/>
      <c r="O305" s="574"/>
      <c r="P305" s="574" cm="1">
        <f t="array" ref="P305">_xlfn.XLOOKUP(1,($B305=DistributionZone)*($G305=Description)*($I$5=Desc_FixedOrVar),valuesFY,0)</f>
        <v>4.484</v>
      </c>
      <c r="Q305" s="574">
        <f t="shared" si="183"/>
        <v>35.338769325501687</v>
      </c>
      <c r="R305" s="575">
        <f>IFERROR(Q305/Q307,"")</f>
        <v>0.55490314730181578</v>
      </c>
      <c r="S305" s="575"/>
      <c r="T305" s="649"/>
      <c r="U305" s="575"/>
      <c r="V305" s="575"/>
      <c r="W305" s="575"/>
      <c r="X305" s="575"/>
      <c r="Y305" s="575"/>
      <c r="Z305" s="575"/>
      <c r="AA305" s="575"/>
      <c r="AB305" s="575"/>
      <c r="AC305" s="575"/>
      <c r="AD305" s="575"/>
      <c r="AE305" s="575"/>
      <c r="AF305" s="575"/>
      <c r="AG305" s="575"/>
      <c r="AH305" s="575"/>
      <c r="AI305" s="575"/>
      <c r="AJ305" s="575"/>
    </row>
    <row r="306" spans="1:36" s="627" customFormat="1" x14ac:dyDescent="0.35">
      <c r="A306" s="570"/>
      <c r="B306" s="570" t="str">
        <f t="shared" ref="B306:E306" si="193">B305</f>
        <v>Energex</v>
      </c>
      <c r="C306" s="570" t="str">
        <f t="shared" si="193"/>
        <v>Small business</v>
      </c>
      <c r="D306" s="570" t="str">
        <f t="shared" si="193"/>
        <v>time of use</v>
      </c>
      <c r="E306" s="570" t="str">
        <f t="shared" si="193"/>
        <v>time of use (Shoulder)</v>
      </c>
      <c r="F306" s="485">
        <f>F305</f>
        <v>7881.0814731270493</v>
      </c>
      <c r="G306" s="570" t="s">
        <v>72</v>
      </c>
      <c r="H306" s="574"/>
      <c r="I306" s="574" cm="1">
        <f t="array" ref="I306">_xlfn.XLOOKUP(1,($B306=DistributionZone)*($C306=CustomerType)*($D306=tariffL2)*($G306=Description)*($I$5=Desc_FixedOrVar),valuesPY,0)*SUM(I304:I305)</f>
        <v>0</v>
      </c>
      <c r="J306" s="574">
        <f>IF(AND(H306="",I306=""),"",H306+I306*$F306/1000)</f>
        <v>0</v>
      </c>
      <c r="K306" s="575" t="str">
        <f>IFERROR(J306/J307,"")</f>
        <v/>
      </c>
      <c r="L306" s="576"/>
      <c r="M306" s="575" t="str">
        <f t="shared" si="182"/>
        <v/>
      </c>
      <c r="N306" s="576"/>
      <c r="O306" s="574"/>
      <c r="P306" s="574" cm="1">
        <f t="array" ref="P306">_xlfn.XLOOKUP(1,($B306=DistributionZone)*($C306=CustomerType)*($D306=tariffL2)*($G306=Description)*($P$5=Desc_FixedOrVar),valuesFY,0)*SUM(P304:P305)</f>
        <v>0.44531477971981298</v>
      </c>
      <c r="Q306" s="574">
        <f t="shared" si="183"/>
        <v>3.509562060159471</v>
      </c>
      <c r="R306" s="575">
        <f>IFERROR(Q306/Q307,"")</f>
        <v>5.5108513114750006E-2</v>
      </c>
      <c r="S306" s="575"/>
      <c r="T306" s="649"/>
      <c r="U306" s="575"/>
      <c r="V306" s="575"/>
      <c r="W306" s="575"/>
      <c r="X306" s="575"/>
      <c r="Y306" s="575"/>
      <c r="Z306" s="575"/>
      <c r="AA306" s="575"/>
      <c r="AB306" s="575"/>
      <c r="AC306" s="575"/>
      <c r="AD306" s="575"/>
      <c r="AE306" s="575"/>
      <c r="AF306" s="575"/>
      <c r="AG306" s="575"/>
      <c r="AH306" s="575"/>
      <c r="AI306" s="575"/>
      <c r="AJ306" s="575"/>
    </row>
    <row r="307" spans="1:36" s="627" customFormat="1" x14ac:dyDescent="0.35">
      <c r="A307" s="570"/>
      <c r="B307" s="570" t="str">
        <f t="shared" ref="B307:E310" si="194">B306</f>
        <v>Energex</v>
      </c>
      <c r="C307" s="570" t="str">
        <f t="shared" si="194"/>
        <v>Small business</v>
      </c>
      <c r="D307" s="570" t="str">
        <f t="shared" si="194"/>
        <v>time of use</v>
      </c>
      <c r="E307" s="570" t="str">
        <f t="shared" si="194"/>
        <v>time of use (Shoulder)</v>
      </c>
      <c r="F307" s="485">
        <f>F306</f>
        <v>7881.0814731270493</v>
      </c>
      <c r="G307" s="571" t="s">
        <v>55</v>
      </c>
      <c r="H307" s="577">
        <f>IF($H$3=PY,0,SUM(H304:H306))</f>
        <v>0</v>
      </c>
      <c r="I307" s="577">
        <f>IF($H$3=PY,0,SUM(I304:I306))</f>
        <v>0</v>
      </c>
      <c r="J307" s="577">
        <f>IF($H$3=PY,0,SUM(J304:J306))</f>
        <v>0</v>
      </c>
      <c r="K307" s="578"/>
      <c r="L307" s="580"/>
      <c r="M307" s="578" t="str">
        <f t="shared" si="182"/>
        <v/>
      </c>
      <c r="N307" s="580"/>
      <c r="O307" s="577">
        <f>SUM(O304:O306)</f>
        <v>0</v>
      </c>
      <c r="P307" s="577">
        <f>SUM(P304:P306)</f>
        <v>8.0806894352702603</v>
      </c>
      <c r="Q307" s="577">
        <f t="shared" si="183"/>
        <v>63.684571798401926</v>
      </c>
      <c r="R307" s="575"/>
      <c r="S307" s="575"/>
      <c r="T307" s="649"/>
      <c r="U307" s="575"/>
      <c r="V307" s="575"/>
      <c r="W307" s="575"/>
      <c r="X307" s="575"/>
      <c r="Y307" s="575"/>
      <c r="Z307" s="575"/>
      <c r="AA307" s="575"/>
      <c r="AB307" s="575"/>
      <c r="AC307" s="575"/>
      <c r="AD307" s="575"/>
      <c r="AE307" s="575"/>
      <c r="AF307" s="575"/>
      <c r="AG307" s="575"/>
      <c r="AH307" s="575"/>
      <c r="AI307" s="575"/>
      <c r="AJ307" s="575"/>
    </row>
    <row r="308" spans="1:36" s="627" customFormat="1" x14ac:dyDescent="0.35">
      <c r="A308" s="570"/>
      <c r="B308" s="570"/>
      <c r="C308" s="570"/>
      <c r="D308" s="570"/>
      <c r="E308" s="570"/>
      <c r="F308" s="485">
        <f>SUM(F296,F300,F304)</f>
        <v>10000</v>
      </c>
      <c r="G308" s="571" t="s">
        <v>55</v>
      </c>
      <c r="H308" s="577">
        <f>SUM(H307,H303,H299)</f>
        <v>0</v>
      </c>
      <c r="I308" s="577">
        <f t="shared" ref="I308:J308" si="195">SUM(I307,I303,I299)</f>
        <v>0</v>
      </c>
      <c r="J308" s="577">
        <f t="shared" si="195"/>
        <v>0</v>
      </c>
      <c r="K308" s="578"/>
      <c r="L308" s="580"/>
      <c r="M308" s="578"/>
      <c r="N308" s="580"/>
      <c r="O308" s="577">
        <f t="shared" ref="O308:Q308" si="196">SUM(O307,O303,O299)</f>
        <v>0</v>
      </c>
      <c r="P308" s="577">
        <f t="shared" si="196"/>
        <v>24.242068305810783</v>
      </c>
      <c r="Q308" s="577">
        <f t="shared" si="196"/>
        <v>80.806894352702614</v>
      </c>
      <c r="R308" s="575"/>
      <c r="S308" s="575"/>
      <c r="T308" s="649"/>
      <c r="U308" s="575"/>
      <c r="V308" s="575"/>
      <c r="W308" s="575"/>
      <c r="X308" s="575"/>
      <c r="Y308" s="575"/>
      <c r="Z308" s="575"/>
      <c r="AA308" s="575"/>
      <c r="AB308" s="575"/>
      <c r="AC308" s="575"/>
      <c r="AD308" s="575"/>
      <c r="AE308" s="575"/>
      <c r="AF308" s="575"/>
      <c r="AG308" s="575"/>
      <c r="AH308" s="575"/>
      <c r="AI308" s="575"/>
      <c r="AJ308" s="575"/>
    </row>
    <row r="309" spans="1:36" s="627" customFormat="1" x14ac:dyDescent="0.35">
      <c r="A309" s="570"/>
      <c r="B309" s="570" t="str">
        <f>B307</f>
        <v>Energex</v>
      </c>
      <c r="C309" s="570" t="str">
        <f>C307</f>
        <v>Small business</v>
      </c>
      <c r="D309" s="570" t="str">
        <f>D307</f>
        <v>time of use</v>
      </c>
      <c r="E309" s="570"/>
      <c r="F309" s="485"/>
      <c r="G309" s="570" t="s">
        <v>38</v>
      </c>
      <c r="H309" s="574"/>
      <c r="I309" s="574"/>
      <c r="J309" s="574">
        <f>J308*GST</f>
        <v>0</v>
      </c>
      <c r="K309" s="575"/>
      <c r="L309" s="582"/>
      <c r="M309" s="575"/>
      <c r="N309" s="582"/>
      <c r="O309" s="574"/>
      <c r="P309" s="574"/>
      <c r="Q309" s="574">
        <f>Q308*GST</f>
        <v>8.0806894352702621</v>
      </c>
      <c r="R309" s="578"/>
      <c r="S309" s="578"/>
      <c r="T309" s="650"/>
      <c r="U309" s="578"/>
      <c r="V309" s="578"/>
      <c r="W309" s="578"/>
      <c r="X309" s="578"/>
      <c r="Y309" s="578"/>
      <c r="Z309" s="578"/>
      <c r="AA309" s="578"/>
      <c r="AB309" s="578"/>
      <c r="AC309" s="578"/>
      <c r="AD309" s="578"/>
      <c r="AE309" s="578"/>
      <c r="AF309" s="578"/>
      <c r="AG309" s="578"/>
      <c r="AH309" s="578"/>
      <c r="AI309" s="578"/>
      <c r="AJ309" s="578"/>
    </row>
    <row r="310" spans="1:36" s="627" customFormat="1" x14ac:dyDescent="0.35">
      <c r="A310" s="570"/>
      <c r="B310" s="570" t="str">
        <f t="shared" si="194"/>
        <v>Energex</v>
      </c>
      <c r="C310" s="570" t="str">
        <f t="shared" si="194"/>
        <v>Small business</v>
      </c>
      <c r="D310" s="570" t="str">
        <f t="shared" si="194"/>
        <v>time of use</v>
      </c>
      <c r="E310" s="570" t="s">
        <v>272</v>
      </c>
      <c r="F310" s="485"/>
      <c r="G310" s="571" t="s">
        <v>79</v>
      </c>
      <c r="H310" s="577"/>
      <c r="I310" s="577"/>
      <c r="J310" s="577">
        <f>SUM(J308:J309)</f>
        <v>0</v>
      </c>
      <c r="K310" s="578"/>
      <c r="L310" s="580"/>
      <c r="M310" s="578" t="str">
        <f>IF(OR(J310=0,Q310=""),"",Q310/J310-1)</f>
        <v/>
      </c>
      <c r="N310" s="580"/>
      <c r="O310" s="577"/>
      <c r="P310" s="577"/>
      <c r="Q310" s="577">
        <f>SUM(Q308:Q309)</f>
        <v>88.887583787972872</v>
      </c>
      <c r="R310" s="578"/>
      <c r="S310" s="578"/>
      <c r="T310" s="650"/>
      <c r="U310" s="578"/>
      <c r="V310" s="578"/>
      <c r="W310" s="578"/>
      <c r="X310" s="578"/>
      <c r="Y310" s="578"/>
      <c r="Z310" s="578"/>
      <c r="AA310" s="578"/>
      <c r="AB310" s="578"/>
      <c r="AC310" s="578"/>
      <c r="AD310" s="578"/>
      <c r="AE310" s="578"/>
      <c r="AF310" s="578"/>
      <c r="AG310" s="578"/>
      <c r="AH310" s="578"/>
      <c r="AI310" s="578"/>
      <c r="AJ310" s="578"/>
    </row>
    <row r="311" spans="1:36" s="627" customFormat="1" x14ac:dyDescent="0.35">
      <c r="A311" s="570"/>
      <c r="B311" s="570"/>
      <c r="C311" s="570"/>
      <c r="D311" s="570"/>
      <c r="E311" s="570"/>
      <c r="F311" s="485"/>
      <c r="G311" s="570"/>
      <c r="H311" s="574"/>
      <c r="I311" s="574"/>
      <c r="J311" s="574"/>
      <c r="K311" s="575"/>
      <c r="L311" s="582"/>
      <c r="M311" s="575"/>
      <c r="N311" s="582"/>
      <c r="O311" s="574"/>
      <c r="P311" s="574"/>
      <c r="Q311" s="574"/>
      <c r="R311" s="575"/>
      <c r="S311" s="575"/>
      <c r="T311" s="649"/>
      <c r="U311" s="575"/>
      <c r="V311" s="575"/>
      <c r="W311" s="575"/>
      <c r="X311" s="575"/>
      <c r="Y311" s="575"/>
      <c r="Z311" s="575"/>
      <c r="AA311" s="575"/>
      <c r="AB311" s="575"/>
      <c r="AC311" s="575"/>
      <c r="AD311" s="575"/>
      <c r="AE311" s="575"/>
      <c r="AF311" s="575"/>
      <c r="AG311" s="575"/>
      <c r="AH311" s="575"/>
      <c r="AI311" s="575"/>
      <c r="AJ311" s="575"/>
    </row>
    <row r="312" spans="1:36" s="65" customFormat="1" x14ac:dyDescent="0.35">
      <c r="A312" s="30"/>
      <c r="B312" s="64" t="s">
        <v>5</v>
      </c>
      <c r="C312" s="64" t="s">
        <v>6</v>
      </c>
      <c r="D312" s="64" t="s">
        <v>276</v>
      </c>
      <c r="E312" s="30"/>
      <c r="F312" s="258"/>
      <c r="G312" s="30"/>
      <c r="H312" s="482"/>
      <c r="I312" s="482"/>
      <c r="J312" s="482"/>
      <c r="K312" s="484"/>
      <c r="L312" s="568"/>
      <c r="M312" s="484"/>
      <c r="N312" s="568"/>
      <c r="O312" s="482"/>
      <c r="P312" s="482"/>
      <c r="Q312" s="482"/>
      <c r="R312" s="484"/>
      <c r="S312" s="484"/>
      <c r="T312" s="644"/>
      <c r="U312" s="484"/>
      <c r="V312" s="484"/>
      <c r="W312" s="484"/>
      <c r="X312" s="484"/>
      <c r="Y312" s="484"/>
      <c r="Z312" s="484"/>
      <c r="AA312" s="484"/>
      <c r="AB312" s="484"/>
      <c r="AC312" s="484"/>
      <c r="AD312" s="484"/>
      <c r="AE312" s="484"/>
      <c r="AF312" s="484"/>
      <c r="AG312" s="484"/>
      <c r="AH312" s="484"/>
      <c r="AI312" s="484"/>
      <c r="AJ312" s="484"/>
    </row>
    <row r="313" spans="1:36" s="65" customFormat="1" x14ac:dyDescent="0.35">
      <c r="A313" s="30"/>
      <c r="B313" s="30" t="str">
        <f t="shared" ref="B313:D319" si="197">B312</f>
        <v>SAPN</v>
      </c>
      <c r="C313" s="30" t="str">
        <f t="shared" si="197"/>
        <v>Residential</v>
      </c>
      <c r="D313" s="30" t="str">
        <f t="shared" si="197"/>
        <v>flat rate</v>
      </c>
      <c r="E313" s="30" t="s">
        <v>19</v>
      </c>
      <c r="F313" s="258" cm="1">
        <f t="array" ref="F313">IFERROR(_xlfn.XLOOKUP(1,($B313=DistributionZone)*($C313=CustomerType)*($E313=tariffType)*(F$5=Description)*($D313=tariffL2),valuesFY),0)</f>
        <v>4000</v>
      </c>
      <c r="G313" s="30" t="s">
        <v>73</v>
      </c>
      <c r="H313" s="482"/>
      <c r="I313" s="482" cm="1">
        <f t="array" ref="I313">_xlfn.XLOOKUP(1,($B313=DistributionZone)*($G313=Description)*($I$5=Desc_FixedOrVar),valuesPY,0)</f>
        <v>6.1170426505850894</v>
      </c>
      <c r="J313" s="482">
        <f>IF(AND(H313="",I313=""),"",H313+I313*$F313/1000)</f>
        <v>24.468170602340358</v>
      </c>
      <c r="K313" s="484">
        <f>IFERROR(J313/J317,"")</f>
        <v>0.37254240621940882</v>
      </c>
      <c r="L313" s="563"/>
      <c r="M313" s="484">
        <f>IF(OR(J313=0,Q313=""),"",Q313/J313-1)</f>
        <v>-0.48482055209325359</v>
      </c>
      <c r="N313" s="563"/>
      <c r="O313" s="482"/>
      <c r="P313" s="482" cm="1">
        <f t="array" ref="P313">_xlfn.XLOOKUP(1,($B313=DistributionZone)*($G313=Description)*($I$5=Desc_FixedOrVar),valuesFY,0)</f>
        <v>3.1513746555504474</v>
      </c>
      <c r="Q313" s="482">
        <f>IF(AND(O313="",P313=""),"",O313+P313*$F313/1000)</f>
        <v>12.60549862220179</v>
      </c>
      <c r="R313" s="484">
        <f>IFERROR(Q313/Q317,"")</f>
        <v>0.29677986636559545</v>
      </c>
      <c r="S313" s="484"/>
      <c r="T313" s="645"/>
      <c r="U313" s="484"/>
      <c r="V313" s="484"/>
      <c r="W313" s="484"/>
      <c r="X313" s="484"/>
      <c r="Y313" s="484"/>
      <c r="Z313" s="484"/>
      <c r="AA313" s="484"/>
      <c r="AB313" s="484"/>
      <c r="AC313" s="484"/>
      <c r="AD313" s="484"/>
      <c r="AE313" s="484"/>
      <c r="AF313" s="484"/>
      <c r="AG313" s="484"/>
      <c r="AH313" s="484"/>
      <c r="AI313" s="484"/>
      <c r="AJ313" s="484"/>
    </row>
    <row r="314" spans="1:36" s="65" customFormat="1" x14ac:dyDescent="0.35">
      <c r="A314" s="30"/>
      <c r="B314" s="30" t="str">
        <f t="shared" si="197"/>
        <v>SAPN</v>
      </c>
      <c r="C314" s="30" t="str">
        <f t="shared" si="197"/>
        <v>Residential</v>
      </c>
      <c r="D314" s="30" t="str">
        <f t="shared" si="197"/>
        <v>flat rate</v>
      </c>
      <c r="E314" s="30" t="s">
        <v>19</v>
      </c>
      <c r="F314" s="258">
        <f>F313</f>
        <v>4000</v>
      </c>
      <c r="G314" s="30" t="s">
        <v>74</v>
      </c>
      <c r="H314" s="482"/>
      <c r="I314" s="482" cm="1">
        <f t="array" ref="I314">_xlfn.XLOOKUP(1,($B314=DistributionZone)*($G314=Description)*($I$5=Desc_FixedOrVar),valuesPY,0)</f>
        <v>5.1359999999999992</v>
      </c>
      <c r="J314" s="482">
        <f>IF(AND(H314="",I314=""),"",H314+I314*$F314/1000)</f>
        <v>20.543999999999997</v>
      </c>
      <c r="K314" s="484">
        <f>IFERROR(J314/J317,"")</f>
        <v>0.31279458189814496</v>
      </c>
      <c r="L314" s="563"/>
      <c r="M314" s="484">
        <f>IF(OR(J314=0,Q314=""),"",Q314/J314-1)</f>
        <v>-0.12694704049844219</v>
      </c>
      <c r="N314" s="563"/>
      <c r="O314" s="482"/>
      <c r="P314" s="482" cm="1">
        <f t="array" ref="P314">_xlfn.XLOOKUP(1,($B314=DistributionZone)*($G314=Description)*($I$5=Desc_FixedOrVar),valuesFY,0)</f>
        <v>4.484</v>
      </c>
      <c r="Q314" s="482">
        <f>IF(AND(O314="",P314=""),"",O314+P314*$F314/1000)</f>
        <v>17.936</v>
      </c>
      <c r="R314" s="484">
        <f>IFERROR(Q314/Q317,"")</f>
        <v>0.42227950219739496</v>
      </c>
      <c r="S314" s="484"/>
      <c r="T314" s="644"/>
      <c r="U314" s="484"/>
      <c r="V314" s="484"/>
      <c r="W314" s="484"/>
      <c r="X314" s="484"/>
      <c r="Y314" s="484"/>
      <c r="Z314" s="484"/>
      <c r="AA314" s="484"/>
      <c r="AB314" s="484"/>
      <c r="AC314" s="484"/>
      <c r="AD314" s="484"/>
      <c r="AE314" s="484"/>
      <c r="AF314" s="484"/>
      <c r="AG314" s="484"/>
      <c r="AH314" s="484"/>
      <c r="AI314" s="484"/>
      <c r="AJ314" s="484"/>
    </row>
    <row r="315" spans="1:36" s="65" customFormat="1" x14ac:dyDescent="0.35">
      <c r="A315" s="30"/>
      <c r="B315" s="30" t="str">
        <f t="shared" si="197"/>
        <v>SAPN</v>
      </c>
      <c r="C315" s="30" t="str">
        <f t="shared" si="197"/>
        <v>Residential</v>
      </c>
      <c r="D315" s="30" t="str">
        <f t="shared" si="197"/>
        <v>flat rate</v>
      </c>
      <c r="E315" s="30" t="s">
        <v>19</v>
      </c>
      <c r="F315" s="258">
        <f>F314</f>
        <v>4000</v>
      </c>
      <c r="G315" s="30" t="s">
        <v>156</v>
      </c>
      <c r="H315" s="482"/>
      <c r="I315" s="482" cm="1">
        <f t="array" ref="I315">_xlfn.XLOOKUP(1,($B315=DistributionZone)*($G315=Description)*($I$5=Desc_FixedOrVar),valuesPY,0)</f>
        <v>4.0580163456251253</v>
      </c>
      <c r="J315" s="482">
        <f>IF(AND(H315="",I315=""),"",H315+I315*$F315/1000)</f>
        <v>16.232065382500501</v>
      </c>
      <c r="K315" s="484">
        <f>IFERROR(J315/J317,"")</f>
        <v>0.24714282051511866</v>
      </c>
      <c r="L315" s="563"/>
      <c r="M315" s="484">
        <f>IF(OR(J315=0,Q315=""),"",Q315/J315-1)</f>
        <v>-0.53379002233804917</v>
      </c>
      <c r="N315" s="563"/>
      <c r="O315" s="482"/>
      <c r="P315" s="482" cm="1">
        <f t="array" ref="P315">_xlfn.XLOOKUP(1,($B315=DistributionZone)*($G315=Description)*($I$5=Desc_FixedOrVar),valuesFY,0)</f>
        <v>1.8918877098457212</v>
      </c>
      <c r="Q315" s="482">
        <f>IF(AND(O315="",P315=""),"",O315+P315*$F315/1000)</f>
        <v>7.5675508393828848</v>
      </c>
      <c r="R315" s="484">
        <f>IFERROR(Q315/Q317,"")</f>
        <v>0.1781680196982651</v>
      </c>
      <c r="S315" s="484"/>
      <c r="T315" s="644"/>
      <c r="U315" s="484"/>
      <c r="V315" s="484"/>
      <c r="W315" s="484"/>
      <c r="X315" s="484"/>
      <c r="Y315" s="484"/>
      <c r="Z315" s="484"/>
      <c r="AA315" s="484"/>
      <c r="AB315" s="484"/>
      <c r="AC315" s="484"/>
      <c r="AD315" s="484"/>
      <c r="AE315" s="484"/>
      <c r="AF315" s="484"/>
      <c r="AG315" s="484"/>
      <c r="AH315" s="484"/>
      <c r="AI315" s="484"/>
      <c r="AJ315" s="484"/>
    </row>
    <row r="316" spans="1:36" s="65" customFormat="1" x14ac:dyDescent="0.35">
      <c r="A316" s="30"/>
      <c r="B316" s="30" t="str">
        <f t="shared" si="197"/>
        <v>SAPN</v>
      </c>
      <c r="C316" s="30" t="str">
        <f t="shared" si="197"/>
        <v>Residential</v>
      </c>
      <c r="D316" s="30" t="str">
        <f t="shared" si="197"/>
        <v>flat rate</v>
      </c>
      <c r="E316" s="30" t="s">
        <v>19</v>
      </c>
      <c r="F316" s="258">
        <f>F315</f>
        <v>4000</v>
      </c>
      <c r="G316" s="30" t="s">
        <v>72</v>
      </c>
      <c r="H316" s="482"/>
      <c r="I316" s="482" cm="1">
        <f t="array" ref="I316">_xlfn.XLOOKUP(1,($B316=DistributionZone)*($C316=CustomerType)*($D316=tariffL2)*($E316=tariffType)*($G316=Description)*($I$5=Desc_FixedOrVar),valuesPY,0)*SUM(I313:I315)</f>
        <v>1.1086627548283985</v>
      </c>
      <c r="J316" s="482">
        <f>IF(AND(H316="",I316=""),"",H316+I316*$F316/1000)</f>
        <v>4.434651019313594</v>
      </c>
      <c r="K316" s="484">
        <f>IFERROR(J316/J317,"")</f>
        <v>6.7520191367327606E-2</v>
      </c>
      <c r="L316" s="563"/>
      <c r="M316" s="484">
        <f>IF(OR(J316=0,Q316=""),"",Q316/J316-1)</f>
        <v>-1.5663615316993673E-2</v>
      </c>
      <c r="N316" s="563"/>
      <c r="O316" s="482"/>
      <c r="P316" s="482" cm="1">
        <f t="array" ref="P316">_xlfn.XLOOKUP(1,($B316=DistributionZone)*($C316=CustomerType)*($D316=tariffL2)*($E316=tariffType)*($G316=Description)*($P$5=Desc_FixedOrVar),valuesFY,0)*SUM(P313:P315)</f>
        <v>1.091297087920488</v>
      </c>
      <c r="Q316" s="482">
        <f>IF(AND(O316="",P316=""),"",O316+P316*$F316/1000)</f>
        <v>4.3651883516819519</v>
      </c>
      <c r="R316" s="484">
        <f>IFERROR(Q316/Q317,"")</f>
        <v>0.10277261173874451</v>
      </c>
      <c r="S316" s="484"/>
      <c r="T316" s="644"/>
      <c r="U316" s="484"/>
      <c r="V316" s="484"/>
      <c r="W316" s="484"/>
      <c r="X316" s="484"/>
      <c r="Y316" s="484"/>
      <c r="Z316" s="484"/>
      <c r="AA316" s="484"/>
      <c r="AB316" s="484"/>
      <c r="AC316" s="484"/>
      <c r="AD316" s="484"/>
      <c r="AE316" s="484"/>
      <c r="AF316" s="484"/>
      <c r="AG316" s="484"/>
      <c r="AH316" s="484"/>
      <c r="AI316" s="484"/>
      <c r="AJ316" s="484"/>
    </row>
    <row r="317" spans="1:36" s="65" customFormat="1" x14ac:dyDescent="0.35">
      <c r="A317" s="30"/>
      <c r="B317" s="30" t="str">
        <f t="shared" si="197"/>
        <v>SAPN</v>
      </c>
      <c r="C317" s="30" t="str">
        <f t="shared" si="197"/>
        <v>Residential</v>
      </c>
      <c r="D317" s="30" t="str">
        <f t="shared" si="197"/>
        <v>flat rate</v>
      </c>
      <c r="E317" s="30" t="s">
        <v>19</v>
      </c>
      <c r="F317" s="258">
        <f>F316</f>
        <v>4000</v>
      </c>
      <c r="G317" s="64" t="s">
        <v>55</v>
      </c>
      <c r="H317" s="487">
        <f>SUM(H314:H316)</f>
        <v>0</v>
      </c>
      <c r="I317" s="487">
        <f>SUM(I313:I316)</f>
        <v>16.419721751038612</v>
      </c>
      <c r="J317" s="487">
        <f>IF(AND(H317="",I317=""),"",H317+I317*+Usage!C$42/1000)</f>
        <v>65.678887004154447</v>
      </c>
      <c r="K317" s="564"/>
      <c r="L317" s="566"/>
      <c r="M317" s="564">
        <f>IF(OR(J317=0,Q317=""),"",Q317/J317-1)</f>
        <v>-0.35330454350452123</v>
      </c>
      <c r="N317" s="566"/>
      <c r="O317" s="487">
        <f>SUM(O313:O316)</f>
        <v>0</v>
      </c>
      <c r="P317" s="487">
        <f>SUM(P313:P316)</f>
        <v>10.618559453316657</v>
      </c>
      <c r="Q317" s="487">
        <f>IF(AND(O317="",P317=""),"",O317+P317*$F317/1000)</f>
        <v>42.474237813266626</v>
      </c>
      <c r="R317" s="484"/>
      <c r="S317" s="484"/>
      <c r="T317" s="644"/>
      <c r="U317" s="484"/>
      <c r="V317" s="484"/>
      <c r="W317" s="484"/>
      <c r="X317" s="484"/>
      <c r="Y317" s="484"/>
      <c r="Z317" s="484"/>
      <c r="AA317" s="484"/>
      <c r="AB317" s="484"/>
      <c r="AC317" s="484"/>
      <c r="AD317" s="484"/>
      <c r="AE317" s="484"/>
      <c r="AF317" s="484"/>
      <c r="AG317" s="484"/>
      <c r="AH317" s="484"/>
      <c r="AI317" s="484"/>
      <c r="AJ317" s="484"/>
    </row>
    <row r="318" spans="1:36" s="65" customFormat="1" x14ac:dyDescent="0.35">
      <c r="A318" s="30"/>
      <c r="B318" s="30" t="str">
        <f t="shared" si="197"/>
        <v>SAPN</v>
      </c>
      <c r="C318" s="30" t="str">
        <f t="shared" si="197"/>
        <v>Residential</v>
      </c>
      <c r="D318" s="30" t="str">
        <f t="shared" si="197"/>
        <v>flat rate</v>
      </c>
      <c r="E318" s="30"/>
      <c r="F318" s="258"/>
      <c r="G318" s="30" t="s">
        <v>38</v>
      </c>
      <c r="H318" s="482"/>
      <c r="I318" s="482"/>
      <c r="J318" s="482">
        <f>J317*GST</f>
        <v>6.5678887004154447</v>
      </c>
      <c r="K318" s="484"/>
      <c r="L318" s="568"/>
      <c r="M318" s="484"/>
      <c r="N318" s="568"/>
      <c r="O318" s="482"/>
      <c r="P318" s="482"/>
      <c r="Q318" s="482">
        <f>Q317*GST</f>
        <v>4.2474237813266624</v>
      </c>
      <c r="R318" s="564"/>
      <c r="S318" s="564"/>
      <c r="T318" s="646"/>
      <c r="U318" s="564"/>
      <c r="V318" s="564"/>
      <c r="W318" s="564"/>
      <c r="X318" s="564"/>
      <c r="Y318" s="564"/>
      <c r="Z318" s="564"/>
      <c r="AA318" s="564"/>
      <c r="AB318" s="564"/>
      <c r="AC318" s="564"/>
      <c r="AD318" s="564"/>
      <c r="AE318" s="564"/>
      <c r="AF318" s="564"/>
      <c r="AG318" s="564"/>
      <c r="AH318" s="564"/>
      <c r="AI318" s="564"/>
      <c r="AJ318" s="564"/>
    </row>
    <row r="319" spans="1:36" s="65" customFormat="1" x14ac:dyDescent="0.35">
      <c r="A319" s="30"/>
      <c r="B319" s="30" t="str">
        <f t="shared" si="197"/>
        <v>SAPN</v>
      </c>
      <c r="C319" s="30" t="str">
        <f t="shared" si="197"/>
        <v>Residential</v>
      </c>
      <c r="D319" s="30" t="str">
        <f t="shared" si="197"/>
        <v>flat rate</v>
      </c>
      <c r="E319" s="30" t="s">
        <v>19</v>
      </c>
      <c r="F319" s="258"/>
      <c r="G319" s="64" t="s">
        <v>79</v>
      </c>
      <c r="H319" s="487"/>
      <c r="I319" s="487"/>
      <c r="J319" s="487">
        <f>SUM(J317:J318)</f>
        <v>72.246775704569899</v>
      </c>
      <c r="K319" s="564"/>
      <c r="L319" s="566"/>
      <c r="M319" s="564">
        <f>IF(OR(J319=0,Q319=""),"",Q319/J319-1)</f>
        <v>-0.35330454350452134</v>
      </c>
      <c r="N319" s="566"/>
      <c r="O319" s="487"/>
      <c r="P319" s="487"/>
      <c r="Q319" s="487">
        <f>SUM(Q317:Q318)</f>
        <v>46.721661594593286</v>
      </c>
      <c r="R319" s="564"/>
      <c r="S319" s="564"/>
      <c r="T319" s="646"/>
      <c r="U319" s="564"/>
      <c r="V319" s="564"/>
      <c r="W319" s="564"/>
      <c r="X319" s="564"/>
      <c r="Y319" s="564"/>
      <c r="Z319" s="564"/>
      <c r="AA319" s="564"/>
      <c r="AB319" s="564"/>
      <c r="AC319" s="564"/>
      <c r="AD319" s="564"/>
      <c r="AE319" s="564"/>
      <c r="AF319" s="564"/>
      <c r="AG319" s="564"/>
      <c r="AH319" s="564"/>
      <c r="AI319" s="564"/>
      <c r="AJ319" s="564"/>
    </row>
    <row r="320" spans="1:36" s="65" customFormat="1" x14ac:dyDescent="0.35">
      <c r="A320" s="30"/>
      <c r="B320" s="30"/>
      <c r="C320" s="30"/>
      <c r="D320" s="30"/>
      <c r="E320" s="30"/>
      <c r="F320" s="258"/>
      <c r="G320" s="30"/>
      <c r="H320" s="482"/>
      <c r="I320" s="482"/>
      <c r="J320" s="482"/>
      <c r="K320" s="484"/>
      <c r="L320" s="568"/>
      <c r="M320" s="484"/>
      <c r="N320" s="568"/>
      <c r="O320" s="482"/>
      <c r="P320" s="482"/>
      <c r="Q320" s="482"/>
      <c r="R320" s="484"/>
      <c r="S320" s="484"/>
      <c r="T320" s="644"/>
      <c r="U320" s="484"/>
      <c r="V320" s="484"/>
      <c r="W320" s="484"/>
      <c r="X320" s="484"/>
      <c r="Y320" s="484"/>
      <c r="Z320" s="484"/>
      <c r="AA320" s="484"/>
      <c r="AB320" s="484"/>
      <c r="AC320" s="484"/>
      <c r="AD320" s="484"/>
      <c r="AE320" s="484"/>
      <c r="AF320" s="484"/>
      <c r="AG320" s="484"/>
      <c r="AH320" s="484"/>
      <c r="AI320" s="484"/>
      <c r="AJ320" s="484"/>
    </row>
    <row r="321" spans="1:36" s="627" customFormat="1" x14ac:dyDescent="0.35">
      <c r="A321" s="570"/>
      <c r="B321" s="571" t="s">
        <v>5</v>
      </c>
      <c r="C321" s="571" t="s">
        <v>6</v>
      </c>
      <c r="D321" s="571" t="s">
        <v>272</v>
      </c>
      <c r="E321" s="570"/>
      <c r="F321" s="485"/>
      <c r="G321" s="570"/>
      <c r="H321" s="574"/>
      <c r="I321" s="574"/>
      <c r="J321" s="574"/>
      <c r="K321" s="575"/>
      <c r="L321" s="582"/>
      <c r="M321" s="575"/>
      <c r="N321" s="582"/>
      <c r="O321" s="574"/>
      <c r="P321" s="574"/>
      <c r="Q321" s="574"/>
      <c r="R321" s="575"/>
      <c r="S321" s="575"/>
      <c r="T321" s="649"/>
      <c r="U321" s="575"/>
      <c r="V321" s="575"/>
      <c r="W321" s="575"/>
      <c r="X321" s="575"/>
      <c r="Y321" s="575"/>
      <c r="Z321" s="575"/>
      <c r="AA321" s="575"/>
      <c r="AB321" s="575"/>
      <c r="AC321" s="575"/>
      <c r="AD321" s="575"/>
      <c r="AE321" s="575"/>
      <c r="AF321" s="575"/>
      <c r="AG321" s="575"/>
      <c r="AH321" s="575"/>
      <c r="AI321" s="575"/>
      <c r="AJ321" s="575"/>
    </row>
    <row r="322" spans="1:36" s="627" customFormat="1" x14ac:dyDescent="0.35">
      <c r="A322" s="570"/>
      <c r="B322" s="570" t="str">
        <f t="shared" ref="B322:D322" si="198">B321</f>
        <v>SAPN</v>
      </c>
      <c r="C322" s="570" t="str">
        <f t="shared" si="198"/>
        <v>Residential</v>
      </c>
      <c r="D322" s="570" t="str">
        <f t="shared" si="198"/>
        <v>time of use</v>
      </c>
      <c r="E322" s="570" t="s">
        <v>279</v>
      </c>
      <c r="F322" s="485" cm="1">
        <f t="array" ref="F322">_xlfn.XLOOKUP(1,($B322=DistributionZone)*($C322=CustomerType)*($D322=tariffL2)*($F$5=Description),valuesPY)*_xlfn.XLOOKUP(1,($B322=DistributionZone)*($C322=CustomerType)*($D322=tariffL2)*($E322=tariffType)*("Usage proportion"=Description),valuesFY)</f>
        <v>849.83914277723261</v>
      </c>
      <c r="G322" s="570" t="s">
        <v>73</v>
      </c>
      <c r="H322" s="574"/>
      <c r="I322" s="574" cm="1">
        <f t="array" ref="I322">_xlfn.XLOOKUP(1,($B322=DistributionZone)*($G322=Description)*($I$5=Desc_FixedOrVar),valuesPY,0)</f>
        <v>6.1170426505850894</v>
      </c>
      <c r="J322" s="574">
        <f>IF(AND(H322="",I322=""),"",H322+I322*$F322/1000)</f>
        <v>5.1985022825050038</v>
      </c>
      <c r="K322" s="575" t="str">
        <f>IFERROR(J322/J326,"")</f>
        <v/>
      </c>
      <c r="L322" s="576"/>
      <c r="M322" s="575">
        <f t="shared" ref="M322:M336" si="199">IF(OR(J322=0,Q322=""),"",Q322/J322-1)</f>
        <v>-0.48482055209325359</v>
      </c>
      <c r="N322" s="576"/>
      <c r="O322" s="574"/>
      <c r="P322" s="574" cm="1">
        <f t="array" ref="P322">_xlfn.XLOOKUP(1,($B322=DistributionZone)*($G322=Description)*($I$5=Desc_FixedOrVar),valuesFY,0)</f>
        <v>3.1513746555504474</v>
      </c>
      <c r="Q322" s="574">
        <f t="shared" ref="Q322:Q336" si="200">IF(AND(O322="",P322=""),"",O322+P322*$F322/1000)</f>
        <v>2.678161535842889</v>
      </c>
      <c r="R322" s="575">
        <f>IFERROR(Q322/Q326,"")</f>
        <v>0.29677986636559545</v>
      </c>
      <c r="S322" s="603"/>
      <c r="T322" s="634"/>
      <c r="U322" s="575"/>
      <c r="V322" s="575"/>
      <c r="W322" s="575"/>
      <c r="X322" s="575"/>
      <c r="Y322" s="575"/>
      <c r="Z322" s="575"/>
      <c r="AA322" s="575"/>
      <c r="AB322" s="575"/>
      <c r="AC322" s="575"/>
      <c r="AD322" s="575"/>
      <c r="AE322" s="575"/>
      <c r="AF322" s="575"/>
      <c r="AG322" s="575"/>
      <c r="AH322" s="575"/>
      <c r="AI322" s="575"/>
      <c r="AJ322" s="575"/>
    </row>
    <row r="323" spans="1:36" s="627" customFormat="1" x14ac:dyDescent="0.35">
      <c r="A323" s="570"/>
      <c r="B323" s="570" t="str">
        <f t="shared" ref="B323:E323" si="201">B322</f>
        <v>SAPN</v>
      </c>
      <c r="C323" s="570" t="str">
        <f t="shared" si="201"/>
        <v>Residential</v>
      </c>
      <c r="D323" s="570" t="str">
        <f t="shared" si="201"/>
        <v>time of use</v>
      </c>
      <c r="E323" s="570" t="str">
        <f t="shared" si="201"/>
        <v>time of use (Off-peak)</v>
      </c>
      <c r="F323" s="485">
        <f>F322</f>
        <v>849.83914277723261</v>
      </c>
      <c r="G323" s="570" t="s">
        <v>74</v>
      </c>
      <c r="H323" s="574"/>
      <c r="I323" s="574" cm="1">
        <f t="array" ref="I323">_xlfn.XLOOKUP(1,($B323=DistributionZone)*($G323=Description)*($I$5=Desc_FixedOrVar),valuesPY,0)</f>
        <v>5.1359999999999992</v>
      </c>
      <c r="J323" s="574">
        <f>IF(AND(H323="",I323=""),"",H323+I323*$F323/1000)</f>
        <v>4.3647738373038667</v>
      </c>
      <c r="K323" s="575" t="str">
        <f>IFERROR(J323/J326,"")</f>
        <v/>
      </c>
      <c r="L323" s="576"/>
      <c r="M323" s="575">
        <f t="shared" si="199"/>
        <v>-0.12694704049844241</v>
      </c>
      <c r="N323" s="576"/>
      <c r="O323" s="574"/>
      <c r="P323" s="574" cm="1">
        <f t="array" ref="P323">_xlfn.XLOOKUP(1,($B323=DistributionZone)*($G323=Description)*($I$5=Desc_FixedOrVar),valuesFY,0)</f>
        <v>4.484</v>
      </c>
      <c r="Q323" s="574">
        <f t="shared" si="200"/>
        <v>3.8106787162131108</v>
      </c>
      <c r="R323" s="575">
        <f>IFERROR(Q323/Q326,"")</f>
        <v>0.42227950219739496</v>
      </c>
      <c r="S323" s="603"/>
      <c r="T323" s="649"/>
      <c r="U323" s="575"/>
      <c r="V323" s="575"/>
      <c r="W323" s="575"/>
      <c r="X323" s="575"/>
      <c r="Y323" s="575"/>
      <c r="Z323" s="575"/>
      <c r="AA323" s="575"/>
      <c r="AB323" s="575"/>
      <c r="AC323" s="575"/>
      <c r="AD323" s="575"/>
      <c r="AE323" s="575"/>
      <c r="AF323" s="575"/>
      <c r="AG323" s="575"/>
      <c r="AH323" s="575"/>
      <c r="AI323" s="575"/>
      <c r="AJ323" s="575"/>
    </row>
    <row r="324" spans="1:36" s="627" customFormat="1" x14ac:dyDescent="0.35">
      <c r="A324" s="570"/>
      <c r="B324" s="570" t="str">
        <f t="shared" ref="B324:E324" si="202">B323</f>
        <v>SAPN</v>
      </c>
      <c r="C324" s="570" t="str">
        <f t="shared" si="202"/>
        <v>Residential</v>
      </c>
      <c r="D324" s="570" t="str">
        <f t="shared" si="202"/>
        <v>time of use</v>
      </c>
      <c r="E324" s="570" t="str">
        <f t="shared" si="202"/>
        <v>time of use (Off-peak)</v>
      </c>
      <c r="F324" s="485">
        <f>F323</f>
        <v>849.83914277723261</v>
      </c>
      <c r="G324" s="570" t="s">
        <v>156</v>
      </c>
      <c r="H324" s="574"/>
      <c r="I324" s="574" cm="1">
        <f t="array" ref="I324">_xlfn.XLOOKUP(1,($B324=DistributionZone)*($G324=Description)*($I$5=Desc_FixedOrVar),valuesPY,0)</f>
        <v>4.0580163456251253</v>
      </c>
      <c r="J324" s="574">
        <f>IF(AND(H324="",I324=""),"",H324+I324*$F324/1000)</f>
        <v>3.4486611325420546</v>
      </c>
      <c r="K324" s="575" t="str">
        <f>IFERROR(J324/J326,"")</f>
        <v/>
      </c>
      <c r="L324" s="576"/>
      <c r="M324" s="575">
        <f t="shared" si="199"/>
        <v>-0.53379002233804917</v>
      </c>
      <c r="N324" s="576"/>
      <c r="O324" s="574"/>
      <c r="P324" s="574" cm="1">
        <f t="array" ref="P324">_xlfn.XLOOKUP(1,($B324=DistributionZone)*($G324=Description)*($I$5=Desc_FixedOrVar),valuesFY,0)</f>
        <v>1.8918877098457212</v>
      </c>
      <c r="Q324" s="574">
        <f t="shared" si="200"/>
        <v>1.6078002295660694</v>
      </c>
      <c r="R324" s="575">
        <f>IFERROR(Q324/Q326,"")</f>
        <v>0.17816801969826512</v>
      </c>
      <c r="S324" s="603"/>
      <c r="T324" s="649"/>
      <c r="U324" s="575"/>
      <c r="V324" s="575"/>
      <c r="W324" s="575"/>
      <c r="X324" s="575"/>
      <c r="Y324" s="575"/>
      <c r="Z324" s="575"/>
      <c r="AA324" s="575"/>
      <c r="AB324" s="575"/>
      <c r="AC324" s="575"/>
      <c r="AD324" s="575"/>
      <c r="AE324" s="575"/>
      <c r="AF324" s="575"/>
      <c r="AG324" s="575"/>
      <c r="AH324" s="575"/>
      <c r="AI324" s="575"/>
      <c r="AJ324" s="575"/>
    </row>
    <row r="325" spans="1:36" s="627" customFormat="1" x14ac:dyDescent="0.35">
      <c r="A325" s="570"/>
      <c r="B325" s="570" t="str">
        <f t="shared" ref="B325:E325" si="203">B324</f>
        <v>SAPN</v>
      </c>
      <c r="C325" s="570" t="str">
        <f t="shared" si="203"/>
        <v>Residential</v>
      </c>
      <c r="D325" s="570" t="str">
        <f t="shared" si="203"/>
        <v>time of use</v>
      </c>
      <c r="E325" s="570" t="str">
        <f t="shared" si="203"/>
        <v>time of use (Off-peak)</v>
      </c>
      <c r="F325" s="485">
        <f>F324</f>
        <v>849.83914277723261</v>
      </c>
      <c r="G325" s="570" t="s">
        <v>72</v>
      </c>
      <c r="H325" s="574"/>
      <c r="I325" s="574" cm="1">
        <f t="array" ref="I325">_xlfn.XLOOKUP(1,($B325=DistributionZone)*($C325=CustomerType)*($D325=tariffL2)*($G325=Description)*($I$5=Desc_FixedOrVar),valuesPY,0)*SUM(I322:I324)</f>
        <v>0</v>
      </c>
      <c r="J325" s="574">
        <f>IF(AND(H325="",I325=""),"",H325+I325*$F325/1000)</f>
        <v>0</v>
      </c>
      <c r="K325" s="575" t="str">
        <f>IFERROR(J325/J326,"")</f>
        <v/>
      </c>
      <c r="L325" s="576"/>
      <c r="M325" s="575" t="str">
        <f t="shared" si="199"/>
        <v/>
      </c>
      <c r="N325" s="576"/>
      <c r="O325" s="574"/>
      <c r="P325" s="574" cm="1">
        <f t="array" ref="P325">_xlfn.XLOOKUP(1,($B325=DistributionZone)*($C325=CustomerType)*($D325=tariffL2)*($G325=Description)*($P$5=Desc_FixedOrVar),valuesFY,0)*SUM(P322:P324)</f>
        <v>1.091297087920488</v>
      </c>
      <c r="Q325" s="574">
        <f t="shared" si="200"/>
        <v>0.92742698171363769</v>
      </c>
      <c r="R325" s="575">
        <f>IFERROR(Q325/Q326,"")</f>
        <v>0.10277261173874452</v>
      </c>
      <c r="S325" s="575"/>
      <c r="T325" s="649"/>
      <c r="U325" s="575"/>
      <c r="V325" s="575"/>
      <c r="W325" s="575"/>
      <c r="X325" s="575"/>
      <c r="Y325" s="575"/>
      <c r="Z325" s="575"/>
      <c r="AA325" s="575"/>
      <c r="AB325" s="575"/>
      <c r="AC325" s="575"/>
      <c r="AD325" s="575"/>
      <c r="AE325" s="575"/>
      <c r="AF325" s="575"/>
      <c r="AG325" s="575"/>
      <c r="AH325" s="575"/>
      <c r="AI325" s="575"/>
      <c r="AJ325" s="575"/>
    </row>
    <row r="326" spans="1:36" s="627" customFormat="1" x14ac:dyDescent="0.35">
      <c r="A326" s="570"/>
      <c r="B326" s="570" t="str">
        <f t="shared" ref="B326:E326" si="204">B325</f>
        <v>SAPN</v>
      </c>
      <c r="C326" s="570" t="str">
        <f t="shared" si="204"/>
        <v>Residential</v>
      </c>
      <c r="D326" s="570" t="str">
        <f t="shared" si="204"/>
        <v>time of use</v>
      </c>
      <c r="E326" s="570" t="str">
        <f t="shared" si="204"/>
        <v>time of use (Off-peak)</v>
      </c>
      <c r="F326" s="485">
        <f>F325</f>
        <v>849.83914277723261</v>
      </c>
      <c r="G326" s="571" t="s">
        <v>55</v>
      </c>
      <c r="H326" s="577">
        <f>SUM(H323:H325)</f>
        <v>0</v>
      </c>
      <c r="I326" s="577">
        <f>IF($H$3=PY,0,SUM(I322:I325))</f>
        <v>0</v>
      </c>
      <c r="J326" s="577">
        <f>IF($H$3=PY,0,SUM(J322:J325))</f>
        <v>0</v>
      </c>
      <c r="K326" s="578"/>
      <c r="L326" s="580"/>
      <c r="M326" s="578" t="str">
        <f t="shared" si="199"/>
        <v/>
      </c>
      <c r="N326" s="580"/>
      <c r="O326" s="577">
        <f>SUM(O322:O325)</f>
        <v>0</v>
      </c>
      <c r="P326" s="577">
        <f>SUM(P322:P325)</f>
        <v>10.618559453316657</v>
      </c>
      <c r="Q326" s="577">
        <f t="shared" si="200"/>
        <v>9.0240674633357063</v>
      </c>
      <c r="R326" s="575"/>
      <c r="S326" s="575"/>
      <c r="T326" s="649"/>
      <c r="U326" s="575"/>
      <c r="V326" s="575"/>
      <c r="W326" s="575"/>
      <c r="X326" s="575"/>
      <c r="Y326" s="575"/>
      <c r="Z326" s="575"/>
      <c r="AA326" s="575"/>
      <c r="AB326" s="575"/>
      <c r="AC326" s="575"/>
      <c r="AD326" s="575"/>
      <c r="AE326" s="575"/>
      <c r="AF326" s="575"/>
      <c r="AG326" s="575"/>
      <c r="AH326" s="575"/>
      <c r="AI326" s="575"/>
      <c r="AJ326" s="575"/>
    </row>
    <row r="327" spans="1:36" s="627" customFormat="1" x14ac:dyDescent="0.35">
      <c r="A327" s="570"/>
      <c r="B327" s="570" t="str">
        <f t="shared" ref="B327:D327" si="205">B326</f>
        <v>SAPN</v>
      </c>
      <c r="C327" s="570" t="str">
        <f t="shared" si="205"/>
        <v>Residential</v>
      </c>
      <c r="D327" s="570" t="str">
        <f t="shared" si="205"/>
        <v>time of use</v>
      </c>
      <c r="E327" s="570" t="s">
        <v>278</v>
      </c>
      <c r="F327" s="485" cm="1">
        <f t="array" ref="F327">_xlfn.XLOOKUP(1,($B327=DistributionZone)*($C327=CustomerType)*($D327=tariffL2)*($F$5=Description),valuesPY)*_xlfn.XLOOKUP(1,($B327=DistributionZone)*($C327=CustomerType)*($D327=tariffL2)*($E327=tariffType)*("Usage proportion"=Description),valuesFY)</f>
        <v>2054.6441546346314</v>
      </c>
      <c r="G327" s="570" t="s">
        <v>73</v>
      </c>
      <c r="H327" s="574"/>
      <c r="I327" s="574" cm="1">
        <f t="array" ref="I327">_xlfn.XLOOKUP(1,($B327=DistributionZone)*($G327=Description)*($I$5=Desc_FixedOrVar),valuesPY,0)</f>
        <v>6.1170426505850894</v>
      </c>
      <c r="J327" s="574">
        <f>IF(AND(H327="",I327=""),"",H327+I327*$F327/1000)</f>
        <v>12.568345925675386</v>
      </c>
      <c r="K327" s="575" t="str">
        <f>IFERROR(J327/J331,"")</f>
        <v/>
      </c>
      <c r="L327" s="576"/>
      <c r="M327" s="575">
        <f t="shared" si="199"/>
        <v>-0.48482055209325359</v>
      </c>
      <c r="N327" s="576"/>
      <c r="O327" s="574"/>
      <c r="P327" s="574" cm="1">
        <f t="array" ref="P327">_xlfn.XLOOKUP(1,($B327=DistributionZone)*($G327=Description)*($I$5=Desc_FixedOrVar),valuesFY,0)</f>
        <v>3.1513746555504474</v>
      </c>
      <c r="Q327" s="574">
        <f t="shared" si="200"/>
        <v>6.4749535150904514</v>
      </c>
      <c r="R327" s="575">
        <f>IFERROR(Q327/Q331,"")</f>
        <v>0.29677986636559545</v>
      </c>
      <c r="S327" s="603"/>
      <c r="T327" s="634"/>
      <c r="U327" s="575"/>
      <c r="V327" s="575"/>
      <c r="W327" s="575"/>
      <c r="X327" s="575"/>
      <c r="Y327" s="575"/>
      <c r="Z327" s="575"/>
      <c r="AA327" s="575"/>
      <c r="AB327" s="575"/>
      <c r="AC327" s="575"/>
      <c r="AD327" s="575"/>
      <c r="AE327" s="575"/>
      <c r="AF327" s="575"/>
      <c r="AG327" s="575"/>
      <c r="AH327" s="575"/>
      <c r="AI327" s="575"/>
      <c r="AJ327" s="575"/>
    </row>
    <row r="328" spans="1:36" s="627" customFormat="1" x14ac:dyDescent="0.35">
      <c r="A328" s="570"/>
      <c r="B328" s="570" t="str">
        <f t="shared" ref="B328:E328" si="206">B327</f>
        <v>SAPN</v>
      </c>
      <c r="C328" s="570" t="str">
        <f t="shared" si="206"/>
        <v>Residential</v>
      </c>
      <c r="D328" s="570" t="str">
        <f t="shared" si="206"/>
        <v>time of use</v>
      </c>
      <c r="E328" s="570" t="str">
        <f t="shared" si="206"/>
        <v>time of use (Peak)</v>
      </c>
      <c r="F328" s="485">
        <f>F327</f>
        <v>2054.6441546346314</v>
      </c>
      <c r="G328" s="570" t="s">
        <v>74</v>
      </c>
      <c r="H328" s="574"/>
      <c r="I328" s="574" cm="1">
        <f t="array" ref="I328">_xlfn.XLOOKUP(1,($B328=DistributionZone)*($G328=Description)*($I$5=Desc_FixedOrVar),valuesPY,0)</f>
        <v>5.1359999999999992</v>
      </c>
      <c r="J328" s="574">
        <f>IF(AND(H328="",I328=""),"",H328+I328*$F328/1000)</f>
        <v>10.552652378203465</v>
      </c>
      <c r="K328" s="575" t="str">
        <f>IFERROR(J328/J331,"")</f>
        <v/>
      </c>
      <c r="L328" s="576"/>
      <c r="M328" s="575">
        <f t="shared" si="199"/>
        <v>-0.12694704049844208</v>
      </c>
      <c r="N328" s="576"/>
      <c r="O328" s="574"/>
      <c r="P328" s="574" cm="1">
        <f t="array" ref="P328">_xlfn.XLOOKUP(1,($B328=DistributionZone)*($G328=Description)*($I$5=Desc_FixedOrVar),valuesFY,0)</f>
        <v>4.484</v>
      </c>
      <c r="Q328" s="574">
        <f t="shared" si="200"/>
        <v>9.2130243893816886</v>
      </c>
      <c r="R328" s="575">
        <f>IFERROR(Q328/Q331,"")</f>
        <v>0.42227950219739502</v>
      </c>
      <c r="S328" s="603"/>
      <c r="T328" s="649"/>
      <c r="U328" s="575"/>
      <c r="V328" s="575"/>
      <c r="W328" s="575"/>
      <c r="X328" s="575"/>
      <c r="Y328" s="575"/>
      <c r="Z328" s="575"/>
      <c r="AA328" s="575"/>
      <c r="AB328" s="575"/>
      <c r="AC328" s="575"/>
      <c r="AD328" s="575"/>
      <c r="AE328" s="575"/>
      <c r="AF328" s="575"/>
      <c r="AG328" s="575"/>
      <c r="AH328" s="575"/>
      <c r="AI328" s="575"/>
      <c r="AJ328" s="575"/>
    </row>
    <row r="329" spans="1:36" s="627" customFormat="1" x14ac:dyDescent="0.35">
      <c r="A329" s="570"/>
      <c r="B329" s="570" t="str">
        <f t="shared" ref="B329:E329" si="207">B328</f>
        <v>SAPN</v>
      </c>
      <c r="C329" s="570" t="str">
        <f t="shared" si="207"/>
        <v>Residential</v>
      </c>
      <c r="D329" s="570" t="str">
        <f t="shared" si="207"/>
        <v>time of use</v>
      </c>
      <c r="E329" s="570" t="str">
        <f t="shared" si="207"/>
        <v>time of use (Peak)</v>
      </c>
      <c r="F329" s="485">
        <f>F328</f>
        <v>2054.6441546346314</v>
      </c>
      <c r="G329" s="570" t="s">
        <v>156</v>
      </c>
      <c r="H329" s="574"/>
      <c r="I329" s="574" cm="1">
        <f t="array" ref="I329">_xlfn.XLOOKUP(1,($B329=DistributionZone)*($G329=Description)*($I$5=Desc_FixedOrVar),valuesPY,0)</f>
        <v>4.0580163456251253</v>
      </c>
      <c r="J329" s="574">
        <f>IF(AND(H329="",I329=""),"",H329+I329*$F329/1000)</f>
        <v>8.3377795639504519</v>
      </c>
      <c r="K329" s="575" t="str">
        <f>IFERROR(J329/J331,"")</f>
        <v/>
      </c>
      <c r="L329" s="576"/>
      <c r="M329" s="575">
        <f t="shared" si="199"/>
        <v>-0.53379002233804917</v>
      </c>
      <c r="N329" s="576"/>
      <c r="O329" s="574"/>
      <c r="P329" s="574" cm="1">
        <f t="array" ref="P329">_xlfn.XLOOKUP(1,($B329=DistributionZone)*($G329=Description)*($I$5=Desc_FixedOrVar),valuesFY,0)</f>
        <v>1.8918877098457212</v>
      </c>
      <c r="Q329" s="574">
        <f t="shared" si="200"/>
        <v>3.8871560242596108</v>
      </c>
      <c r="R329" s="575">
        <f>IFERROR(Q329/Q331,"")</f>
        <v>0.17816801969826512</v>
      </c>
      <c r="S329" s="603"/>
      <c r="T329" s="649"/>
      <c r="U329" s="575"/>
      <c r="V329" s="575"/>
      <c r="W329" s="575"/>
      <c r="X329" s="575"/>
      <c r="Y329" s="575"/>
      <c r="Z329" s="575"/>
      <c r="AA329" s="575"/>
      <c r="AB329" s="575"/>
      <c r="AC329" s="575"/>
      <c r="AD329" s="575"/>
      <c r="AE329" s="575"/>
      <c r="AF329" s="575"/>
      <c r="AG329" s="575"/>
      <c r="AH329" s="575"/>
      <c r="AI329" s="575"/>
      <c r="AJ329" s="575"/>
    </row>
    <row r="330" spans="1:36" s="627" customFormat="1" x14ac:dyDescent="0.35">
      <c r="A330" s="570"/>
      <c r="B330" s="570" t="str">
        <f t="shared" ref="B330:E330" si="208">B329</f>
        <v>SAPN</v>
      </c>
      <c r="C330" s="570" t="str">
        <f t="shared" si="208"/>
        <v>Residential</v>
      </c>
      <c r="D330" s="570" t="str">
        <f t="shared" si="208"/>
        <v>time of use</v>
      </c>
      <c r="E330" s="570" t="str">
        <f t="shared" si="208"/>
        <v>time of use (Peak)</v>
      </c>
      <c r="F330" s="485">
        <f>F329</f>
        <v>2054.6441546346314</v>
      </c>
      <c r="G330" s="570" t="s">
        <v>72</v>
      </c>
      <c r="H330" s="574"/>
      <c r="I330" s="574" cm="1">
        <f t="array" ref="I330">_xlfn.XLOOKUP(1,($B330=DistributionZone)*($C330=CustomerType)*($D330=tariffL2)*($G330=Description)*($I$5=Desc_FixedOrVar),valuesPY,0)*SUM(I327:I329)</f>
        <v>0</v>
      </c>
      <c r="J330" s="574">
        <f>IF(AND(H330="",I330=""),"",H330+I330*$F330/1000)</f>
        <v>0</v>
      </c>
      <c r="K330" s="575" t="str">
        <f>IFERROR(J330/J331,"")</f>
        <v/>
      </c>
      <c r="L330" s="576"/>
      <c r="M330" s="575" t="str">
        <f t="shared" si="199"/>
        <v/>
      </c>
      <c r="N330" s="576"/>
      <c r="O330" s="574"/>
      <c r="P330" s="574" cm="1">
        <f t="array" ref="P330">_xlfn.XLOOKUP(1,($B330=DistributionZone)*($C330=CustomerType)*($D330=tariffL2)*($G330=Description)*($P$5=Desc_FixedOrVar),valuesFY,0)*SUM(P327:P329)</f>
        <v>1.091297087920488</v>
      </c>
      <c r="Q330" s="574">
        <f t="shared" si="200"/>
        <v>2.2422271826656259</v>
      </c>
      <c r="R330" s="575">
        <f>IFERROR(Q330/Q331,"")</f>
        <v>0.10277261173874451</v>
      </c>
      <c r="S330" s="575"/>
      <c r="T330" s="649"/>
      <c r="U330" s="575"/>
      <c r="V330" s="575"/>
      <c r="W330" s="575"/>
      <c r="X330" s="575"/>
      <c r="Y330" s="575"/>
      <c r="Z330" s="575"/>
      <c r="AA330" s="575"/>
      <c r="AB330" s="575"/>
      <c r="AC330" s="575"/>
      <c r="AD330" s="575"/>
      <c r="AE330" s="575"/>
      <c r="AF330" s="575"/>
      <c r="AG330" s="575"/>
      <c r="AH330" s="575"/>
      <c r="AI330" s="575"/>
      <c r="AJ330" s="575"/>
    </row>
    <row r="331" spans="1:36" s="627" customFormat="1" x14ac:dyDescent="0.35">
      <c r="A331" s="570"/>
      <c r="B331" s="570" t="str">
        <f t="shared" ref="B331:E331" si="209">B330</f>
        <v>SAPN</v>
      </c>
      <c r="C331" s="570" t="str">
        <f t="shared" si="209"/>
        <v>Residential</v>
      </c>
      <c r="D331" s="570" t="str">
        <f t="shared" si="209"/>
        <v>time of use</v>
      </c>
      <c r="E331" s="570" t="str">
        <f t="shared" si="209"/>
        <v>time of use (Peak)</v>
      </c>
      <c r="F331" s="485">
        <f>F330</f>
        <v>2054.6441546346314</v>
      </c>
      <c r="G331" s="571" t="s">
        <v>55</v>
      </c>
      <c r="H331" s="577">
        <f>SUM(H328:H330)</f>
        <v>0</v>
      </c>
      <c r="I331" s="577">
        <f>IF($H$3=PY,0,SUM(I327:I330))</f>
        <v>0</v>
      </c>
      <c r="J331" s="577">
        <f>IF($H$3=PY,0,SUM(J327:J330))</f>
        <v>0</v>
      </c>
      <c r="K331" s="578"/>
      <c r="L331" s="580"/>
      <c r="M331" s="578" t="str">
        <f t="shared" si="199"/>
        <v/>
      </c>
      <c r="N331" s="580"/>
      <c r="O331" s="577">
        <f>SUM(O327:O330)</f>
        <v>0</v>
      </c>
      <c r="P331" s="577">
        <f>SUM(P327:P330)</f>
        <v>10.618559453316657</v>
      </c>
      <c r="Q331" s="577">
        <f t="shared" si="200"/>
        <v>21.817361111397375</v>
      </c>
      <c r="R331" s="575"/>
      <c r="S331" s="575"/>
      <c r="T331" s="649"/>
      <c r="U331" s="575"/>
      <c r="V331" s="575"/>
      <c r="W331" s="575"/>
      <c r="X331" s="575"/>
      <c r="Y331" s="575"/>
      <c r="Z331" s="575"/>
      <c r="AA331" s="575"/>
      <c r="AB331" s="575"/>
      <c r="AC331" s="575"/>
      <c r="AD331" s="575"/>
      <c r="AE331" s="575"/>
      <c r="AF331" s="575"/>
      <c r="AG331" s="575"/>
      <c r="AH331" s="575"/>
      <c r="AI331" s="575"/>
      <c r="AJ331" s="575"/>
    </row>
    <row r="332" spans="1:36" s="627" customFormat="1" x14ac:dyDescent="0.35">
      <c r="A332" s="570"/>
      <c r="B332" s="570" t="str">
        <f t="shared" ref="B332:D332" si="210">B331</f>
        <v>SAPN</v>
      </c>
      <c r="C332" s="570" t="str">
        <f t="shared" si="210"/>
        <v>Residential</v>
      </c>
      <c r="D332" s="570" t="str">
        <f t="shared" si="210"/>
        <v>time of use</v>
      </c>
      <c r="E332" s="570" t="s">
        <v>284</v>
      </c>
      <c r="F332" s="485" cm="1">
        <f t="array" ref="F332">_xlfn.XLOOKUP(1,($B332=DistributionZone)*($C332=CustomerType)*($D332=tariffL2)*($F$5=Description),valuesPY)*_xlfn.XLOOKUP(1,($B332=DistributionZone)*($C332=CustomerType)*($D332=tariffL2)*($E332=tariffType)*("Usage proportion"=Description),valuesFY)</f>
        <v>1095.5167025881362</v>
      </c>
      <c r="G332" s="570" t="s">
        <v>73</v>
      </c>
      <c r="H332" s="574"/>
      <c r="I332" s="574" cm="1">
        <f t="array" ref="I332">_xlfn.XLOOKUP(1,($B332=DistributionZone)*($G332=Description)*($I$5=Desc_FixedOrVar),valuesPY,0)</f>
        <v>6.1170426505850894</v>
      </c>
      <c r="J332" s="574">
        <f>IF(AND(H332="",I332=""),"",H332+I332*$F332/1000)</f>
        <v>6.7013223941599698</v>
      </c>
      <c r="K332" s="575" t="str">
        <f>IFERROR(J332/J336,"")</f>
        <v/>
      </c>
      <c r="L332" s="576"/>
      <c r="M332" s="575">
        <f t="shared" si="199"/>
        <v>-0.48482055209325348</v>
      </c>
      <c r="N332" s="576"/>
      <c r="O332" s="574"/>
      <c r="P332" s="574" cm="1">
        <f t="array" ref="P332">_xlfn.XLOOKUP(1,($B332=DistributionZone)*($G332=Description)*($I$5=Desc_FixedOrVar),valuesFY,0)</f>
        <v>3.1513746555504474</v>
      </c>
      <c r="Q332" s="574">
        <f t="shared" si="200"/>
        <v>3.4523835712684501</v>
      </c>
      <c r="R332" s="575">
        <f>IFERROR(Q332/Q336,"")</f>
        <v>0.29677986636559545</v>
      </c>
      <c r="S332" s="603"/>
      <c r="T332" s="634"/>
      <c r="U332" s="575"/>
      <c r="V332" s="575"/>
      <c r="W332" s="575"/>
      <c r="X332" s="575"/>
      <c r="Y332" s="575"/>
      <c r="Z332" s="575"/>
      <c r="AA332" s="575"/>
      <c r="AB332" s="575"/>
      <c r="AC332" s="575"/>
      <c r="AD332" s="575"/>
      <c r="AE332" s="575"/>
      <c r="AF332" s="575"/>
      <c r="AG332" s="575"/>
      <c r="AH332" s="575"/>
      <c r="AI332" s="575"/>
      <c r="AJ332" s="575"/>
    </row>
    <row r="333" spans="1:36" s="627" customFormat="1" x14ac:dyDescent="0.35">
      <c r="A333" s="570"/>
      <c r="B333" s="570" t="str">
        <f t="shared" ref="B333:E333" si="211">B332</f>
        <v>SAPN</v>
      </c>
      <c r="C333" s="570" t="str">
        <f t="shared" si="211"/>
        <v>Residential</v>
      </c>
      <c r="D333" s="570" t="str">
        <f t="shared" si="211"/>
        <v>time of use</v>
      </c>
      <c r="E333" s="570" t="str">
        <f t="shared" si="211"/>
        <v>time of use (Solar Soak/Shoulder)</v>
      </c>
      <c r="F333" s="485">
        <f>F332</f>
        <v>1095.5167025881362</v>
      </c>
      <c r="G333" s="570" t="s">
        <v>74</v>
      </c>
      <c r="H333" s="574"/>
      <c r="I333" s="574" cm="1">
        <f t="array" ref="I333">_xlfn.XLOOKUP(1,($B333=DistributionZone)*($G333=Description)*($I$5=Desc_FixedOrVar),valuesPY,0)</f>
        <v>5.1359999999999992</v>
      </c>
      <c r="J333" s="574">
        <f>IF(AND(H333="",I333=""),"",H333+I333*$F333/1000)</f>
        <v>5.6265737844926669</v>
      </c>
      <c r="K333" s="575" t="str">
        <f>IFERROR(J333/J336,"")</f>
        <v/>
      </c>
      <c r="L333" s="576"/>
      <c r="M333" s="575">
        <f t="shared" si="199"/>
        <v>-0.1269470404984423</v>
      </c>
      <c r="N333" s="576"/>
      <c r="O333" s="574"/>
      <c r="P333" s="574" cm="1">
        <f t="array" ref="P333">_xlfn.XLOOKUP(1,($B333=DistributionZone)*($G333=Description)*($I$5=Desc_FixedOrVar),valuesFY,0)</f>
        <v>4.484</v>
      </c>
      <c r="Q333" s="574">
        <f t="shared" si="200"/>
        <v>4.9122968944052028</v>
      </c>
      <c r="R333" s="575">
        <f>IFERROR(Q333/Q336,"")</f>
        <v>0.42227950219739491</v>
      </c>
      <c r="S333" s="603"/>
      <c r="T333" s="649"/>
      <c r="U333" s="575"/>
      <c r="V333" s="575"/>
      <c r="W333" s="575"/>
      <c r="X333" s="575"/>
      <c r="Y333" s="575"/>
      <c r="Z333" s="575"/>
      <c r="AA333" s="575"/>
      <c r="AB333" s="575"/>
      <c r="AC333" s="575"/>
      <c r="AD333" s="575"/>
      <c r="AE333" s="575"/>
      <c r="AF333" s="575"/>
      <c r="AG333" s="575"/>
      <c r="AH333" s="575"/>
      <c r="AI333" s="575"/>
      <c r="AJ333" s="575"/>
    </row>
    <row r="334" spans="1:36" s="627" customFormat="1" x14ac:dyDescent="0.35">
      <c r="A334" s="570"/>
      <c r="B334" s="570" t="str">
        <f t="shared" ref="B334:E334" si="212">B333</f>
        <v>SAPN</v>
      </c>
      <c r="C334" s="570" t="str">
        <f t="shared" si="212"/>
        <v>Residential</v>
      </c>
      <c r="D334" s="570" t="str">
        <f t="shared" si="212"/>
        <v>time of use</v>
      </c>
      <c r="E334" s="570" t="str">
        <f t="shared" si="212"/>
        <v>time of use (Solar Soak/Shoulder)</v>
      </c>
      <c r="F334" s="485">
        <f>F333</f>
        <v>1095.5167025881362</v>
      </c>
      <c r="G334" s="570" t="s">
        <v>156</v>
      </c>
      <c r="H334" s="574"/>
      <c r="I334" s="574" cm="1">
        <f t="array" ref="I334">_xlfn.XLOOKUP(1,($B334=DistributionZone)*($G334=Description)*($I$5=Desc_FixedOrVar),valuesPY,0)</f>
        <v>4.0580163456251253</v>
      </c>
      <c r="J334" s="574">
        <f>IF(AND(H334="",I334=""),"",H334+I334*$F334/1000)</f>
        <v>4.4456246860079958</v>
      </c>
      <c r="K334" s="575" t="str">
        <f>IFERROR(J334/J336,"")</f>
        <v/>
      </c>
      <c r="L334" s="576"/>
      <c r="M334" s="575">
        <f t="shared" si="199"/>
        <v>-0.53379002233804917</v>
      </c>
      <c r="N334" s="576"/>
      <c r="O334" s="574"/>
      <c r="P334" s="574" cm="1">
        <f t="array" ref="P334">_xlfn.XLOOKUP(1,($B334=DistributionZone)*($G334=Description)*($I$5=Desc_FixedOrVar),valuesFY,0)</f>
        <v>1.8918877098457212</v>
      </c>
      <c r="Q334" s="574">
        <f t="shared" si="200"/>
        <v>2.072594585557205</v>
      </c>
      <c r="R334" s="575">
        <f>IFERROR(Q334/Q336,"")</f>
        <v>0.1781680196982651</v>
      </c>
      <c r="S334" s="603"/>
      <c r="T334" s="649"/>
      <c r="U334" s="575"/>
      <c r="V334" s="575"/>
      <c r="W334" s="575"/>
      <c r="X334" s="575"/>
      <c r="Y334" s="575"/>
      <c r="Z334" s="575"/>
      <c r="AA334" s="575"/>
      <c r="AB334" s="575"/>
      <c r="AC334" s="575"/>
      <c r="AD334" s="575"/>
      <c r="AE334" s="575"/>
      <c r="AF334" s="575"/>
      <c r="AG334" s="575"/>
      <c r="AH334" s="575"/>
      <c r="AI334" s="575"/>
      <c r="AJ334" s="575"/>
    </row>
    <row r="335" spans="1:36" s="627" customFormat="1" x14ac:dyDescent="0.35">
      <c r="A335" s="570"/>
      <c r="B335" s="570" t="str">
        <f t="shared" ref="B335:E335" si="213">B334</f>
        <v>SAPN</v>
      </c>
      <c r="C335" s="570" t="str">
        <f t="shared" si="213"/>
        <v>Residential</v>
      </c>
      <c r="D335" s="570" t="str">
        <f t="shared" si="213"/>
        <v>time of use</v>
      </c>
      <c r="E335" s="570" t="str">
        <f t="shared" si="213"/>
        <v>time of use (Solar Soak/Shoulder)</v>
      </c>
      <c r="F335" s="485">
        <f>F334</f>
        <v>1095.5167025881362</v>
      </c>
      <c r="G335" s="570" t="s">
        <v>72</v>
      </c>
      <c r="H335" s="574"/>
      <c r="I335" s="574" cm="1">
        <f t="array" ref="I335">_xlfn.XLOOKUP(1,($B335=DistributionZone)*($C335=CustomerType)*($D335=tariffL2)*($G335=Description)*($I$5=Desc_FixedOrVar),valuesPY,0)*SUM(I332:I334)</f>
        <v>0</v>
      </c>
      <c r="J335" s="574">
        <f>IF(AND(H335="",I335=""),"",H335+I335*$F335/1000)</f>
        <v>0</v>
      </c>
      <c r="K335" s="575" t="str">
        <f>IFERROR(J335/J336,"")</f>
        <v/>
      </c>
      <c r="L335" s="576"/>
      <c r="M335" s="575" t="str">
        <f t="shared" si="199"/>
        <v/>
      </c>
      <c r="N335" s="576"/>
      <c r="O335" s="574"/>
      <c r="P335" s="574" cm="1">
        <f t="array" ref="P335">_xlfn.XLOOKUP(1,($B335=DistributionZone)*($C335=CustomerType)*($D335=tariffL2)*($G335=Description)*($P$5=Desc_FixedOrVar),valuesFY,0)*SUM(P332:P334)</f>
        <v>1.091297087920488</v>
      </c>
      <c r="Q335" s="574">
        <f t="shared" si="200"/>
        <v>1.1955341873026883</v>
      </c>
      <c r="R335" s="575">
        <f>IFERROR(Q335/Q336,"")</f>
        <v>0.10277261173874451</v>
      </c>
      <c r="S335" s="575"/>
      <c r="T335" s="649"/>
      <c r="U335" s="575"/>
      <c r="V335" s="575"/>
      <c r="W335" s="575"/>
      <c r="X335" s="575"/>
      <c r="Y335" s="575"/>
      <c r="Z335" s="575"/>
      <c r="AA335" s="575"/>
      <c r="AB335" s="575"/>
      <c r="AC335" s="575"/>
      <c r="AD335" s="575"/>
      <c r="AE335" s="575"/>
      <c r="AF335" s="575"/>
      <c r="AG335" s="575"/>
      <c r="AH335" s="575"/>
      <c r="AI335" s="575"/>
      <c r="AJ335" s="575"/>
    </row>
    <row r="336" spans="1:36" s="627" customFormat="1" x14ac:dyDescent="0.35">
      <c r="A336" s="570"/>
      <c r="B336" s="570" t="str">
        <f t="shared" ref="B336:E336" si="214">B335</f>
        <v>SAPN</v>
      </c>
      <c r="C336" s="570" t="str">
        <f t="shared" si="214"/>
        <v>Residential</v>
      </c>
      <c r="D336" s="570" t="str">
        <f t="shared" si="214"/>
        <v>time of use</v>
      </c>
      <c r="E336" s="570" t="str">
        <f t="shared" si="214"/>
        <v>time of use (Solar Soak/Shoulder)</v>
      </c>
      <c r="F336" s="485">
        <f>F335</f>
        <v>1095.5167025881362</v>
      </c>
      <c r="G336" s="571" t="s">
        <v>55</v>
      </c>
      <c r="H336" s="577">
        <f>SUM(H333:H335)</f>
        <v>0</v>
      </c>
      <c r="I336" s="577">
        <f>IF($H$3=PY,0,SUM(I332:I335))</f>
        <v>0</v>
      </c>
      <c r="J336" s="577">
        <f>IF($H$3=PY,0,SUM(J332:J335))</f>
        <v>0</v>
      </c>
      <c r="K336" s="578"/>
      <c r="L336" s="580"/>
      <c r="M336" s="578" t="str">
        <f t="shared" si="199"/>
        <v/>
      </c>
      <c r="N336" s="580"/>
      <c r="O336" s="577">
        <f>SUM(O332:O335)</f>
        <v>0</v>
      </c>
      <c r="P336" s="577">
        <f>SUM(P332:P335)</f>
        <v>10.618559453316657</v>
      </c>
      <c r="Q336" s="577">
        <f t="shared" si="200"/>
        <v>11.632809238533547</v>
      </c>
      <c r="R336" s="575"/>
      <c r="S336" s="575"/>
      <c r="T336" s="649"/>
      <c r="U336" s="575"/>
      <c r="V336" s="575"/>
      <c r="W336" s="575"/>
      <c r="X336" s="575"/>
      <c r="Y336" s="575"/>
      <c r="Z336" s="575"/>
      <c r="AA336" s="575"/>
      <c r="AB336" s="575"/>
      <c r="AC336" s="575"/>
      <c r="AD336" s="575"/>
      <c r="AE336" s="575"/>
      <c r="AF336" s="575"/>
      <c r="AG336" s="575"/>
      <c r="AH336" s="575"/>
      <c r="AI336" s="575"/>
      <c r="AJ336" s="575"/>
    </row>
    <row r="337" spans="1:36" s="627" customFormat="1" x14ac:dyDescent="0.35">
      <c r="A337" s="570"/>
      <c r="B337" s="570"/>
      <c r="C337" s="570"/>
      <c r="D337" s="570"/>
      <c r="E337" s="570"/>
      <c r="F337" s="485">
        <f>SUM(F322,F327,F332)</f>
        <v>4000</v>
      </c>
      <c r="G337" s="571" t="s">
        <v>55</v>
      </c>
      <c r="H337" s="577">
        <f>SUM(H336,H331,H326)</f>
        <v>0</v>
      </c>
      <c r="I337" s="577">
        <f t="shared" ref="I337:J337" si="215">SUM(I336,I331,I326)</f>
        <v>0</v>
      </c>
      <c r="J337" s="577">
        <f t="shared" si="215"/>
        <v>0</v>
      </c>
      <c r="K337" s="578"/>
      <c r="L337" s="580"/>
      <c r="M337" s="578"/>
      <c r="N337" s="580"/>
      <c r="O337" s="577">
        <f>SUM(O336,O331,O326)</f>
        <v>0</v>
      </c>
      <c r="P337" s="577">
        <f t="shared" ref="P337" si="216">SUM(P336,P331,P326)</f>
        <v>31.85567835994997</v>
      </c>
      <c r="Q337" s="577">
        <f t="shared" ref="Q337" si="217">SUM(Q336,Q331,Q326)</f>
        <v>42.474237813266626</v>
      </c>
      <c r="R337" s="575"/>
      <c r="S337" s="575"/>
      <c r="T337" s="649"/>
      <c r="U337" s="575"/>
      <c r="V337" s="575"/>
      <c r="W337" s="575"/>
      <c r="X337" s="575"/>
      <c r="Y337" s="575"/>
      <c r="Z337" s="575"/>
      <c r="AA337" s="575"/>
      <c r="AB337" s="575"/>
      <c r="AC337" s="575"/>
      <c r="AD337" s="575"/>
      <c r="AE337" s="575"/>
      <c r="AF337" s="575"/>
      <c r="AG337" s="575"/>
      <c r="AH337" s="575"/>
      <c r="AI337" s="575"/>
      <c r="AJ337" s="575"/>
    </row>
    <row r="338" spans="1:36" s="627" customFormat="1" x14ac:dyDescent="0.35">
      <c r="A338" s="570"/>
      <c r="B338" s="570" t="str">
        <f>B336</f>
        <v>SAPN</v>
      </c>
      <c r="C338" s="570" t="str">
        <f>C336</f>
        <v>Residential</v>
      </c>
      <c r="D338" s="570" t="str">
        <f>D336</f>
        <v>time of use</v>
      </c>
      <c r="E338" s="570"/>
      <c r="F338" s="485"/>
      <c r="G338" s="570" t="s">
        <v>38</v>
      </c>
      <c r="H338" s="574"/>
      <c r="I338" s="574"/>
      <c r="J338" s="574">
        <f>J337*GST</f>
        <v>0</v>
      </c>
      <c r="K338" s="575"/>
      <c r="L338" s="582"/>
      <c r="M338" s="575"/>
      <c r="N338" s="582"/>
      <c r="O338" s="574"/>
      <c r="P338" s="574"/>
      <c r="Q338" s="574">
        <f>Q337*GST</f>
        <v>4.2474237813266624</v>
      </c>
      <c r="R338" s="578"/>
      <c r="S338" s="578"/>
      <c r="T338" s="650"/>
      <c r="U338" s="578"/>
      <c r="V338" s="578"/>
      <c r="W338" s="578"/>
      <c r="X338" s="578"/>
      <c r="Y338" s="578"/>
      <c r="Z338" s="578"/>
      <c r="AA338" s="578"/>
      <c r="AB338" s="578"/>
      <c r="AC338" s="578"/>
      <c r="AD338" s="578"/>
      <c r="AE338" s="578"/>
      <c r="AF338" s="578"/>
      <c r="AG338" s="578"/>
      <c r="AH338" s="578"/>
      <c r="AI338" s="578"/>
      <c r="AJ338" s="578"/>
    </row>
    <row r="339" spans="1:36" s="627" customFormat="1" x14ac:dyDescent="0.35">
      <c r="A339" s="570"/>
      <c r="B339" s="570" t="str">
        <f t="shared" ref="B339:D339" si="218">B338</f>
        <v>SAPN</v>
      </c>
      <c r="C339" s="570" t="str">
        <f t="shared" si="218"/>
        <v>Residential</v>
      </c>
      <c r="D339" s="570" t="str">
        <f t="shared" si="218"/>
        <v>time of use</v>
      </c>
      <c r="E339" s="570" t="s">
        <v>272</v>
      </c>
      <c r="F339" s="485"/>
      <c r="G339" s="571" t="s">
        <v>79</v>
      </c>
      <c r="H339" s="577"/>
      <c r="I339" s="577"/>
      <c r="J339" s="577">
        <f>SUM(J337:J338)</f>
        <v>0</v>
      </c>
      <c r="K339" s="578"/>
      <c r="L339" s="580"/>
      <c r="M339" s="578" t="str">
        <f>IF(OR(J339=0,Q339=""),"",Q339/J339-1)</f>
        <v/>
      </c>
      <c r="N339" s="580"/>
      <c r="O339" s="577"/>
      <c r="P339" s="577"/>
      <c r="Q339" s="577">
        <f>SUM(Q337:Q338)</f>
        <v>46.721661594593286</v>
      </c>
      <c r="R339" s="578"/>
      <c r="S339" s="578"/>
      <c r="T339" s="650"/>
      <c r="U339" s="578"/>
      <c r="V339" s="578"/>
      <c r="W339" s="578"/>
      <c r="X339" s="578"/>
      <c r="Y339" s="578"/>
      <c r="Z339" s="578"/>
      <c r="AA339" s="578"/>
      <c r="AB339" s="578"/>
      <c r="AC339" s="578"/>
      <c r="AD339" s="578"/>
      <c r="AE339" s="578"/>
      <c r="AF339" s="578"/>
      <c r="AG339" s="578"/>
      <c r="AH339" s="578"/>
      <c r="AI339" s="578"/>
      <c r="AJ339" s="578"/>
    </row>
    <row r="340" spans="1:36" s="65" customFormat="1" x14ac:dyDescent="0.35">
      <c r="A340" s="30"/>
      <c r="B340" s="30"/>
      <c r="C340" s="30"/>
      <c r="D340" s="30"/>
      <c r="E340" s="30"/>
      <c r="F340" s="258"/>
      <c r="G340" s="30"/>
      <c r="H340" s="482"/>
      <c r="I340" s="482"/>
      <c r="J340" s="482"/>
      <c r="K340" s="484"/>
      <c r="L340" s="568"/>
      <c r="M340" s="484"/>
      <c r="N340" s="568"/>
      <c r="O340" s="482"/>
      <c r="P340" s="482"/>
      <c r="Q340" s="482"/>
      <c r="R340" s="484"/>
      <c r="S340" s="484"/>
      <c r="T340" s="644"/>
      <c r="U340" s="484"/>
      <c r="V340" s="484"/>
      <c r="W340" s="484"/>
      <c r="X340" s="484"/>
      <c r="Y340" s="484"/>
      <c r="Z340" s="484"/>
      <c r="AA340" s="484"/>
      <c r="AB340" s="484"/>
      <c r="AC340" s="484"/>
      <c r="AD340" s="484"/>
      <c r="AE340" s="484"/>
      <c r="AF340" s="484"/>
      <c r="AG340" s="484"/>
      <c r="AH340" s="484"/>
      <c r="AI340" s="484"/>
      <c r="AJ340" s="484"/>
    </row>
    <row r="341" spans="1:36" s="65" customFormat="1" x14ac:dyDescent="0.35">
      <c r="A341" s="30"/>
      <c r="B341" s="64"/>
      <c r="C341" s="64"/>
      <c r="D341" s="64"/>
      <c r="E341" s="30"/>
      <c r="F341" s="258"/>
      <c r="G341" s="30"/>
      <c r="H341" s="482"/>
      <c r="I341" s="482"/>
      <c r="J341" s="482"/>
      <c r="K341" s="484"/>
      <c r="L341" s="568"/>
      <c r="M341" s="484"/>
      <c r="N341" s="568"/>
      <c r="O341" s="482"/>
      <c r="P341" s="482"/>
      <c r="Q341" s="482"/>
      <c r="R341" s="484"/>
      <c r="S341" s="484"/>
      <c r="T341" s="644"/>
      <c r="U341" s="484"/>
      <c r="V341" s="484"/>
      <c r="W341" s="484"/>
      <c r="X341" s="484"/>
      <c r="Y341" s="484"/>
      <c r="Z341" s="484"/>
      <c r="AA341" s="484"/>
      <c r="AB341" s="484"/>
      <c r="AC341" s="484"/>
      <c r="AD341" s="484"/>
      <c r="AE341" s="484"/>
      <c r="AF341" s="484"/>
      <c r="AG341" s="484"/>
      <c r="AH341" s="484"/>
      <c r="AI341" s="484"/>
      <c r="AJ341" s="484"/>
    </row>
    <row r="342" spans="1:36" s="65" customFormat="1" x14ac:dyDescent="0.35">
      <c r="A342" s="30"/>
      <c r="B342" s="64" t="s">
        <v>5</v>
      </c>
      <c r="C342" s="64"/>
      <c r="D342" s="64" t="s">
        <v>285</v>
      </c>
      <c r="E342" s="30"/>
      <c r="F342" s="258"/>
      <c r="G342" s="30"/>
      <c r="H342" s="482"/>
      <c r="I342" s="482"/>
      <c r="J342" s="482"/>
      <c r="K342" s="484"/>
      <c r="L342" s="568"/>
      <c r="M342" s="484"/>
      <c r="N342" s="568"/>
      <c r="O342" s="482"/>
      <c r="P342" s="482"/>
      <c r="Q342" s="482"/>
      <c r="R342" s="484"/>
      <c r="S342" s="484"/>
      <c r="T342" s="644"/>
      <c r="U342" s="484"/>
      <c r="V342" s="484"/>
      <c r="W342" s="484"/>
      <c r="X342" s="484"/>
      <c r="Y342" s="484"/>
      <c r="Z342" s="484"/>
      <c r="AA342" s="484"/>
      <c r="AB342" s="484"/>
      <c r="AC342" s="484"/>
      <c r="AD342" s="484"/>
      <c r="AE342" s="484"/>
      <c r="AF342" s="484"/>
      <c r="AG342" s="484"/>
      <c r="AH342" s="484"/>
      <c r="AI342" s="484"/>
      <c r="AJ342" s="484"/>
    </row>
    <row r="343" spans="1:36" s="65" customFormat="1" x14ac:dyDescent="0.35">
      <c r="A343" s="30"/>
      <c r="B343" s="30" t="str">
        <f>B342</f>
        <v>SAPN</v>
      </c>
      <c r="C343" s="30"/>
      <c r="D343" s="30" t="str">
        <f>D342</f>
        <v>controlled load</v>
      </c>
      <c r="E343" s="30" t="s">
        <v>14</v>
      </c>
      <c r="F343" s="258" cm="1">
        <f t="array" ref="F343">IFERROR(_xlfn.XLOOKUP(1,($B343=DistributionZone)*($C343=CustomerType)*($E343=tariffType)*(F$5=Description)*($D343=tariffL2),valuesFY),0)</f>
        <v>1800</v>
      </c>
      <c r="G343" s="30" t="s">
        <v>73</v>
      </c>
      <c r="H343" s="482"/>
      <c r="I343" s="482" cm="1">
        <f t="array" ref="I343">_xlfn.XLOOKUP(1,($B343=DistributionZone)*($G343=Description)*($I$5=Desc_FixedOrVar),valuesPY,0)</f>
        <v>6.1170426505850894</v>
      </c>
      <c r="J343" s="482">
        <f>IF(AND(H343="",I343=""),"",H343+I343*$F343/1000)</f>
        <v>11.010676771053161</v>
      </c>
      <c r="K343" s="484">
        <f>IFERROR(J343/J347,"")</f>
        <v>0.37254240621940882</v>
      </c>
      <c r="L343" s="563"/>
      <c r="M343" s="484">
        <f t="shared" ref="M343:M348" si="219">IF(OR(J343=0,Q343=""),"",Q343/J343-1)</f>
        <v>-0.48482055209325359</v>
      </c>
      <c r="N343" s="563"/>
      <c r="O343" s="482"/>
      <c r="P343" s="482" cm="1">
        <f t="array" ref="P343">_xlfn.XLOOKUP(1,($B343=DistributionZone)*($G343=Description)*($I$5=Desc_FixedOrVar),valuesFY,0)</f>
        <v>3.1513746555504474</v>
      </c>
      <c r="Q343" s="482">
        <f>IF(AND(O343="",P343=""),"",O343+P343*$F343/1000)</f>
        <v>5.6724743799908053</v>
      </c>
      <c r="R343" s="484">
        <f>IFERROR(Q343/Q347,"")</f>
        <v>0.29677986636559545</v>
      </c>
      <c r="S343" s="484"/>
      <c r="T343" s="645"/>
      <c r="U343" s="484"/>
      <c r="V343" s="484"/>
      <c r="W343" s="484"/>
      <c r="X343" s="484"/>
      <c r="Y343" s="484"/>
      <c r="Z343" s="484"/>
      <c r="AA343" s="484"/>
      <c r="AB343" s="484"/>
      <c r="AC343" s="484"/>
      <c r="AD343" s="484"/>
      <c r="AE343" s="484"/>
      <c r="AF343" s="484"/>
      <c r="AG343" s="484"/>
      <c r="AH343" s="484"/>
      <c r="AI343" s="484"/>
      <c r="AJ343" s="484"/>
    </row>
    <row r="344" spans="1:36" s="65" customFormat="1" x14ac:dyDescent="0.35">
      <c r="A344" s="30"/>
      <c r="B344" s="30" t="str">
        <f t="shared" ref="B344:B350" si="220">B343</f>
        <v>SAPN</v>
      </c>
      <c r="C344" s="30"/>
      <c r="D344" s="30" t="str">
        <f t="shared" ref="D344:D350" si="221">D343</f>
        <v>controlled load</v>
      </c>
      <c r="E344" s="30" t="s">
        <v>14</v>
      </c>
      <c r="F344" s="258">
        <f>F343</f>
        <v>1800</v>
      </c>
      <c r="G344" s="30" t="s">
        <v>74</v>
      </c>
      <c r="H344" s="482"/>
      <c r="I344" s="482" cm="1">
        <f t="array" ref="I344">_xlfn.XLOOKUP(1,($B344=DistributionZone)*($G344=Description)*($I$5=Desc_FixedOrVar),valuesPY,0)</f>
        <v>5.1359999999999992</v>
      </c>
      <c r="J344" s="482">
        <f>IF(AND(H344="",I344=""),"",H344+I344*$F344/1000)</f>
        <v>9.2447999999999997</v>
      </c>
      <c r="K344" s="484">
        <f>IFERROR(J344/J347,"")</f>
        <v>0.31279458189814502</v>
      </c>
      <c r="L344" s="563"/>
      <c r="M344" s="484">
        <f t="shared" si="219"/>
        <v>-0.12694704049844241</v>
      </c>
      <c r="N344" s="563"/>
      <c r="O344" s="482"/>
      <c r="P344" s="482" cm="1">
        <f t="array" ref="P344">_xlfn.XLOOKUP(1,($B344=DistributionZone)*($G344=Description)*($I$5=Desc_FixedOrVar),valuesFY,0)</f>
        <v>4.484</v>
      </c>
      <c r="Q344" s="482">
        <f>IF(AND(O344="",P344=""),"",O344+P344*$F344/1000)</f>
        <v>8.0711999999999993</v>
      </c>
      <c r="R344" s="484">
        <f>IFERROR(Q344/Q347,"")</f>
        <v>0.42227950219739496</v>
      </c>
      <c r="S344" s="484"/>
      <c r="T344" s="644"/>
      <c r="U344" s="484"/>
      <c r="V344" s="484"/>
      <c r="W344" s="484"/>
      <c r="X344" s="484"/>
      <c r="Y344" s="484"/>
      <c r="Z344" s="484"/>
      <c r="AA344" s="484"/>
      <c r="AB344" s="484"/>
      <c r="AC344" s="484"/>
      <c r="AD344" s="484"/>
      <c r="AE344" s="484"/>
      <c r="AF344" s="484"/>
      <c r="AG344" s="484"/>
      <c r="AH344" s="484"/>
      <c r="AI344" s="484"/>
      <c r="AJ344" s="484"/>
    </row>
    <row r="345" spans="1:36" s="65" customFormat="1" x14ac:dyDescent="0.35">
      <c r="A345" s="30"/>
      <c r="B345" s="30" t="str">
        <f t="shared" si="220"/>
        <v>SAPN</v>
      </c>
      <c r="C345" s="30"/>
      <c r="D345" s="30" t="str">
        <f t="shared" si="221"/>
        <v>controlled load</v>
      </c>
      <c r="E345" s="30" t="s">
        <v>14</v>
      </c>
      <c r="F345" s="258">
        <f>F344</f>
        <v>1800</v>
      </c>
      <c r="G345" s="30" t="s">
        <v>156</v>
      </c>
      <c r="H345" s="482"/>
      <c r="I345" s="482" cm="1">
        <f t="array" ref="I345">_xlfn.XLOOKUP(1,($B345=DistributionZone)*($G345=Description)*($I$5=Desc_FixedOrVar),valuesPY,0)</f>
        <v>4.0580163456251253</v>
      </c>
      <c r="J345" s="482">
        <f>IF(AND(H345="",I345=""),"",H345+I345*$F345/1000)</f>
        <v>7.3044294221252262</v>
      </c>
      <c r="K345" s="484">
        <f>IFERROR(J345/J347,"")</f>
        <v>0.24714282051511866</v>
      </c>
      <c r="L345" s="563"/>
      <c r="M345" s="484">
        <f t="shared" si="219"/>
        <v>-0.53379002233804917</v>
      </c>
      <c r="N345" s="563"/>
      <c r="O345" s="482"/>
      <c r="P345" s="482" cm="1">
        <f t="array" ref="P345">_xlfn.XLOOKUP(1,($B345=DistributionZone)*($G345=Description)*($I$5=Desc_FixedOrVar),valuesFY,0)</f>
        <v>1.8918877098457212</v>
      </c>
      <c r="Q345" s="482">
        <f>IF(AND(O345="",P345=""),"",O345+P345*$F345/1000)</f>
        <v>3.4053978777222982</v>
      </c>
      <c r="R345" s="484">
        <f>IFERROR(Q345/Q347,"")</f>
        <v>0.17816801969826512</v>
      </c>
      <c r="S345" s="484"/>
      <c r="T345" s="644"/>
      <c r="U345" s="484"/>
      <c r="V345" s="484"/>
      <c r="W345" s="484"/>
      <c r="X345" s="484"/>
      <c r="Y345" s="484"/>
      <c r="Z345" s="484"/>
      <c r="AA345" s="484"/>
      <c r="AB345" s="484"/>
      <c r="AC345" s="484"/>
      <c r="AD345" s="484"/>
      <c r="AE345" s="484"/>
      <c r="AF345" s="484"/>
      <c r="AG345" s="484"/>
      <c r="AH345" s="484"/>
      <c r="AI345" s="484"/>
      <c r="AJ345" s="484"/>
    </row>
    <row r="346" spans="1:36" s="65" customFormat="1" x14ac:dyDescent="0.35">
      <c r="A346" s="30"/>
      <c r="B346" s="30" t="str">
        <f t="shared" si="220"/>
        <v>SAPN</v>
      </c>
      <c r="C346" s="30"/>
      <c r="D346" s="30" t="str">
        <f t="shared" si="221"/>
        <v>controlled load</v>
      </c>
      <c r="E346" s="30" t="s">
        <v>14</v>
      </c>
      <c r="F346" s="258">
        <f>F345</f>
        <v>1800</v>
      </c>
      <c r="G346" s="30" t="s">
        <v>72</v>
      </c>
      <c r="H346" s="482"/>
      <c r="I346" s="482" cm="1">
        <f t="array" ref="I346">_xlfn.XLOOKUP(1,($B346=DistributionZone)*($C346=CustomerType)*($D346=tariffL2)*($E346=tariffType)*($G346=Description)*($I$5=Desc_FixedOrVar),valuesPY,0)*SUM(I343:I345)</f>
        <v>1.1086627548283985</v>
      </c>
      <c r="J346" s="482">
        <f>IF(AND(H346="",I346=""),"",H346+I346*$F346/1000)</f>
        <v>1.9955929586911172</v>
      </c>
      <c r="K346" s="484">
        <f>IFERROR(J346/J347,"")</f>
        <v>6.7520191367327592E-2</v>
      </c>
      <c r="L346" s="563"/>
      <c r="M346" s="484">
        <f t="shared" si="219"/>
        <v>-1.5663615316993562E-2</v>
      </c>
      <c r="N346" s="563"/>
      <c r="O346" s="482"/>
      <c r="P346" s="482" cm="1">
        <f t="array" ref="P346">_xlfn.XLOOKUP(1,($B346=DistributionZone)*($C346=CustomerType)*($D346=tariffL2)*($E346=tariffType)*($G346=Description)*($P$5=Desc_FixedOrVar),valuesFY,0)*SUM(P343:P345)</f>
        <v>1.091297087920488</v>
      </c>
      <c r="Q346" s="482">
        <f>IF(AND(O346="",P346=""),"",O346+P346*$F346/1000)</f>
        <v>1.9643347582568784</v>
      </c>
      <c r="R346" s="484">
        <f>IFERROR(Q346/Q347,"")</f>
        <v>0.10277261173874454</v>
      </c>
      <c r="S346" s="484"/>
      <c r="T346" s="644"/>
      <c r="U346" s="484"/>
      <c r="V346" s="484"/>
      <c r="W346" s="484"/>
      <c r="X346" s="484"/>
      <c r="Y346" s="484"/>
      <c r="Z346" s="484"/>
      <c r="AA346" s="484"/>
      <c r="AB346" s="484"/>
      <c r="AC346" s="484"/>
      <c r="AD346" s="484"/>
      <c r="AE346" s="484"/>
      <c r="AF346" s="484"/>
      <c r="AG346" s="484"/>
      <c r="AH346" s="484"/>
      <c r="AI346" s="484"/>
      <c r="AJ346" s="484"/>
    </row>
    <row r="347" spans="1:36" s="65" customFormat="1" x14ac:dyDescent="0.35">
      <c r="A347" s="30"/>
      <c r="B347" s="30" t="str">
        <f t="shared" si="220"/>
        <v>SAPN</v>
      </c>
      <c r="C347" s="30"/>
      <c r="D347" s="30" t="str">
        <f t="shared" si="221"/>
        <v>controlled load</v>
      </c>
      <c r="E347" s="30" t="s">
        <v>14</v>
      </c>
      <c r="F347" s="258">
        <f>F346</f>
        <v>1800</v>
      </c>
      <c r="G347" s="64" t="s">
        <v>55</v>
      </c>
      <c r="H347" s="487">
        <f>SUM(H342:H346)</f>
        <v>0</v>
      </c>
      <c r="I347" s="487">
        <f>SUM(I343:I346)</f>
        <v>16.419721751038612</v>
      </c>
      <c r="J347" s="487">
        <f>IF(AND(H347="",I347=""),"",H347+I347*+Usage!H$42/1000)</f>
        <v>29.555499151869501</v>
      </c>
      <c r="K347" s="564"/>
      <c r="L347" s="566"/>
      <c r="M347" s="564">
        <f t="shared" si="219"/>
        <v>-0.35330454350452134</v>
      </c>
      <c r="N347" s="566"/>
      <c r="O347" s="487">
        <f>SUM(O343:O346)</f>
        <v>0</v>
      </c>
      <c r="P347" s="487">
        <f>SUM(P343:P346)</f>
        <v>10.618559453316657</v>
      </c>
      <c r="Q347" s="487">
        <f>IF(AND(O347="",P347=""),"",O347+P347*$F347/1000)</f>
        <v>19.11340701596998</v>
      </c>
      <c r="R347" s="484"/>
      <c r="S347" s="484"/>
      <c r="T347" s="644"/>
      <c r="U347" s="484"/>
      <c r="V347" s="484"/>
      <c r="W347" s="484"/>
      <c r="X347" s="484"/>
      <c r="Y347" s="484"/>
      <c r="Z347" s="484"/>
      <c r="AA347" s="484"/>
      <c r="AB347" s="484"/>
      <c r="AC347" s="484"/>
      <c r="AD347" s="484"/>
      <c r="AE347" s="484"/>
      <c r="AF347" s="484"/>
      <c r="AG347" s="484"/>
      <c r="AH347" s="484"/>
      <c r="AI347" s="484"/>
      <c r="AJ347" s="484"/>
    </row>
    <row r="348" spans="1:36" s="65" customFormat="1" x14ac:dyDescent="0.35">
      <c r="A348" s="30"/>
      <c r="B348" s="30" t="str">
        <f t="shared" si="220"/>
        <v>SAPN</v>
      </c>
      <c r="C348" s="30"/>
      <c r="D348" s="30" t="str">
        <f t="shared" si="221"/>
        <v>controlled load</v>
      </c>
      <c r="E348" s="30" t="s">
        <v>55</v>
      </c>
      <c r="F348" s="258">
        <f>SUM(F342,F343)</f>
        <v>1800</v>
      </c>
      <c r="G348" s="64" t="s">
        <v>55</v>
      </c>
      <c r="H348" s="487"/>
      <c r="I348" s="487"/>
      <c r="J348" s="487">
        <f>J342+J347</f>
        <v>29.555499151869501</v>
      </c>
      <c r="K348" s="564"/>
      <c r="L348" s="566"/>
      <c r="M348" s="564">
        <f t="shared" si="219"/>
        <v>-0.35330454350452134</v>
      </c>
      <c r="N348" s="566"/>
      <c r="O348" s="487"/>
      <c r="P348" s="487"/>
      <c r="Q348" s="487">
        <f>Q342+Q347</f>
        <v>19.11340701596998</v>
      </c>
      <c r="R348" s="484"/>
      <c r="S348" s="484"/>
      <c r="T348" s="644"/>
      <c r="U348" s="484"/>
      <c r="V348" s="484"/>
      <c r="W348" s="484"/>
      <c r="X348" s="484"/>
      <c r="Y348" s="484"/>
      <c r="Z348" s="484"/>
      <c r="AA348" s="484"/>
      <c r="AB348" s="484"/>
      <c r="AC348" s="484"/>
      <c r="AD348" s="484"/>
      <c r="AE348" s="484"/>
      <c r="AF348" s="484"/>
      <c r="AG348" s="484"/>
      <c r="AH348" s="484"/>
      <c r="AI348" s="484"/>
      <c r="AJ348" s="484"/>
    </row>
    <row r="349" spans="1:36" s="65" customFormat="1" x14ac:dyDescent="0.35">
      <c r="A349" s="30"/>
      <c r="B349" s="30" t="str">
        <f t="shared" si="220"/>
        <v>SAPN</v>
      </c>
      <c r="C349" s="30"/>
      <c r="D349" s="30" t="str">
        <f t="shared" si="221"/>
        <v>controlled load</v>
      </c>
      <c r="E349" s="30"/>
      <c r="F349" s="258"/>
      <c r="G349" s="30" t="s">
        <v>38</v>
      </c>
      <c r="H349" s="482"/>
      <c r="I349" s="482"/>
      <c r="J349" s="482">
        <f>J348*GST</f>
        <v>2.9555499151869502</v>
      </c>
      <c r="K349" s="484"/>
      <c r="L349" s="568"/>
      <c r="M349" s="484"/>
      <c r="N349" s="568"/>
      <c r="O349" s="482"/>
      <c r="P349" s="482"/>
      <c r="Q349" s="482">
        <f>Q348*GST</f>
        <v>1.9113407015969981</v>
      </c>
      <c r="R349" s="484"/>
      <c r="S349" s="484"/>
      <c r="T349" s="644"/>
      <c r="U349" s="484"/>
      <c r="V349" s="484"/>
      <c r="W349" s="484"/>
      <c r="X349" s="484"/>
      <c r="Y349" s="484"/>
      <c r="Z349" s="484"/>
      <c r="AA349" s="484"/>
      <c r="AB349" s="484"/>
      <c r="AC349" s="484"/>
      <c r="AD349" s="484"/>
      <c r="AE349" s="484"/>
      <c r="AF349" s="484"/>
      <c r="AG349" s="484"/>
      <c r="AH349" s="484"/>
      <c r="AI349" s="484"/>
      <c r="AJ349" s="484"/>
    </row>
    <row r="350" spans="1:36" s="65" customFormat="1" x14ac:dyDescent="0.35">
      <c r="A350" s="30"/>
      <c r="B350" s="30" t="str">
        <f t="shared" si="220"/>
        <v>SAPN</v>
      </c>
      <c r="C350" s="30"/>
      <c r="D350" s="30" t="str">
        <f t="shared" si="221"/>
        <v>controlled load</v>
      </c>
      <c r="E350" s="30"/>
      <c r="F350" s="258"/>
      <c r="G350" s="64" t="s">
        <v>79</v>
      </c>
      <c r="H350" s="487"/>
      <c r="I350" s="487"/>
      <c r="J350" s="487">
        <f>SUM(J348:J349)</f>
        <v>32.511049067056454</v>
      </c>
      <c r="K350" s="564"/>
      <c r="L350" s="566"/>
      <c r="M350" s="564">
        <f>IF(OR(J350=0,Q350=""),"",Q350/J350-1)</f>
        <v>-0.35330454350452134</v>
      </c>
      <c r="N350" s="566"/>
      <c r="O350" s="487"/>
      <c r="P350" s="487"/>
      <c r="Q350" s="487">
        <f>SUM(Q348:Q349)</f>
        <v>21.024747717566978</v>
      </c>
      <c r="R350" s="484"/>
      <c r="S350" s="484"/>
      <c r="T350" s="644"/>
      <c r="U350" s="484"/>
      <c r="V350" s="484"/>
      <c r="W350" s="484"/>
      <c r="X350" s="484"/>
      <c r="Y350" s="484"/>
      <c r="Z350" s="484"/>
      <c r="AA350" s="484"/>
      <c r="AB350" s="484"/>
      <c r="AC350" s="484"/>
      <c r="AD350" s="484"/>
      <c r="AE350" s="484"/>
      <c r="AF350" s="484"/>
      <c r="AG350" s="484"/>
      <c r="AH350" s="484"/>
      <c r="AI350" s="484"/>
      <c r="AJ350" s="484"/>
    </row>
    <row r="351" spans="1:36" s="65" customFormat="1" x14ac:dyDescent="0.35">
      <c r="A351" s="30"/>
      <c r="B351" s="30"/>
      <c r="C351" s="30"/>
      <c r="D351" s="30"/>
      <c r="E351" s="30"/>
      <c r="F351" s="258"/>
      <c r="G351" s="30"/>
      <c r="H351" s="482"/>
      <c r="I351" s="482"/>
      <c r="J351" s="482"/>
      <c r="K351" s="484"/>
      <c r="L351" s="568"/>
      <c r="M351" s="484"/>
      <c r="N351" s="568"/>
      <c r="O351" s="482"/>
      <c r="P351" s="482"/>
      <c r="Q351" s="482"/>
      <c r="R351" s="484"/>
      <c r="S351" s="484"/>
      <c r="T351" s="644"/>
      <c r="U351" s="484"/>
      <c r="V351" s="484"/>
      <c r="W351" s="484"/>
      <c r="X351" s="484"/>
      <c r="Y351" s="484"/>
      <c r="Z351" s="484"/>
      <c r="AA351" s="484"/>
      <c r="AB351" s="484"/>
      <c r="AC351" s="484"/>
      <c r="AD351" s="484"/>
      <c r="AE351" s="484"/>
      <c r="AF351" s="484"/>
      <c r="AG351" s="484"/>
      <c r="AH351" s="484"/>
      <c r="AI351" s="484"/>
      <c r="AJ351" s="484"/>
    </row>
    <row r="352" spans="1:36" s="65" customFormat="1" x14ac:dyDescent="0.35">
      <c r="A352" s="30"/>
      <c r="B352" s="64" t="s">
        <v>5</v>
      </c>
      <c r="C352" s="64"/>
      <c r="D352" s="64" t="s">
        <v>285</v>
      </c>
      <c r="E352" s="30"/>
      <c r="F352" s="258"/>
      <c r="G352" s="64"/>
      <c r="H352" s="487"/>
      <c r="I352" s="487"/>
      <c r="J352" s="487"/>
      <c r="K352" s="564"/>
      <c r="L352" s="566"/>
      <c r="M352" s="564"/>
      <c r="N352" s="566"/>
      <c r="O352" s="487"/>
      <c r="P352" s="487"/>
      <c r="Q352" s="487"/>
      <c r="R352" s="484"/>
      <c r="S352" s="484"/>
      <c r="T352" s="644"/>
      <c r="U352" s="484"/>
      <c r="V352" s="484"/>
      <c r="W352" s="484"/>
      <c r="X352" s="484"/>
      <c r="Y352" s="484"/>
      <c r="Z352" s="484"/>
      <c r="AA352" s="484"/>
      <c r="AB352" s="484"/>
      <c r="AC352" s="484"/>
      <c r="AD352" s="484"/>
      <c r="AE352" s="484"/>
      <c r="AF352" s="484"/>
      <c r="AG352" s="484"/>
      <c r="AH352" s="484"/>
      <c r="AI352" s="484"/>
      <c r="AJ352" s="484"/>
    </row>
    <row r="353" spans="1:36" s="65" customFormat="1" x14ac:dyDescent="0.35">
      <c r="A353" s="30"/>
      <c r="B353" s="30" t="str">
        <f>B352</f>
        <v>SAPN</v>
      </c>
      <c r="C353" s="30"/>
      <c r="D353" s="30" t="str">
        <f>D352</f>
        <v>controlled load</v>
      </c>
      <c r="E353" s="570" t="s">
        <v>307</v>
      </c>
      <c r="F353" s="485" cm="1">
        <f t="array" ref="F353">_xlfn.XLOOKUP(1,($B353=DistributionZone)*($D353=tariffL2)*("CL1"=tariffType)*($F$5=Description),valuesFY)*
_xlfn.XLOOKUP(1,($B353=DistributionZone)*($D353=tariffL2)*($E353=tariffType)*("Usage proportion"=Description),valuesFY)</f>
        <v>1051.2776831345825</v>
      </c>
      <c r="G353" s="570" t="s">
        <v>73</v>
      </c>
      <c r="H353" s="574"/>
      <c r="I353" s="574" cm="1">
        <f t="array" ref="I353">_xlfn.XLOOKUP(1,($B353=DistributionZone)*($G353=Description)*($I$5=Desc_FixedOrVar),valuesPY,0)</f>
        <v>6.1170426505850894</v>
      </c>
      <c r="J353" s="574">
        <f>IF(AND(H353="",I353=""),"",H353+I353*$F353/1000)</f>
        <v>6.4307104253425189</v>
      </c>
      <c r="K353" s="575">
        <f>IFERROR(J353/J357,"")</f>
        <v>0.37254240621940882</v>
      </c>
      <c r="L353" s="576"/>
      <c r="M353" s="575">
        <f t="shared" ref="M353:M357" si="222">IF(OR(J353=0,Q353=""),"",Q353/J353-1)</f>
        <v>-0.48482055209325359</v>
      </c>
      <c r="N353" s="576"/>
      <c r="O353" s="574"/>
      <c r="P353" s="574" cm="1">
        <f t="array" ref="P353">_xlfn.XLOOKUP(1,($B353=DistributionZone)*($G353=Description)*($I$5=Desc_FixedOrVar),valuesFY,0)</f>
        <v>3.1513746555504474</v>
      </c>
      <c r="Q353" s="574">
        <f>IF(AND(O353="",P353=""),"",O353+P353*$F353/1000)</f>
        <v>3.312969846576117</v>
      </c>
      <c r="R353" s="575">
        <f>IFERROR(Q353/Q357,"")</f>
        <v>0.29677986636559539</v>
      </c>
      <c r="S353" s="484"/>
      <c r="T353" s="645"/>
      <c r="U353" s="484"/>
      <c r="V353" s="484"/>
      <c r="W353" s="484"/>
      <c r="X353" s="484"/>
      <c r="Y353" s="484"/>
      <c r="Z353" s="484"/>
      <c r="AA353" s="484"/>
      <c r="AB353" s="484"/>
      <c r="AC353" s="484"/>
      <c r="AD353" s="484"/>
      <c r="AE353" s="484"/>
      <c r="AF353" s="484"/>
      <c r="AG353" s="484"/>
      <c r="AH353" s="484"/>
      <c r="AI353" s="484"/>
      <c r="AJ353" s="484"/>
    </row>
    <row r="354" spans="1:36" s="65" customFormat="1" x14ac:dyDescent="0.35">
      <c r="A354" s="30"/>
      <c r="B354" s="30" t="str">
        <f t="shared" ref="B354:B370" si="223">B353</f>
        <v>SAPN</v>
      </c>
      <c r="C354" s="30"/>
      <c r="D354" s="30" t="str">
        <f t="shared" ref="D354:D370" si="224">D353</f>
        <v>controlled load</v>
      </c>
      <c r="E354" s="570" t="s">
        <v>14</v>
      </c>
      <c r="F354" s="485">
        <f>F353</f>
        <v>1051.2776831345825</v>
      </c>
      <c r="G354" s="570" t="s">
        <v>74</v>
      </c>
      <c r="H354" s="574"/>
      <c r="I354" s="574" cm="1">
        <f t="array" ref="I354">_xlfn.XLOOKUP(1,($B354=DistributionZone)*($G354=Description)*($I$5=Desc_FixedOrVar),valuesPY,0)</f>
        <v>5.1359999999999992</v>
      </c>
      <c r="J354" s="574">
        <f>IF(AND(H354="",I354=""),"",H354+I354*$F354/1000)</f>
        <v>5.3993621805792147</v>
      </c>
      <c r="K354" s="575">
        <f>IFERROR(J354/J357,"")</f>
        <v>0.31279458189814491</v>
      </c>
      <c r="L354" s="576"/>
      <c r="M354" s="575">
        <f t="shared" si="222"/>
        <v>-0.12694704049844219</v>
      </c>
      <c r="N354" s="576"/>
      <c r="O354" s="574"/>
      <c r="P354" s="574" cm="1">
        <f t="array" ref="P354">_xlfn.XLOOKUP(1,($B354=DistributionZone)*($G354=Description)*($I$5=Desc_FixedOrVar),valuesFY,0)</f>
        <v>4.484</v>
      </c>
      <c r="Q354" s="574">
        <f>IF(AND(O354="",P354=""),"",O354+P354*$F354/1000)</f>
        <v>4.7139291311754681</v>
      </c>
      <c r="R354" s="575">
        <f>IFERROR(Q354/Q357,"")</f>
        <v>0.42227950219739496</v>
      </c>
      <c r="S354" s="484"/>
      <c r="T354" s="644"/>
      <c r="U354" s="484"/>
      <c r="V354" s="484"/>
      <c r="W354" s="484"/>
      <c r="X354" s="484"/>
      <c r="Y354" s="484"/>
      <c r="Z354" s="484"/>
      <c r="AA354" s="484"/>
      <c r="AB354" s="484"/>
      <c r="AC354" s="484"/>
      <c r="AD354" s="484"/>
      <c r="AE354" s="484"/>
      <c r="AF354" s="484"/>
      <c r="AG354" s="484"/>
      <c r="AH354" s="484"/>
      <c r="AI354" s="484"/>
      <c r="AJ354" s="484"/>
    </row>
    <row r="355" spans="1:36" s="65" customFormat="1" x14ac:dyDescent="0.35">
      <c r="A355" s="30"/>
      <c r="B355" s="30" t="str">
        <f t="shared" si="223"/>
        <v>SAPN</v>
      </c>
      <c r="C355" s="30"/>
      <c r="D355" s="30" t="str">
        <f t="shared" si="224"/>
        <v>controlled load</v>
      </c>
      <c r="E355" s="570" t="s">
        <v>14</v>
      </c>
      <c r="F355" s="485">
        <f>F354</f>
        <v>1051.2776831345825</v>
      </c>
      <c r="G355" s="570" t="s">
        <v>156</v>
      </c>
      <c r="H355" s="574"/>
      <c r="I355" s="574" cm="1">
        <f t="array" ref="I355">_xlfn.XLOOKUP(1,($B355=DistributionZone)*($G355=Description)*($I$5=Desc_FixedOrVar),valuesPY,0)</f>
        <v>4.0580163456251253</v>
      </c>
      <c r="J355" s="574">
        <f>IF(AND(H355="",I355=""),"",H355+I355*$F355/1000)</f>
        <v>4.2661020219510464</v>
      </c>
      <c r="K355" s="575">
        <f>IFERROR(J355/J357,"")</f>
        <v>0.24714282051511857</v>
      </c>
      <c r="L355" s="576"/>
      <c r="M355" s="575">
        <f t="shared" si="222"/>
        <v>-0.53379002233804895</v>
      </c>
      <c r="N355" s="576"/>
      <c r="O355" s="574"/>
      <c r="P355" s="574" cm="1">
        <f t="array" ref="P355">_xlfn.XLOOKUP(1,($B355=DistributionZone)*($G355=Description)*($I$5=Desc_FixedOrVar),valuesFY,0)</f>
        <v>1.8918877098457212</v>
      </c>
      <c r="Q355" s="574">
        <f>IF(AND(O355="",P355=""),"",O355+P355*$F355/1000)</f>
        <v>1.9888993283574012</v>
      </c>
      <c r="R355" s="575">
        <f>IFERROR(Q355/Q357,"")</f>
        <v>0.17816801969826512</v>
      </c>
      <c r="S355" s="484"/>
      <c r="T355" s="644"/>
      <c r="U355" s="484"/>
      <c r="V355" s="484"/>
      <c r="W355" s="484"/>
      <c r="X355" s="484"/>
      <c r="Y355" s="484"/>
      <c r="Z355" s="484"/>
      <c r="AA355" s="484"/>
      <c r="AB355" s="484"/>
      <c r="AC355" s="484"/>
      <c r="AD355" s="484"/>
      <c r="AE355" s="484"/>
      <c r="AF355" s="484"/>
      <c r="AG355" s="484"/>
      <c r="AH355" s="484"/>
      <c r="AI355" s="484"/>
      <c r="AJ355" s="484"/>
    </row>
    <row r="356" spans="1:36" s="65" customFormat="1" x14ac:dyDescent="0.35">
      <c r="A356" s="30"/>
      <c r="B356" s="30" t="str">
        <f t="shared" si="223"/>
        <v>SAPN</v>
      </c>
      <c r="C356" s="30"/>
      <c r="D356" s="30" t="str">
        <f t="shared" si="224"/>
        <v>controlled load</v>
      </c>
      <c r="E356" s="570" t="s">
        <v>14</v>
      </c>
      <c r="F356" s="485">
        <f>F355</f>
        <v>1051.2776831345825</v>
      </c>
      <c r="G356" s="570" t="s">
        <v>72</v>
      </c>
      <c r="H356" s="574"/>
      <c r="I356" s="574" cm="1">
        <f t="array" ref="I356">_xlfn.XLOOKUP(1,($B356=DistributionZone)*($C356=CustomerType)*($D356=tariffL2)*($E356=tariffType)*($G356=Description)*($I$5=Desc_FixedOrVar),valuesPY,0)*SUM(I353:I355)</f>
        <v>1.1086627548283985</v>
      </c>
      <c r="J356" s="574">
        <f>IF(AND(H356="",I356=""),"",H356+I356*$F356/1000)</f>
        <v>1.1655124122736025</v>
      </c>
      <c r="K356" s="575">
        <f>IFERROR(J356/J357,"")</f>
        <v>6.7520191367327592E-2</v>
      </c>
      <c r="L356" s="576"/>
      <c r="M356" s="575">
        <f t="shared" si="222"/>
        <v>-1.5663615316993895E-2</v>
      </c>
      <c r="N356" s="576"/>
      <c r="O356" s="574"/>
      <c r="P356" s="574" cm="1">
        <f t="array" ref="P356">_xlfn.XLOOKUP(1,($B356=DistributionZone)*($C356=CustomerType)*($D356=tariffL2)*($E356=tariffType)*($G356=Description)*($P$5=Desc_FixedOrVar),valuesFY,0)*SUM(P353:P355)</f>
        <v>1.091297087920488</v>
      </c>
      <c r="Q356" s="574">
        <f>IF(AND(O356="",P356=""),"",O356+P356*$F356/1000)</f>
        <v>1.1472562742005672</v>
      </c>
      <c r="R356" s="575">
        <f>IFERROR(Q356/Q357,"")</f>
        <v>0.1027726117387445</v>
      </c>
      <c r="S356" s="484"/>
      <c r="T356" s="644"/>
      <c r="U356" s="484"/>
      <c r="V356" s="484"/>
      <c r="W356" s="484"/>
      <c r="X356" s="484"/>
      <c r="Y356" s="484"/>
      <c r="Z356" s="484"/>
      <c r="AA356" s="484"/>
      <c r="AB356" s="484"/>
      <c r="AC356" s="484"/>
      <c r="AD356" s="484"/>
      <c r="AE356" s="484"/>
      <c r="AF356" s="484"/>
      <c r="AG356" s="484"/>
      <c r="AH356" s="484"/>
      <c r="AI356" s="484"/>
      <c r="AJ356" s="484"/>
    </row>
    <row r="357" spans="1:36" s="65" customFormat="1" x14ac:dyDescent="0.35">
      <c r="A357" s="30"/>
      <c r="B357" s="160" t="str">
        <f t="shared" si="223"/>
        <v>SAPN</v>
      </c>
      <c r="C357" s="160"/>
      <c r="D357" s="160" t="str">
        <f t="shared" si="224"/>
        <v>controlled load</v>
      </c>
      <c r="E357" s="570" t="s">
        <v>307</v>
      </c>
      <c r="F357" s="485">
        <f>F356</f>
        <v>1051.2776831345825</v>
      </c>
      <c r="G357" s="571" t="s">
        <v>55</v>
      </c>
      <c r="H357" s="577">
        <f>SUM(H347:H356)</f>
        <v>0</v>
      </c>
      <c r="I357" s="577">
        <f>SUM(I353:I356)</f>
        <v>16.419721751038612</v>
      </c>
      <c r="J357" s="577">
        <f>SUM(J353:J356)</f>
        <v>17.261687040146384</v>
      </c>
      <c r="K357" s="578"/>
      <c r="L357" s="580"/>
      <c r="M357" s="578">
        <f t="shared" si="222"/>
        <v>-0.35330454350452134</v>
      </c>
      <c r="N357" s="580"/>
      <c r="O357" s="577">
        <f>SUM(O353:O356)</f>
        <v>0</v>
      </c>
      <c r="P357" s="577">
        <f>SUM(P353:P356)</f>
        <v>10.618559453316657</v>
      </c>
      <c r="Q357" s="577">
        <f>SUM(Q353:Q356)</f>
        <v>11.163054580309554</v>
      </c>
      <c r="R357" s="575"/>
      <c r="S357" s="484"/>
      <c r="T357" s="644"/>
      <c r="U357" s="484"/>
      <c r="V357" s="484"/>
      <c r="W357" s="484"/>
      <c r="X357" s="484"/>
      <c r="Y357" s="484"/>
      <c r="Z357" s="484"/>
      <c r="AA357" s="484"/>
      <c r="AB357" s="484"/>
      <c r="AC357" s="484"/>
      <c r="AD357" s="484"/>
      <c r="AE357" s="484"/>
      <c r="AF357" s="484"/>
      <c r="AG357" s="484"/>
      <c r="AH357" s="484"/>
      <c r="AI357" s="484"/>
      <c r="AJ357" s="484"/>
    </row>
    <row r="358" spans="1:36" s="65" customFormat="1" x14ac:dyDescent="0.35">
      <c r="A358" s="30"/>
      <c r="B358" s="30" t="str">
        <f t="shared" si="223"/>
        <v>SAPN</v>
      </c>
      <c r="C358" s="30"/>
      <c r="D358" s="30" t="str">
        <f t="shared" si="224"/>
        <v>controlled load</v>
      </c>
      <c r="E358" s="570" t="s">
        <v>308</v>
      </c>
      <c r="F358" s="485" cm="1">
        <f t="array" ref="F358">_xlfn.XLOOKUP(1,($B358=DistributionZone)*($D358=tariffL2)*("CL1"=tariffType)*($F$5=Description),valuesFY)*
_xlfn.XLOOKUP(1,($B358=DistributionZone)*($D358=tariffL2)*($E358=tariffType)*("Usage proportion"=Description),valuesFY)</f>
        <v>0</v>
      </c>
      <c r="G358" s="570" t="s">
        <v>73</v>
      </c>
      <c r="H358" s="574"/>
      <c r="I358" s="574" cm="1">
        <f t="array" ref="I358">_xlfn.XLOOKUP(1,($B358=DistributionZone)*($G358=Description)*($I$5=Desc_FixedOrVar),valuesPY,0)</f>
        <v>6.1170426505850894</v>
      </c>
      <c r="J358" s="574">
        <f>IF(AND(H358="",I358=""),"",H358+I358*$F358/1000)</f>
        <v>0</v>
      </c>
      <c r="K358" s="575" t="str">
        <f>IFERROR(J358/J362,"")</f>
        <v/>
      </c>
      <c r="L358" s="576"/>
      <c r="M358" s="575" t="str">
        <f t="shared" ref="M358:M362" si="225">IF(OR(J358=0,Q358=""),"",Q358/J358-1)</f>
        <v/>
      </c>
      <c r="N358" s="576"/>
      <c r="O358" s="574"/>
      <c r="P358" s="574" cm="1">
        <f t="array" ref="P358">_xlfn.XLOOKUP(1,($B358=DistributionZone)*($G358=Description)*($I$5=Desc_FixedOrVar),valuesFY,0)</f>
        <v>3.1513746555504474</v>
      </c>
      <c r="Q358" s="574">
        <f>IF(AND(O358="",P358=""),"",O358+P358*$F358/1000)</f>
        <v>0</v>
      </c>
      <c r="R358" s="575" t="str">
        <f>IFERROR(Q358/Q362,"")</f>
        <v/>
      </c>
      <c r="S358" s="484"/>
      <c r="T358" s="645"/>
      <c r="U358" s="484"/>
      <c r="V358" s="484"/>
      <c r="W358" s="484"/>
      <c r="X358" s="484"/>
      <c r="Y358" s="484"/>
      <c r="Z358" s="484"/>
      <c r="AA358" s="484"/>
      <c r="AB358" s="484"/>
      <c r="AC358" s="484"/>
      <c r="AD358" s="484"/>
      <c r="AE358" s="484"/>
      <c r="AF358" s="484"/>
      <c r="AG358" s="484"/>
      <c r="AH358" s="484"/>
      <c r="AI358" s="484"/>
      <c r="AJ358" s="484"/>
    </row>
    <row r="359" spans="1:36" s="65" customFormat="1" x14ac:dyDescent="0.35">
      <c r="A359" s="30"/>
      <c r="B359" s="30" t="str">
        <f t="shared" si="223"/>
        <v>SAPN</v>
      </c>
      <c r="C359" s="30"/>
      <c r="D359" s="30" t="str">
        <f t="shared" si="224"/>
        <v>controlled load</v>
      </c>
      <c r="E359" s="570" t="s">
        <v>14</v>
      </c>
      <c r="F359" s="485">
        <f>F358</f>
        <v>0</v>
      </c>
      <c r="G359" s="570" t="s">
        <v>74</v>
      </c>
      <c r="H359" s="574"/>
      <c r="I359" s="574" cm="1">
        <f t="array" ref="I359">_xlfn.XLOOKUP(1,($B359=DistributionZone)*($G359=Description)*($I$5=Desc_FixedOrVar),valuesPY,0)</f>
        <v>5.1359999999999992</v>
      </c>
      <c r="J359" s="574">
        <f>IF(AND(H359="",I359=""),"",H359+I359*$F359/1000)</f>
        <v>0</v>
      </c>
      <c r="K359" s="575" t="str">
        <f>IFERROR(J359/J362,"")</f>
        <v/>
      </c>
      <c r="L359" s="576"/>
      <c r="M359" s="575" t="str">
        <f t="shared" si="225"/>
        <v/>
      </c>
      <c r="N359" s="576"/>
      <c r="O359" s="574"/>
      <c r="P359" s="574" cm="1">
        <f t="array" ref="P359">_xlfn.XLOOKUP(1,($B359=DistributionZone)*($G359=Description)*($I$5=Desc_FixedOrVar),valuesFY,0)</f>
        <v>4.484</v>
      </c>
      <c r="Q359" s="574">
        <f>IF(AND(O359="",P359=""),"",O359+P359*$F359/1000)</f>
        <v>0</v>
      </c>
      <c r="R359" s="575" t="str">
        <f>IFERROR(Q359/Q362,"")</f>
        <v/>
      </c>
      <c r="S359" s="484"/>
      <c r="T359" s="644"/>
      <c r="U359" s="484"/>
      <c r="V359" s="484"/>
      <c r="W359" s="484"/>
      <c r="X359" s="484"/>
      <c r="Y359" s="484"/>
      <c r="Z359" s="484"/>
      <c r="AA359" s="484"/>
      <c r="AB359" s="484"/>
      <c r="AC359" s="484"/>
      <c r="AD359" s="484"/>
      <c r="AE359" s="484"/>
      <c r="AF359" s="484"/>
      <c r="AG359" s="484"/>
      <c r="AH359" s="484"/>
      <c r="AI359" s="484"/>
      <c r="AJ359" s="484"/>
    </row>
    <row r="360" spans="1:36" s="65" customFormat="1" x14ac:dyDescent="0.35">
      <c r="A360" s="30"/>
      <c r="B360" s="30" t="str">
        <f t="shared" si="223"/>
        <v>SAPN</v>
      </c>
      <c r="C360" s="30"/>
      <c r="D360" s="30" t="str">
        <f t="shared" si="224"/>
        <v>controlled load</v>
      </c>
      <c r="E360" s="570" t="s">
        <v>14</v>
      </c>
      <c r="F360" s="485">
        <f>F359</f>
        <v>0</v>
      </c>
      <c r="G360" s="570" t="s">
        <v>156</v>
      </c>
      <c r="H360" s="574"/>
      <c r="I360" s="574" cm="1">
        <f t="array" ref="I360">_xlfn.XLOOKUP(1,($B360=DistributionZone)*($G360=Description)*($I$5=Desc_FixedOrVar),valuesPY,0)</f>
        <v>4.0580163456251253</v>
      </c>
      <c r="J360" s="574">
        <f>IF(AND(H360="",I360=""),"",H360+I360*$F360/1000)</f>
        <v>0</v>
      </c>
      <c r="K360" s="575" t="str">
        <f>IFERROR(J360/J362,"")</f>
        <v/>
      </c>
      <c r="L360" s="576"/>
      <c r="M360" s="575" t="str">
        <f t="shared" si="225"/>
        <v/>
      </c>
      <c r="N360" s="576"/>
      <c r="O360" s="574"/>
      <c r="P360" s="574" cm="1">
        <f t="array" ref="P360">_xlfn.XLOOKUP(1,($B360=DistributionZone)*($G360=Description)*($I$5=Desc_FixedOrVar),valuesFY,0)</f>
        <v>1.8918877098457212</v>
      </c>
      <c r="Q360" s="574">
        <f>IF(AND(O360="",P360=""),"",O360+P360*$F360/1000)</f>
        <v>0</v>
      </c>
      <c r="R360" s="575" t="str">
        <f>IFERROR(Q360/Q362,"")</f>
        <v/>
      </c>
      <c r="S360" s="484"/>
      <c r="T360" s="644"/>
      <c r="U360" s="484"/>
      <c r="V360" s="484"/>
      <c r="W360" s="484"/>
      <c r="X360" s="484"/>
      <c r="Y360" s="484"/>
      <c r="Z360" s="484"/>
      <c r="AA360" s="484"/>
      <c r="AB360" s="484"/>
      <c r="AC360" s="484"/>
      <c r="AD360" s="484"/>
      <c r="AE360" s="484"/>
      <c r="AF360" s="484"/>
      <c r="AG360" s="484"/>
      <c r="AH360" s="484"/>
      <c r="AI360" s="484"/>
      <c r="AJ360" s="484"/>
    </row>
    <row r="361" spans="1:36" s="65" customFormat="1" x14ac:dyDescent="0.35">
      <c r="A361" s="30"/>
      <c r="B361" s="30" t="str">
        <f t="shared" si="223"/>
        <v>SAPN</v>
      </c>
      <c r="C361" s="30"/>
      <c r="D361" s="30" t="str">
        <f t="shared" si="224"/>
        <v>controlled load</v>
      </c>
      <c r="E361" s="570" t="s">
        <v>14</v>
      </c>
      <c r="F361" s="485">
        <f>F360</f>
        <v>0</v>
      </c>
      <c r="G361" s="570" t="s">
        <v>72</v>
      </c>
      <c r="H361" s="574"/>
      <c r="I361" s="574" cm="1">
        <f t="array" ref="I361">_xlfn.XLOOKUP(1,($B361=DistributionZone)*($C361=CustomerType)*($D361=tariffL2)*($E361=tariffType)*($G361=Description)*($I$5=Desc_FixedOrVar),valuesPY,0)*SUM(I358:I360)</f>
        <v>1.1086627548283985</v>
      </c>
      <c r="J361" s="574">
        <f>IF(AND(H361="",I361=""),"",H361+I361*$F361/1000)</f>
        <v>0</v>
      </c>
      <c r="K361" s="575" t="str">
        <f>IFERROR(J361/J362,"")</f>
        <v/>
      </c>
      <c r="L361" s="576"/>
      <c r="M361" s="575" t="str">
        <f t="shared" si="225"/>
        <v/>
      </c>
      <c r="N361" s="576"/>
      <c r="O361" s="574"/>
      <c r="P361" s="574" cm="1">
        <f t="array" ref="P361">_xlfn.XLOOKUP(1,($B361=DistributionZone)*($C361=CustomerType)*($D361=tariffL2)*($E361=tariffType)*($G361=Description)*($P$5=Desc_FixedOrVar),valuesFY,0)*SUM(P358:P360)</f>
        <v>1.091297087920488</v>
      </c>
      <c r="Q361" s="574">
        <f>IF(AND(O361="",P361=""),"",O361+P361*$F361/1000)</f>
        <v>0</v>
      </c>
      <c r="R361" s="575" t="str">
        <f>IFERROR(Q361/Q362,"")</f>
        <v/>
      </c>
      <c r="S361" s="484"/>
      <c r="T361" s="644"/>
      <c r="U361" s="484"/>
      <c r="V361" s="484"/>
      <c r="W361" s="484"/>
      <c r="X361" s="484"/>
      <c r="Y361" s="484"/>
      <c r="Z361" s="484"/>
      <c r="AA361" s="484"/>
      <c r="AB361" s="484"/>
      <c r="AC361" s="484"/>
      <c r="AD361" s="484"/>
      <c r="AE361" s="484"/>
      <c r="AF361" s="484"/>
      <c r="AG361" s="484"/>
      <c r="AH361" s="484"/>
      <c r="AI361" s="484"/>
      <c r="AJ361" s="484"/>
    </row>
    <row r="362" spans="1:36" s="65" customFormat="1" x14ac:dyDescent="0.35">
      <c r="A362" s="30"/>
      <c r="B362" s="30" t="str">
        <f t="shared" si="223"/>
        <v>SAPN</v>
      </c>
      <c r="C362" s="30"/>
      <c r="D362" s="30" t="str">
        <f t="shared" si="224"/>
        <v>controlled load</v>
      </c>
      <c r="E362" s="570" t="s">
        <v>308</v>
      </c>
      <c r="F362" s="485">
        <f>F361</f>
        <v>0</v>
      </c>
      <c r="G362" s="571" t="s">
        <v>55</v>
      </c>
      <c r="H362" s="577">
        <f>SUM(H352:H361)</f>
        <v>0</v>
      </c>
      <c r="I362" s="577">
        <f>SUM(I358:I361)</f>
        <v>16.419721751038612</v>
      </c>
      <c r="J362" s="577">
        <f>SUM(J358:J361)</f>
        <v>0</v>
      </c>
      <c r="K362" s="578"/>
      <c r="L362" s="580"/>
      <c r="M362" s="578" t="str">
        <f t="shared" si="225"/>
        <v/>
      </c>
      <c r="N362" s="580"/>
      <c r="O362" s="577">
        <f>SUM(O358:O361)</f>
        <v>0</v>
      </c>
      <c r="P362" s="577">
        <f>SUM(P358:P361)</f>
        <v>10.618559453316657</v>
      </c>
      <c r="Q362" s="577">
        <f>SUM(Q358:Q361)</f>
        <v>0</v>
      </c>
      <c r="R362" s="575"/>
      <c r="S362" s="484"/>
      <c r="T362" s="644"/>
      <c r="U362" s="484"/>
      <c r="V362" s="484"/>
      <c r="W362" s="484"/>
      <c r="X362" s="484"/>
      <c r="Y362" s="484"/>
      <c r="Z362" s="484"/>
      <c r="AA362" s="484"/>
      <c r="AB362" s="484"/>
      <c r="AC362" s="484"/>
      <c r="AD362" s="484"/>
      <c r="AE362" s="484"/>
      <c r="AF362" s="484"/>
      <c r="AG362" s="484"/>
      <c r="AH362" s="484"/>
      <c r="AI362" s="484"/>
      <c r="AJ362" s="484"/>
    </row>
    <row r="363" spans="1:36" s="65" customFormat="1" x14ac:dyDescent="0.35">
      <c r="A363" s="30"/>
      <c r="B363" s="30" t="str">
        <f t="shared" si="223"/>
        <v>SAPN</v>
      </c>
      <c r="C363" s="30"/>
      <c r="D363" s="30" t="str">
        <f t="shared" si="224"/>
        <v>controlled load</v>
      </c>
      <c r="E363" s="570" t="s">
        <v>309</v>
      </c>
      <c r="F363" s="485" cm="1">
        <f t="array" ref="F363">_xlfn.XLOOKUP(1,($B363=DistributionZone)*($D363=tariffL2)*("CL1"=tariffType)*($F$5=Description),valuesFY)*
_xlfn.XLOOKUP(1,($B363=DistributionZone)*($D363=tariffL2)*($E363=tariffType)*("Usage proportion"=Description),valuesFY)</f>
        <v>748.72231686541716</v>
      </c>
      <c r="G363" s="570" t="s">
        <v>73</v>
      </c>
      <c r="H363" s="574"/>
      <c r="I363" s="574" cm="1">
        <f t="array" ref="I363">_xlfn.XLOOKUP(1,($B363=DistributionZone)*($G363=Description)*($I$5=Desc_FixedOrVar),valuesPY,0)</f>
        <v>6.1170426505850894</v>
      </c>
      <c r="J363" s="574">
        <f>IF(AND(H363="",I363=""),"",H363+I363*$F363/1000)</f>
        <v>4.5799663457106412</v>
      </c>
      <c r="K363" s="575">
        <f>IFERROR(J363/J367,"")</f>
        <v>0.37254240621940882</v>
      </c>
      <c r="L363" s="576"/>
      <c r="M363" s="575">
        <f t="shared" ref="M363:M368" si="226">IF(OR(J363=0,Q363=""),"",Q363/J363-1)</f>
        <v>-0.48482055209325359</v>
      </c>
      <c r="N363" s="576"/>
      <c r="O363" s="574"/>
      <c r="P363" s="574" cm="1">
        <f t="array" ref="P363">_xlfn.XLOOKUP(1,($B363=DistributionZone)*($G363=Description)*($I$5=Desc_FixedOrVar),valuesFY,0)</f>
        <v>3.1513746555504474</v>
      </c>
      <c r="Q363" s="574">
        <f>IF(AND(O363="",P363=""),"",O363+P363*$F363/1000)</f>
        <v>2.3595045334146869</v>
      </c>
      <c r="R363" s="575">
        <f>IFERROR(Q363/Q367,"")</f>
        <v>0.29677986636559539</v>
      </c>
      <c r="S363" s="484"/>
      <c r="T363" s="645"/>
      <c r="U363" s="484"/>
      <c r="V363" s="484"/>
      <c r="W363" s="484"/>
      <c r="X363" s="484"/>
      <c r="Y363" s="484"/>
      <c r="Z363" s="484"/>
      <c r="AA363" s="484"/>
      <c r="AB363" s="484"/>
      <c r="AC363" s="484"/>
      <c r="AD363" s="484"/>
      <c r="AE363" s="484"/>
      <c r="AF363" s="484"/>
      <c r="AG363" s="484"/>
      <c r="AH363" s="484"/>
      <c r="AI363" s="484"/>
      <c r="AJ363" s="484"/>
    </row>
    <row r="364" spans="1:36" s="65" customFormat="1" x14ac:dyDescent="0.35">
      <c r="A364" s="30"/>
      <c r="B364" s="30" t="str">
        <f t="shared" si="223"/>
        <v>SAPN</v>
      </c>
      <c r="C364" s="30"/>
      <c r="D364" s="30" t="str">
        <f t="shared" si="224"/>
        <v>controlled load</v>
      </c>
      <c r="E364" s="570" t="s">
        <v>14</v>
      </c>
      <c r="F364" s="485">
        <f>F363</f>
        <v>748.72231686541716</v>
      </c>
      <c r="G364" s="570" t="s">
        <v>74</v>
      </c>
      <c r="H364" s="574"/>
      <c r="I364" s="574" cm="1">
        <f t="array" ref="I364">_xlfn.XLOOKUP(1,($B364=DistributionZone)*($G364=Description)*($I$5=Desc_FixedOrVar),valuesPY,0)</f>
        <v>5.1359999999999992</v>
      </c>
      <c r="J364" s="574">
        <f>IF(AND(H364="",I364=""),"",H364+I364*$F364/1000)</f>
        <v>3.8454378194207819</v>
      </c>
      <c r="K364" s="575">
        <f>IFERROR(J364/J367,"")</f>
        <v>0.31279458189814491</v>
      </c>
      <c r="L364" s="576"/>
      <c r="M364" s="575">
        <f t="shared" si="226"/>
        <v>-0.12694704049844219</v>
      </c>
      <c r="N364" s="576"/>
      <c r="O364" s="574"/>
      <c r="P364" s="574" cm="1">
        <f t="array" ref="P364">_xlfn.XLOOKUP(1,($B364=DistributionZone)*($G364=Description)*($I$5=Desc_FixedOrVar),valuesFY,0)</f>
        <v>4.484</v>
      </c>
      <c r="Q364" s="574">
        <f>IF(AND(O364="",P364=""),"",O364+P364*$F364/1000)</f>
        <v>3.3572708688245307</v>
      </c>
      <c r="R364" s="575">
        <f>IFERROR(Q364/Q367,"")</f>
        <v>0.42227950219739491</v>
      </c>
      <c r="S364" s="484"/>
      <c r="T364" s="644"/>
      <c r="U364" s="484"/>
      <c r="V364" s="484"/>
      <c r="W364" s="484"/>
      <c r="X364" s="484"/>
      <c r="Y364" s="484"/>
      <c r="Z364" s="484"/>
      <c r="AA364" s="484"/>
      <c r="AB364" s="484"/>
      <c r="AC364" s="484"/>
      <c r="AD364" s="484"/>
      <c r="AE364" s="484"/>
      <c r="AF364" s="484"/>
      <c r="AG364" s="484"/>
      <c r="AH364" s="484"/>
      <c r="AI364" s="484"/>
      <c r="AJ364" s="484"/>
    </row>
    <row r="365" spans="1:36" s="65" customFormat="1" x14ac:dyDescent="0.35">
      <c r="A365" s="30"/>
      <c r="B365" s="30" t="str">
        <f t="shared" si="223"/>
        <v>SAPN</v>
      </c>
      <c r="C365" s="30"/>
      <c r="D365" s="30" t="str">
        <f t="shared" si="224"/>
        <v>controlled load</v>
      </c>
      <c r="E365" s="570" t="s">
        <v>14</v>
      </c>
      <c r="F365" s="485">
        <f>F364</f>
        <v>748.72231686541716</v>
      </c>
      <c r="G365" s="570" t="s">
        <v>156</v>
      </c>
      <c r="H365" s="574"/>
      <c r="I365" s="574" cm="1">
        <f t="array" ref="I365">_xlfn.XLOOKUP(1,($B365=DistributionZone)*($G365=Description)*($I$5=Desc_FixedOrVar),valuesPY,0)</f>
        <v>4.0580163456251253</v>
      </c>
      <c r="J365" s="574">
        <f>IF(AND(H365="",I365=""),"",H365+I365*$F365/1000)</f>
        <v>3.0383274001741771</v>
      </c>
      <c r="K365" s="575">
        <f>IFERROR(J365/J367,"")</f>
        <v>0.2471428205151186</v>
      </c>
      <c r="L365" s="576"/>
      <c r="M365" s="575">
        <f t="shared" si="226"/>
        <v>-0.53379002233804917</v>
      </c>
      <c r="N365" s="576"/>
      <c r="O365" s="574"/>
      <c r="P365" s="574" cm="1">
        <f t="array" ref="P365">_xlfn.XLOOKUP(1,($B365=DistributionZone)*($G365=Description)*($I$5=Desc_FixedOrVar),valuesFY,0)</f>
        <v>1.8918877098457212</v>
      </c>
      <c r="Q365" s="574">
        <f>IF(AND(O365="",P365=""),"",O365+P365*$F365/1000)</f>
        <v>1.4164985493648965</v>
      </c>
      <c r="R365" s="575">
        <f>IFERROR(Q365/Q367,"")</f>
        <v>0.1781680196982651</v>
      </c>
      <c r="S365" s="484"/>
      <c r="T365" s="644"/>
      <c r="U365" s="484"/>
      <c r="V365" s="484"/>
      <c r="W365" s="484"/>
      <c r="X365" s="484"/>
      <c r="Y365" s="484"/>
      <c r="Z365" s="484"/>
      <c r="AA365" s="484"/>
      <c r="AB365" s="484"/>
      <c r="AC365" s="484"/>
      <c r="AD365" s="484"/>
      <c r="AE365" s="484"/>
      <c r="AF365" s="484"/>
      <c r="AG365" s="484"/>
      <c r="AH365" s="484"/>
      <c r="AI365" s="484"/>
      <c r="AJ365" s="484"/>
    </row>
    <row r="366" spans="1:36" s="65" customFormat="1" x14ac:dyDescent="0.35">
      <c r="A366" s="30"/>
      <c r="B366" s="30" t="str">
        <f t="shared" si="223"/>
        <v>SAPN</v>
      </c>
      <c r="C366" s="30"/>
      <c r="D366" s="30" t="str">
        <f t="shared" si="224"/>
        <v>controlled load</v>
      </c>
      <c r="E366" s="570" t="s">
        <v>14</v>
      </c>
      <c r="F366" s="485">
        <f>F365</f>
        <v>748.72231686541716</v>
      </c>
      <c r="G366" s="570" t="s">
        <v>72</v>
      </c>
      <c r="H366" s="574"/>
      <c r="I366" s="574" cm="1">
        <f t="array" ref="I366">_xlfn.XLOOKUP(1,($B366=DistributionZone)*($C366=CustomerType)*($D366=tariffL2)*($E366=tariffType)*($G366=Description)*($I$5=Desc_FixedOrVar),valuesPY,0)*SUM(I363:I365)</f>
        <v>1.1086627548283985</v>
      </c>
      <c r="J366" s="574">
        <f>IF(AND(H366="",I366=""),"",H366+I366*$F366/1000)</f>
        <v>0.8300805464175145</v>
      </c>
      <c r="K366" s="575">
        <f>IFERROR(J366/J367,"")</f>
        <v>6.7520191367327592E-2</v>
      </c>
      <c r="L366" s="576"/>
      <c r="M366" s="575">
        <f t="shared" si="226"/>
        <v>-1.5663615316993784E-2</v>
      </c>
      <c r="N366" s="576"/>
      <c r="O366" s="574"/>
      <c r="P366" s="574" cm="1">
        <f t="array" ref="P366">_xlfn.XLOOKUP(1,($B366=DistributionZone)*($C366=CustomerType)*($D366=tariffL2)*($E366=tariffType)*($G366=Description)*($P$5=Desc_FixedOrVar),valuesFY,0)*SUM(P363:P365)</f>
        <v>1.091297087920488</v>
      </c>
      <c r="Q366" s="574">
        <f>IF(AND(O366="",P366=""),"",O366+P366*$F366/1000)</f>
        <v>0.81707848405631056</v>
      </c>
      <c r="R366" s="575">
        <f>IFERROR(Q366/Q367,"")</f>
        <v>0.1027726117387445</v>
      </c>
      <c r="S366" s="484"/>
      <c r="T366" s="644"/>
      <c r="U366" s="484"/>
      <c r="V366" s="484"/>
      <c r="W366" s="484"/>
      <c r="X366" s="484"/>
      <c r="Y366" s="484"/>
      <c r="Z366" s="484"/>
      <c r="AA366" s="484"/>
      <c r="AB366" s="484"/>
      <c r="AC366" s="484"/>
      <c r="AD366" s="484"/>
      <c r="AE366" s="484"/>
      <c r="AF366" s="484"/>
      <c r="AG366" s="484"/>
      <c r="AH366" s="484"/>
      <c r="AI366" s="484"/>
      <c r="AJ366" s="484"/>
    </row>
    <row r="367" spans="1:36" s="65" customFormat="1" x14ac:dyDescent="0.35">
      <c r="A367" s="30"/>
      <c r="B367" s="30" t="str">
        <f t="shared" si="223"/>
        <v>SAPN</v>
      </c>
      <c r="C367" s="30"/>
      <c r="D367" s="30" t="str">
        <f t="shared" si="224"/>
        <v>controlled load</v>
      </c>
      <c r="E367" s="570" t="s">
        <v>309</v>
      </c>
      <c r="F367" s="485">
        <f>F366</f>
        <v>748.72231686541716</v>
      </c>
      <c r="G367" s="571" t="s">
        <v>55</v>
      </c>
      <c r="H367" s="577">
        <f>SUM(H352:H366)</f>
        <v>0</v>
      </c>
      <c r="I367" s="577">
        <f>SUM(I363:I366)</f>
        <v>16.419721751038612</v>
      </c>
      <c r="J367" s="577">
        <f>SUM(J363:J366)</f>
        <v>12.293812111723115</v>
      </c>
      <c r="K367" s="578"/>
      <c r="L367" s="580"/>
      <c r="M367" s="578">
        <f t="shared" si="226"/>
        <v>-0.35330454350452123</v>
      </c>
      <c r="N367" s="580"/>
      <c r="O367" s="577">
        <f>SUM(O363:O366)</f>
        <v>0</v>
      </c>
      <c r="P367" s="577">
        <f>SUM(P363:P366)</f>
        <v>10.618559453316657</v>
      </c>
      <c r="Q367" s="577">
        <f>SUM(Q363:Q366)</f>
        <v>7.9503524356604256</v>
      </c>
      <c r="R367" s="575"/>
      <c r="S367" s="484"/>
      <c r="T367" s="644"/>
      <c r="U367" s="484"/>
      <c r="V367" s="484"/>
      <c r="W367" s="484"/>
      <c r="X367" s="484"/>
      <c r="Y367" s="484"/>
      <c r="Z367" s="484"/>
      <c r="AA367" s="484"/>
      <c r="AB367" s="484"/>
      <c r="AC367" s="484"/>
      <c r="AD367" s="484"/>
      <c r="AE367" s="484"/>
      <c r="AF367" s="484"/>
      <c r="AG367" s="484"/>
      <c r="AH367" s="484"/>
      <c r="AI367" s="484"/>
      <c r="AJ367" s="484"/>
    </row>
    <row r="368" spans="1:36" s="65" customFormat="1" x14ac:dyDescent="0.35">
      <c r="A368" s="30"/>
      <c r="B368" s="30" t="str">
        <f t="shared" si="223"/>
        <v>SAPN</v>
      </c>
      <c r="C368" s="30"/>
      <c r="D368" s="30" t="str">
        <f t="shared" si="224"/>
        <v>controlled load</v>
      </c>
      <c r="E368" s="570" t="s">
        <v>371</v>
      </c>
      <c r="F368" s="485">
        <f>SUM(F363,F358,F353)</f>
        <v>1799.9999999999995</v>
      </c>
      <c r="G368" s="571" t="s">
        <v>55</v>
      </c>
      <c r="H368" s="577"/>
      <c r="I368" s="577"/>
      <c r="J368" s="577">
        <f>SUM(J357,J362,J367)</f>
        <v>29.555499151869498</v>
      </c>
      <c r="K368" s="578"/>
      <c r="L368" s="580"/>
      <c r="M368" s="578">
        <f t="shared" si="226"/>
        <v>-0.35330454350452123</v>
      </c>
      <c r="N368" s="580"/>
      <c r="O368" s="577"/>
      <c r="P368" s="577">
        <f>SUM(P357,P362,P367)</f>
        <v>31.85567835994997</v>
      </c>
      <c r="Q368" s="577">
        <f>SUM(Q357,Q362,Q367)</f>
        <v>19.11340701596998</v>
      </c>
      <c r="R368" s="575"/>
      <c r="S368" s="484"/>
      <c r="T368" s="644"/>
      <c r="U368" s="484"/>
      <c r="V368" s="484"/>
      <c r="W368" s="484"/>
      <c r="X368" s="484"/>
      <c r="Y368" s="484"/>
      <c r="Z368" s="484"/>
      <c r="AA368" s="484"/>
      <c r="AB368" s="484"/>
      <c r="AC368" s="484"/>
      <c r="AD368" s="484"/>
      <c r="AE368" s="484"/>
      <c r="AF368" s="484"/>
      <c r="AG368" s="484"/>
      <c r="AH368" s="484"/>
      <c r="AI368" s="484"/>
      <c r="AJ368" s="484"/>
    </row>
    <row r="369" spans="1:36" s="65" customFormat="1" x14ac:dyDescent="0.35">
      <c r="A369" s="30"/>
      <c r="B369" s="30" t="str">
        <f t="shared" si="223"/>
        <v>SAPN</v>
      </c>
      <c r="C369" s="30"/>
      <c r="D369" s="30" t="str">
        <f t="shared" si="224"/>
        <v>controlled load</v>
      </c>
      <c r="E369" s="570"/>
      <c r="F369" s="485"/>
      <c r="G369" s="570" t="s">
        <v>38</v>
      </c>
      <c r="H369" s="574"/>
      <c r="I369" s="574"/>
      <c r="J369" s="574">
        <f>J368*GST</f>
        <v>2.9555499151869498</v>
      </c>
      <c r="K369" s="575"/>
      <c r="L369" s="582"/>
      <c r="M369" s="575"/>
      <c r="N369" s="582"/>
      <c r="O369" s="574"/>
      <c r="P369" s="574"/>
      <c r="Q369" s="574">
        <f>Q368*GST</f>
        <v>1.9113407015969981</v>
      </c>
      <c r="R369" s="575"/>
      <c r="S369" s="484"/>
      <c r="T369" s="644"/>
      <c r="U369" s="484"/>
      <c r="V369" s="484"/>
      <c r="W369" s="484"/>
      <c r="X369" s="484"/>
      <c r="Y369" s="484"/>
      <c r="Z369" s="484"/>
      <c r="AA369" s="484"/>
      <c r="AB369" s="484"/>
      <c r="AC369" s="484"/>
      <c r="AD369" s="484"/>
      <c r="AE369" s="484"/>
      <c r="AF369" s="484"/>
      <c r="AG369" s="484"/>
      <c r="AH369" s="484"/>
      <c r="AI369" s="484"/>
      <c r="AJ369" s="484"/>
    </row>
    <row r="370" spans="1:36" s="65" customFormat="1" x14ac:dyDescent="0.35">
      <c r="A370" s="30"/>
      <c r="B370" s="30" t="str">
        <f t="shared" si="223"/>
        <v>SAPN</v>
      </c>
      <c r="C370" s="30"/>
      <c r="D370" s="30" t="str">
        <f t="shared" si="224"/>
        <v>controlled load</v>
      </c>
      <c r="E370" s="570"/>
      <c r="F370" s="485"/>
      <c r="G370" s="571" t="s">
        <v>79</v>
      </c>
      <c r="H370" s="577"/>
      <c r="I370" s="577"/>
      <c r="J370" s="577">
        <f>SUM(J368:J369)</f>
        <v>32.511049067056447</v>
      </c>
      <c r="K370" s="578"/>
      <c r="L370" s="580"/>
      <c r="M370" s="578">
        <f>IF(OR(J370=0,Q370=""),"",Q370/J370-1)</f>
        <v>-0.35330454350452123</v>
      </c>
      <c r="N370" s="580"/>
      <c r="O370" s="577"/>
      <c r="P370" s="577"/>
      <c r="Q370" s="577">
        <f>SUM(Q368:Q369)</f>
        <v>21.024747717566978</v>
      </c>
      <c r="R370" s="575"/>
      <c r="S370" s="484"/>
      <c r="T370" s="644"/>
      <c r="U370" s="484"/>
      <c r="V370" s="484"/>
      <c r="W370" s="484"/>
      <c r="X370" s="484"/>
      <c r="Y370" s="484"/>
      <c r="Z370" s="484"/>
      <c r="AA370" s="484"/>
      <c r="AB370" s="484"/>
      <c r="AC370" s="484"/>
      <c r="AD370" s="484"/>
      <c r="AE370" s="484"/>
      <c r="AF370" s="484"/>
      <c r="AG370" s="484"/>
      <c r="AH370" s="484"/>
      <c r="AI370" s="484"/>
      <c r="AJ370" s="484"/>
    </row>
    <row r="371" spans="1:36" s="65" customFormat="1" x14ac:dyDescent="0.35">
      <c r="A371" s="30"/>
      <c r="B371" s="30"/>
      <c r="C371" s="30"/>
      <c r="D371" s="30"/>
      <c r="E371" s="30"/>
      <c r="F371" s="258"/>
      <c r="G371" s="30"/>
      <c r="H371" s="482"/>
      <c r="I371" s="482"/>
      <c r="J371" s="482"/>
      <c r="K371" s="484"/>
      <c r="L371" s="568"/>
      <c r="M371" s="484"/>
      <c r="N371" s="568"/>
      <c r="O371" s="482"/>
      <c r="P371" s="482"/>
      <c r="Q371" s="482"/>
      <c r="R371" s="484"/>
      <c r="S371" s="484"/>
      <c r="T371" s="644"/>
      <c r="U371" s="484"/>
      <c r="V371" s="484"/>
      <c r="W371" s="484"/>
      <c r="X371" s="484"/>
      <c r="Y371" s="484"/>
      <c r="Z371" s="484"/>
      <c r="AA371" s="484"/>
      <c r="AB371" s="484"/>
      <c r="AC371" s="484"/>
      <c r="AD371" s="484"/>
      <c r="AE371" s="484"/>
      <c r="AF371" s="484"/>
      <c r="AG371" s="484"/>
      <c r="AH371" s="484"/>
      <c r="AI371" s="484"/>
      <c r="AJ371" s="484"/>
    </row>
    <row r="372" spans="1:36" s="65" customFormat="1" x14ac:dyDescent="0.35">
      <c r="A372" s="30"/>
      <c r="B372" s="64" t="s">
        <v>5</v>
      </c>
      <c r="C372" s="64" t="s">
        <v>13</v>
      </c>
      <c r="D372" s="64" t="s">
        <v>276</v>
      </c>
      <c r="E372" s="30"/>
      <c r="F372" s="258"/>
      <c r="G372" s="30"/>
      <c r="H372" s="482"/>
      <c r="I372" s="482"/>
      <c r="J372" s="482"/>
      <c r="K372" s="484"/>
      <c r="L372" s="568"/>
      <c r="M372" s="484"/>
      <c r="N372" s="568"/>
      <c r="O372" s="482"/>
      <c r="P372" s="482"/>
      <c r="Q372" s="482"/>
      <c r="R372" s="484"/>
      <c r="S372" s="484"/>
      <c r="T372" s="644"/>
      <c r="U372" s="484"/>
      <c r="V372" s="484"/>
      <c r="W372" s="484"/>
      <c r="X372" s="484"/>
      <c r="Y372" s="484"/>
      <c r="Z372" s="484"/>
      <c r="AA372" s="484"/>
      <c r="AB372" s="484"/>
      <c r="AC372" s="484"/>
      <c r="AD372" s="484"/>
      <c r="AE372" s="484"/>
      <c r="AF372" s="484"/>
      <c r="AG372" s="484"/>
      <c r="AH372" s="484"/>
      <c r="AI372" s="484"/>
      <c r="AJ372" s="484"/>
    </row>
    <row r="373" spans="1:36" s="65" customFormat="1" x14ac:dyDescent="0.35">
      <c r="A373" s="30"/>
      <c r="B373" s="30" t="str">
        <f t="shared" ref="B373:D379" si="227">B372</f>
        <v>SAPN</v>
      </c>
      <c r="C373" s="30" t="str">
        <f t="shared" si="227"/>
        <v>Small business</v>
      </c>
      <c r="D373" s="30" t="str">
        <f t="shared" si="227"/>
        <v>flat rate</v>
      </c>
      <c r="E373" s="30" t="s">
        <v>19</v>
      </c>
      <c r="F373" s="258" cm="1">
        <f t="array" ref="F373">IFERROR(_xlfn.XLOOKUP(1,($B373=DistributionZone)*($C373=CustomerType)*($E373=tariffType)*(F$5=Description)*($D373=tariffL2),valuesFY),0)</f>
        <v>10000</v>
      </c>
      <c r="G373" s="30" t="s">
        <v>73</v>
      </c>
      <c r="H373" s="482"/>
      <c r="I373" s="482" cm="1">
        <f t="array" ref="I373">_xlfn.XLOOKUP(1,($B373=DistributionZone)*($G373=Description)*($I$5=Desc_FixedOrVar),valuesPY,0)</f>
        <v>6.1170426505850894</v>
      </c>
      <c r="J373" s="482">
        <f>IF(AND(H373="",I373=""),"",H373+I373*$F373/1000)</f>
        <v>61.170426505850898</v>
      </c>
      <c r="K373" s="484">
        <f>IFERROR(J373/J377,"")</f>
        <v>0.37254240621940887</v>
      </c>
      <c r="L373" s="563"/>
      <c r="M373" s="484">
        <f>IF(OR(J373=0,Q373=""),"",Q373/J373-1)</f>
        <v>-0.48482055209325359</v>
      </c>
      <c r="N373" s="563"/>
      <c r="O373" s="482"/>
      <c r="P373" s="482" cm="1">
        <f t="array" ref="P373">_xlfn.XLOOKUP(1,($B373=DistributionZone)*($G373=Description)*($I$5=Desc_FixedOrVar),valuesFY,0)</f>
        <v>3.1513746555504474</v>
      </c>
      <c r="Q373" s="482">
        <f>IF(AND(O373="",P373=""),"",O373+P373*$F373/1000)</f>
        <v>31.513746555504472</v>
      </c>
      <c r="R373" s="484">
        <f>IFERROR(Q373/Q377,"")</f>
        <v>0.29677986636559539</v>
      </c>
      <c r="S373" s="484"/>
      <c r="T373" s="645"/>
      <c r="U373" s="484"/>
      <c r="V373" s="484"/>
      <c r="W373" s="484"/>
      <c r="X373" s="484"/>
      <c r="Y373" s="484"/>
      <c r="Z373" s="484"/>
      <c r="AA373" s="484"/>
      <c r="AB373" s="484"/>
      <c r="AC373" s="484"/>
      <c r="AD373" s="484"/>
      <c r="AE373" s="484"/>
      <c r="AF373" s="484"/>
      <c r="AG373" s="484"/>
      <c r="AH373" s="484"/>
      <c r="AI373" s="484"/>
      <c r="AJ373" s="484"/>
    </row>
    <row r="374" spans="1:36" s="65" customFormat="1" x14ac:dyDescent="0.35">
      <c r="A374" s="30"/>
      <c r="B374" s="30" t="str">
        <f t="shared" si="227"/>
        <v>SAPN</v>
      </c>
      <c r="C374" s="30" t="str">
        <f t="shared" si="227"/>
        <v>Small business</v>
      </c>
      <c r="D374" s="30" t="str">
        <f t="shared" si="227"/>
        <v>flat rate</v>
      </c>
      <c r="E374" s="30" t="s">
        <v>19</v>
      </c>
      <c r="F374" s="258">
        <f>F373</f>
        <v>10000</v>
      </c>
      <c r="G374" s="30" t="s">
        <v>74</v>
      </c>
      <c r="H374" s="482"/>
      <c r="I374" s="482" cm="1">
        <f t="array" ref="I374">_xlfn.XLOOKUP(1,($B374=DistributionZone)*($G374=Description)*($I$5=Desc_FixedOrVar),valuesPY,0)</f>
        <v>5.1359999999999992</v>
      </c>
      <c r="J374" s="482">
        <f>IF(AND(H374="",I374=""),"",H374+I374*$F374/1000)</f>
        <v>51.359999999999992</v>
      </c>
      <c r="K374" s="484">
        <f>IFERROR(J374/J377,"")</f>
        <v>0.31279458189814496</v>
      </c>
      <c r="L374" s="563"/>
      <c r="M374" s="484">
        <f>IF(OR(J374=0,Q374=""),"",Q374/J374-1)</f>
        <v>-0.12694704049844219</v>
      </c>
      <c r="N374" s="563"/>
      <c r="O374" s="482"/>
      <c r="P374" s="482" cm="1">
        <f t="array" ref="P374">_xlfn.XLOOKUP(1,($B374=DistributionZone)*($G374=Description)*($I$5=Desc_FixedOrVar),valuesFY,0)</f>
        <v>4.484</v>
      </c>
      <c r="Q374" s="482">
        <f>IF(AND(O374="",P374=""),"",O374+P374*$F374/1000)</f>
        <v>44.84</v>
      </c>
      <c r="R374" s="484">
        <f>IFERROR(Q374/Q377,"")</f>
        <v>0.42227950219739496</v>
      </c>
      <c r="S374" s="484"/>
      <c r="T374" s="644"/>
      <c r="U374" s="484"/>
      <c r="V374" s="484"/>
      <c r="W374" s="484"/>
      <c r="X374" s="484"/>
      <c r="Y374" s="484"/>
      <c r="Z374" s="484"/>
      <c r="AA374" s="484"/>
      <c r="AB374" s="484"/>
      <c r="AC374" s="484"/>
      <c r="AD374" s="484"/>
      <c r="AE374" s="484"/>
      <c r="AF374" s="484"/>
      <c r="AG374" s="484"/>
      <c r="AH374" s="484"/>
      <c r="AI374" s="484"/>
      <c r="AJ374" s="484"/>
    </row>
    <row r="375" spans="1:36" s="65" customFormat="1" x14ac:dyDescent="0.35">
      <c r="A375" s="30"/>
      <c r="B375" s="30" t="str">
        <f t="shared" si="227"/>
        <v>SAPN</v>
      </c>
      <c r="C375" s="30" t="str">
        <f t="shared" si="227"/>
        <v>Small business</v>
      </c>
      <c r="D375" s="30" t="str">
        <f t="shared" si="227"/>
        <v>flat rate</v>
      </c>
      <c r="E375" s="30" t="s">
        <v>19</v>
      </c>
      <c r="F375" s="258">
        <f>F374</f>
        <v>10000</v>
      </c>
      <c r="G375" s="30" t="s">
        <v>156</v>
      </c>
      <c r="H375" s="482"/>
      <c r="I375" s="482" cm="1">
        <f t="array" ref="I375">_xlfn.XLOOKUP(1,($B375=DistributionZone)*($G375=Description)*($I$5=Desc_FixedOrVar),valuesPY,0)</f>
        <v>4.0580163456251253</v>
      </c>
      <c r="J375" s="482">
        <f>IF(AND(H375="",I375=""),"",H375+I375*$F375/1000)</f>
        <v>40.580163456251256</v>
      </c>
      <c r="K375" s="484">
        <f>IFERROR(J375/J377,"")</f>
        <v>0.24714282051511868</v>
      </c>
      <c r="L375" s="563"/>
      <c r="M375" s="484">
        <f>IF(OR(J375=0,Q375=""),"",Q375/J375-1)</f>
        <v>-0.53379002233804917</v>
      </c>
      <c r="N375" s="563"/>
      <c r="O375" s="482"/>
      <c r="P375" s="482" cm="1">
        <f t="array" ref="P375">_xlfn.XLOOKUP(1,($B375=DistributionZone)*($G375=Description)*($I$5=Desc_FixedOrVar),valuesFY,0)</f>
        <v>1.8918877098457212</v>
      </c>
      <c r="Q375" s="482">
        <f>IF(AND(O375="",P375=""),"",O375+P375*$F375/1000)</f>
        <v>18.918877098457212</v>
      </c>
      <c r="R375" s="484">
        <f>IFERROR(Q375/Q377,"")</f>
        <v>0.1781680196982651</v>
      </c>
      <c r="S375" s="484"/>
      <c r="T375" s="644"/>
      <c r="U375" s="484"/>
      <c r="V375" s="484"/>
      <c r="W375" s="484"/>
      <c r="X375" s="484"/>
      <c r="Y375" s="484"/>
      <c r="Z375" s="484"/>
      <c r="AA375" s="484"/>
      <c r="AB375" s="484"/>
      <c r="AC375" s="484"/>
      <c r="AD375" s="484"/>
      <c r="AE375" s="484"/>
      <c r="AF375" s="484"/>
      <c r="AG375" s="484"/>
      <c r="AH375" s="484"/>
      <c r="AI375" s="484"/>
      <c r="AJ375" s="484"/>
    </row>
    <row r="376" spans="1:36" s="65" customFormat="1" x14ac:dyDescent="0.35">
      <c r="A376" s="30"/>
      <c r="B376" s="30" t="str">
        <f t="shared" si="227"/>
        <v>SAPN</v>
      </c>
      <c r="C376" s="30" t="str">
        <f t="shared" si="227"/>
        <v>Small business</v>
      </c>
      <c r="D376" s="30" t="str">
        <f t="shared" si="227"/>
        <v>flat rate</v>
      </c>
      <c r="E376" s="30" t="s">
        <v>19</v>
      </c>
      <c r="F376" s="258">
        <f>F375</f>
        <v>10000</v>
      </c>
      <c r="G376" s="30" t="s">
        <v>72</v>
      </c>
      <c r="H376" s="482"/>
      <c r="I376" s="482" cm="1">
        <f t="array" ref="I376">_xlfn.XLOOKUP(1,($B376=DistributionZone)*($C376=CustomerType)*($D376=tariffL2)*($E376=tariffType)*($G376=Description)*($I$5=Desc_FixedOrVar),valuesPY,0)*SUM(I373:I375)</f>
        <v>1.1086627548283985</v>
      </c>
      <c r="J376" s="482">
        <f>IF(AND(H376="",I376=""),"",H376+I376*$F376/1000)</f>
        <v>11.086627548283985</v>
      </c>
      <c r="K376" s="484">
        <f>IFERROR(J376/J377,"")</f>
        <v>6.7520191367327606E-2</v>
      </c>
      <c r="L376" s="563"/>
      <c r="M376" s="484">
        <f>IF(OR(J376=0,Q376=""),"",Q376/J376-1)</f>
        <v>-1.5663615316993562E-2</v>
      </c>
      <c r="N376" s="563"/>
      <c r="O376" s="482"/>
      <c r="P376" s="482" cm="1">
        <f t="array" ref="P376">_xlfn.XLOOKUP(1,($B376=DistributionZone)*($C376=CustomerType)*($D376=tariffL2)*($E376=tariffType)*($G376=Description)*($P$5=Desc_FixedOrVar),valuesFY,0)*SUM(P373:P375)</f>
        <v>1.091297087920488</v>
      </c>
      <c r="Q376" s="482">
        <f>IF(AND(O376="",P376=""),"",O376+P376*$F376/1000)</f>
        <v>10.912970879204881</v>
      </c>
      <c r="R376" s="484">
        <f>IFERROR(Q376/Q377,"")</f>
        <v>0.10277261173874452</v>
      </c>
      <c r="S376" s="484"/>
      <c r="T376" s="644"/>
      <c r="U376" s="484"/>
      <c r="V376" s="484"/>
      <c r="W376" s="484"/>
      <c r="X376" s="484"/>
      <c r="Y376" s="484"/>
      <c r="Z376" s="484"/>
      <c r="AA376" s="484"/>
      <c r="AB376" s="484"/>
      <c r="AC376" s="484"/>
      <c r="AD376" s="484"/>
      <c r="AE376" s="484"/>
      <c r="AF376" s="484"/>
      <c r="AG376" s="484"/>
      <c r="AH376" s="484"/>
      <c r="AI376" s="484"/>
      <c r="AJ376" s="484"/>
    </row>
    <row r="377" spans="1:36" s="65" customFormat="1" x14ac:dyDescent="0.35">
      <c r="A377" s="30"/>
      <c r="B377" s="30" t="str">
        <f t="shared" si="227"/>
        <v>SAPN</v>
      </c>
      <c r="C377" s="30" t="str">
        <f t="shared" si="227"/>
        <v>Small business</v>
      </c>
      <c r="D377" s="30" t="str">
        <f t="shared" si="227"/>
        <v>flat rate</v>
      </c>
      <c r="E377" s="30" t="s">
        <v>19</v>
      </c>
      <c r="F377" s="258">
        <f>F376</f>
        <v>10000</v>
      </c>
      <c r="G377" s="64" t="s">
        <v>55</v>
      </c>
      <c r="H377" s="487">
        <f>SUM(H373:H376)</f>
        <v>0</v>
      </c>
      <c r="I377" s="487">
        <f>SUM(I373:I376)</f>
        <v>16.419721751038612</v>
      </c>
      <c r="J377" s="487">
        <f>IF(AND(H377="",I377=""),"",H377+I377*+Usage!M$42/1000)</f>
        <v>164.19721751038611</v>
      </c>
      <c r="K377" s="564"/>
      <c r="L377" s="566"/>
      <c r="M377" s="564">
        <f>IF(OR(J377=0,Q377=""),"",Q377/J377-1)</f>
        <v>-0.35330454350452123</v>
      </c>
      <c r="N377" s="566"/>
      <c r="O377" s="487">
        <f>SUM(O373:O376)</f>
        <v>0</v>
      </c>
      <c r="P377" s="487">
        <f>SUM(P373:P376)</f>
        <v>10.618559453316657</v>
      </c>
      <c r="Q377" s="487">
        <f>IF(AND(O377="",P377=""),"",O377+P377*$F377/1000)</f>
        <v>106.18559453316657</v>
      </c>
      <c r="R377" s="484"/>
      <c r="S377" s="484"/>
      <c r="T377" s="644"/>
      <c r="U377" s="484"/>
      <c r="V377" s="484"/>
      <c r="W377" s="484"/>
      <c r="X377" s="484"/>
      <c r="Y377" s="484"/>
      <c r="Z377" s="484"/>
      <c r="AA377" s="484"/>
      <c r="AB377" s="484"/>
      <c r="AC377" s="484"/>
      <c r="AD377" s="484"/>
      <c r="AE377" s="484"/>
      <c r="AF377" s="484"/>
      <c r="AG377" s="484"/>
      <c r="AH377" s="484"/>
      <c r="AI377" s="484"/>
      <c r="AJ377" s="484"/>
    </row>
    <row r="378" spans="1:36" s="65" customFormat="1" x14ac:dyDescent="0.35">
      <c r="A378" s="30"/>
      <c r="B378" s="30" t="str">
        <f t="shared" si="227"/>
        <v>SAPN</v>
      </c>
      <c r="C378" s="30" t="str">
        <f t="shared" si="227"/>
        <v>Small business</v>
      </c>
      <c r="D378" s="30" t="str">
        <f t="shared" si="227"/>
        <v>flat rate</v>
      </c>
      <c r="E378" s="30"/>
      <c r="F378" s="568"/>
      <c r="G378" s="30" t="s">
        <v>38</v>
      </c>
      <c r="H378" s="482"/>
      <c r="I378" s="482"/>
      <c r="J378" s="482">
        <f>J377*GST</f>
        <v>16.419721751038612</v>
      </c>
      <c r="K378" s="484"/>
      <c r="L378" s="568"/>
      <c r="M378" s="484"/>
      <c r="N378" s="568"/>
      <c r="O378" s="482"/>
      <c r="P378" s="482"/>
      <c r="Q378" s="482">
        <f>Q377*GST</f>
        <v>10.618559453316657</v>
      </c>
      <c r="R378" s="484" t="str">
        <f>IFERROR(Q378/Q407,"")</f>
        <v/>
      </c>
      <c r="S378" s="484"/>
      <c r="T378" s="644"/>
      <c r="U378" s="484"/>
      <c r="V378" s="484"/>
      <c r="W378" s="484"/>
      <c r="X378" s="484"/>
      <c r="Y378" s="484"/>
      <c r="Z378" s="484"/>
      <c r="AA378" s="484"/>
      <c r="AB378" s="484"/>
      <c r="AC378" s="484"/>
      <c r="AD378" s="484"/>
      <c r="AE378" s="484"/>
      <c r="AF378" s="484"/>
      <c r="AG378" s="484"/>
      <c r="AH378" s="484"/>
      <c r="AI378" s="484"/>
      <c r="AJ378" s="484"/>
    </row>
    <row r="379" spans="1:36" s="65" customFormat="1" x14ac:dyDescent="0.35">
      <c r="A379" s="30"/>
      <c r="B379" s="30" t="str">
        <f t="shared" si="227"/>
        <v>SAPN</v>
      </c>
      <c r="C379" s="30" t="str">
        <f t="shared" si="227"/>
        <v>Small business</v>
      </c>
      <c r="D379" s="30" t="str">
        <f t="shared" si="227"/>
        <v>flat rate</v>
      </c>
      <c r="E379" s="30"/>
      <c r="F379" s="568"/>
      <c r="G379" s="64" t="s">
        <v>79</v>
      </c>
      <c r="H379" s="487"/>
      <c r="I379" s="487"/>
      <c r="J379" s="487">
        <f>SUM(J377:J378)</f>
        <v>180.61693926142473</v>
      </c>
      <c r="K379" s="564"/>
      <c r="L379" s="566"/>
      <c r="M379" s="564">
        <f>IF(OR(J379=0,Q379=""),"",Q379/J379-1)</f>
        <v>-0.35330454350452134</v>
      </c>
      <c r="N379" s="566"/>
      <c r="O379" s="487"/>
      <c r="P379" s="487"/>
      <c r="Q379" s="487">
        <f>SUM(Q377:Q378)</f>
        <v>116.80415398648321</v>
      </c>
      <c r="R379" s="484" t="str">
        <f>IFERROR(Q379/Q407,"")</f>
        <v/>
      </c>
      <c r="S379" s="484"/>
      <c r="T379" s="644"/>
      <c r="U379" s="484"/>
      <c r="V379" s="484"/>
      <c r="W379" s="484"/>
      <c r="X379" s="484"/>
      <c r="Y379" s="484"/>
      <c r="Z379" s="484"/>
      <c r="AA379" s="484"/>
      <c r="AB379" s="484"/>
      <c r="AC379" s="484"/>
      <c r="AD379" s="484"/>
      <c r="AE379" s="484"/>
      <c r="AF379" s="484"/>
      <c r="AG379" s="484"/>
      <c r="AH379" s="484"/>
      <c r="AI379" s="484"/>
      <c r="AJ379" s="484"/>
    </row>
    <row r="380" spans="1:36" s="65" customFormat="1" x14ac:dyDescent="0.35">
      <c r="A380" s="30"/>
      <c r="B380" s="30"/>
      <c r="C380" s="30"/>
      <c r="D380" s="30"/>
      <c r="E380" s="570"/>
      <c r="F380" s="485"/>
      <c r="G380" s="571"/>
      <c r="H380" s="577"/>
      <c r="I380" s="577"/>
      <c r="J380" s="577"/>
      <c r="K380" s="578" t="str">
        <f>IFERROR(J380/J407,"")</f>
        <v/>
      </c>
      <c r="L380" s="580"/>
      <c r="M380" s="578"/>
      <c r="N380" s="580"/>
      <c r="O380" s="577"/>
      <c r="P380" s="577"/>
      <c r="Q380" s="577"/>
      <c r="R380" s="575" t="str">
        <f>IFERROR(Q380/Q407,"")</f>
        <v/>
      </c>
      <c r="S380" s="484"/>
      <c r="T380" s="644"/>
      <c r="U380" s="484"/>
      <c r="V380" s="484"/>
      <c r="W380" s="484"/>
      <c r="X380" s="484"/>
      <c r="Y380" s="484"/>
      <c r="Z380" s="484"/>
      <c r="AA380" s="484"/>
      <c r="AB380" s="484"/>
      <c r="AC380" s="484"/>
      <c r="AD380" s="484"/>
      <c r="AE380" s="484"/>
      <c r="AF380" s="484"/>
      <c r="AG380" s="484"/>
      <c r="AH380" s="484"/>
      <c r="AI380" s="484"/>
      <c r="AJ380" s="484"/>
    </row>
    <row r="381" spans="1:36" s="627" customFormat="1" x14ac:dyDescent="0.35">
      <c r="A381" s="570"/>
      <c r="B381" s="571" t="s">
        <v>5</v>
      </c>
      <c r="C381" s="571" t="s">
        <v>13</v>
      </c>
      <c r="D381" s="571" t="s">
        <v>272</v>
      </c>
      <c r="E381" s="570"/>
      <c r="F381" s="485"/>
      <c r="G381" s="570"/>
      <c r="H381" s="574"/>
      <c r="I381" s="574"/>
      <c r="J381" s="574"/>
      <c r="K381" s="575"/>
      <c r="L381" s="582"/>
      <c r="M381" s="575"/>
      <c r="N381" s="582"/>
      <c r="O381" s="574"/>
      <c r="P381" s="574"/>
      <c r="Q381" s="574"/>
      <c r="R381" s="575"/>
      <c r="S381" s="575"/>
      <c r="T381" s="649"/>
      <c r="U381" s="575"/>
      <c r="V381" s="575"/>
      <c r="W381" s="575"/>
      <c r="X381" s="575"/>
      <c r="Y381" s="575"/>
      <c r="Z381" s="575"/>
      <c r="AA381" s="575"/>
      <c r="AB381" s="575"/>
      <c r="AC381" s="575"/>
      <c r="AD381" s="575"/>
      <c r="AE381" s="575"/>
      <c r="AF381" s="575"/>
      <c r="AG381" s="575"/>
      <c r="AH381" s="575"/>
      <c r="AI381" s="575"/>
      <c r="AJ381" s="575"/>
    </row>
    <row r="382" spans="1:36" s="627" customFormat="1" x14ac:dyDescent="0.35">
      <c r="A382" s="570"/>
      <c r="B382" s="570" t="str">
        <f t="shared" ref="B382:D382" si="228">B381</f>
        <v>SAPN</v>
      </c>
      <c r="C382" s="570" t="str">
        <f t="shared" si="228"/>
        <v>Small business</v>
      </c>
      <c r="D382" s="570" t="str">
        <f t="shared" si="228"/>
        <v>time of use</v>
      </c>
      <c r="E382" s="570" t="s">
        <v>279</v>
      </c>
      <c r="F382" s="485" cm="1">
        <f t="array" ref="F382">_xlfn.XLOOKUP(1,($B382=DistributionZone)*($C382=CustomerType)*($D382=tariffL2)*($F$5=Description),valuesPY)*_xlfn.XLOOKUP(1,($B382=DistributionZone)*($C382=CustomerType)*($D382=tariffL2)*($E382=tariffType)*("Usage proportion"=Description),valuesFY)</f>
        <v>5197.5109421105981</v>
      </c>
      <c r="G382" s="570" t="s">
        <v>73</v>
      </c>
      <c r="H382" s="574"/>
      <c r="I382" s="574" cm="1">
        <f t="array" ref="I382">_xlfn.XLOOKUP(1,($B382=DistributionZone)*($G382=Description)*($I$5=Desc_FixedOrVar),valuesPY,0)</f>
        <v>6.1170426505850894</v>
      </c>
      <c r="J382" s="574">
        <f>IF(AND(H382="",I382=""),"",H382+I382*$F382/1000)</f>
        <v>31.793396109773216</v>
      </c>
      <c r="K382" s="575" t="str">
        <f>IFERROR(J382/J386,"")</f>
        <v/>
      </c>
      <c r="L382" s="576"/>
      <c r="M382" s="575">
        <f t="shared" ref="M382:M396" si="229">IF(OR(J382=0,Q382=""),"",Q382/J382-1)</f>
        <v>-0.48482055209325348</v>
      </c>
      <c r="N382" s="576"/>
      <c r="O382" s="574"/>
      <c r="P382" s="574" cm="1">
        <f t="array" ref="P382">_xlfn.XLOOKUP(1,($B382=DistributionZone)*($G382=Description)*($I$5=Desc_FixedOrVar),valuesFY,0)</f>
        <v>3.1513746555504474</v>
      </c>
      <c r="Q382" s="574">
        <f t="shared" ref="Q382:Q396" si="230">IF(AND(O382="",P382=""),"",O382+P382*$F382/1000)</f>
        <v>16.379304254913468</v>
      </c>
      <c r="R382" s="575">
        <f>IFERROR(Q382/Q386,"")</f>
        <v>0.29677986636559539</v>
      </c>
      <c r="S382" s="575"/>
      <c r="T382" s="634"/>
      <c r="U382" s="575"/>
      <c r="V382" s="575"/>
      <c r="W382" s="575"/>
      <c r="X382" s="575"/>
      <c r="Y382" s="575"/>
      <c r="Z382" s="575"/>
      <c r="AA382" s="575"/>
      <c r="AB382" s="575"/>
      <c r="AC382" s="575"/>
      <c r="AD382" s="575"/>
      <c r="AE382" s="575"/>
      <c r="AF382" s="575"/>
      <c r="AG382" s="575"/>
      <c r="AH382" s="575"/>
      <c r="AI382" s="575"/>
      <c r="AJ382" s="575"/>
    </row>
    <row r="383" spans="1:36" s="627" customFormat="1" x14ac:dyDescent="0.35">
      <c r="A383" s="570"/>
      <c r="B383" s="570" t="str">
        <f t="shared" ref="B383:D383" si="231">B382</f>
        <v>SAPN</v>
      </c>
      <c r="C383" s="570" t="str">
        <f t="shared" si="231"/>
        <v>Small business</v>
      </c>
      <c r="D383" s="570" t="str">
        <f t="shared" si="231"/>
        <v>time of use</v>
      </c>
      <c r="E383" s="570" t="str">
        <f t="shared" ref="E383" si="232">E382</f>
        <v>time of use (Off-peak)</v>
      </c>
      <c r="F383" s="485">
        <f>F382</f>
        <v>5197.5109421105981</v>
      </c>
      <c r="G383" s="570" t="s">
        <v>74</v>
      </c>
      <c r="H383" s="574"/>
      <c r="I383" s="574" cm="1">
        <f t="array" ref="I383">_xlfn.XLOOKUP(1,($B383=DistributionZone)*($G383=Description)*($I$5=Desc_FixedOrVar),valuesPY,0)</f>
        <v>5.1359999999999992</v>
      </c>
      <c r="J383" s="574">
        <f>IF(AND(H383="",I383=""),"",H383+I383*$F383/1000)</f>
        <v>26.694416198680027</v>
      </c>
      <c r="K383" s="575" t="str">
        <f>IFERROR(J383/J386,"")</f>
        <v/>
      </c>
      <c r="L383" s="576"/>
      <c r="M383" s="575">
        <f t="shared" si="229"/>
        <v>-0.12694704049844219</v>
      </c>
      <c r="N383" s="576"/>
      <c r="O383" s="574"/>
      <c r="P383" s="574" cm="1">
        <f t="array" ref="P383">_xlfn.XLOOKUP(1,($B383=DistributionZone)*($G383=Description)*($I$5=Desc_FixedOrVar),valuesFY,0)</f>
        <v>4.484</v>
      </c>
      <c r="Q383" s="574">
        <f t="shared" si="230"/>
        <v>23.305639064423922</v>
      </c>
      <c r="R383" s="575">
        <f>IFERROR(Q383/Q386,"")</f>
        <v>0.42227950219739491</v>
      </c>
      <c r="S383" s="575"/>
      <c r="T383" s="649"/>
      <c r="U383" s="575"/>
      <c r="V383" s="575"/>
      <c r="W383" s="575"/>
      <c r="X383" s="575"/>
      <c r="Y383" s="575"/>
      <c r="Z383" s="575"/>
      <c r="AA383" s="575"/>
      <c r="AB383" s="575"/>
      <c r="AC383" s="575"/>
      <c r="AD383" s="575"/>
      <c r="AE383" s="575"/>
      <c r="AF383" s="575"/>
      <c r="AG383" s="575"/>
      <c r="AH383" s="575"/>
      <c r="AI383" s="575"/>
      <c r="AJ383" s="575"/>
    </row>
    <row r="384" spans="1:36" s="627" customFormat="1" x14ac:dyDescent="0.35">
      <c r="A384" s="570"/>
      <c r="B384" s="570" t="str">
        <f t="shared" ref="B384:D384" si="233">B383</f>
        <v>SAPN</v>
      </c>
      <c r="C384" s="570" t="str">
        <f t="shared" si="233"/>
        <v>Small business</v>
      </c>
      <c r="D384" s="570" t="str">
        <f t="shared" si="233"/>
        <v>time of use</v>
      </c>
      <c r="E384" s="570" t="str">
        <f t="shared" ref="E384" si="234">E383</f>
        <v>time of use (Off-peak)</v>
      </c>
      <c r="F384" s="485">
        <f>F383</f>
        <v>5197.5109421105981</v>
      </c>
      <c r="G384" s="570" t="s">
        <v>156</v>
      </c>
      <c r="H384" s="574"/>
      <c r="I384" s="574" cm="1">
        <f t="array" ref="I384">_xlfn.XLOOKUP(1,($B384=DistributionZone)*($G384=Description)*($I$5=Desc_FixedOrVar),valuesPY,0)</f>
        <v>4.0580163456251253</v>
      </c>
      <c r="J384" s="574">
        <f>IF(AND(H384="",I384=""),"",H384+I384*$F384/1000)</f>
        <v>21.091584359650252</v>
      </c>
      <c r="K384" s="575" t="str">
        <f>IFERROR(J384/J386,"")</f>
        <v/>
      </c>
      <c r="L384" s="576"/>
      <c r="M384" s="575">
        <f t="shared" si="229"/>
        <v>-0.53379002233804917</v>
      </c>
      <c r="N384" s="576"/>
      <c r="O384" s="574"/>
      <c r="P384" s="574" cm="1">
        <f t="array" ref="P384">_xlfn.XLOOKUP(1,($B384=DistributionZone)*($G384=Description)*($I$5=Desc_FixedOrVar),valuesFY,0)</f>
        <v>1.8918877098457212</v>
      </c>
      <c r="Q384" s="574">
        <f t="shared" si="230"/>
        <v>9.8331070731676959</v>
      </c>
      <c r="R384" s="575">
        <f>IFERROR(Q384/Q386,"")</f>
        <v>0.1781680196982651</v>
      </c>
      <c r="S384" s="575"/>
      <c r="T384" s="649"/>
      <c r="U384" s="575"/>
      <c r="V384" s="575"/>
      <c r="W384" s="575"/>
      <c r="X384" s="575"/>
      <c r="Y384" s="575"/>
      <c r="Z384" s="575"/>
      <c r="AA384" s="575"/>
      <c r="AB384" s="575"/>
      <c r="AC384" s="575"/>
      <c r="AD384" s="575"/>
      <c r="AE384" s="575"/>
      <c r="AF384" s="575"/>
      <c r="AG384" s="575"/>
      <c r="AH384" s="575"/>
      <c r="AI384" s="575"/>
      <c r="AJ384" s="575"/>
    </row>
    <row r="385" spans="1:36" s="627" customFormat="1" x14ac:dyDescent="0.35">
      <c r="A385" s="570"/>
      <c r="B385" s="570" t="str">
        <f t="shared" ref="B385:D385" si="235">B384</f>
        <v>SAPN</v>
      </c>
      <c r="C385" s="570" t="str">
        <f t="shared" si="235"/>
        <v>Small business</v>
      </c>
      <c r="D385" s="570" t="str">
        <f t="shared" si="235"/>
        <v>time of use</v>
      </c>
      <c r="E385" s="570" t="str">
        <f t="shared" ref="E385" si="236">E384</f>
        <v>time of use (Off-peak)</v>
      </c>
      <c r="F385" s="485">
        <f>F384</f>
        <v>5197.5109421105981</v>
      </c>
      <c r="G385" s="570" t="s">
        <v>72</v>
      </c>
      <c r="H385" s="574"/>
      <c r="I385" s="574" cm="1">
        <f t="array" ref="I385">_xlfn.XLOOKUP(1,($B385=DistributionZone)*($C385=CustomerType)*($D385=tariffL2)*($G385=Description)*($I$5=Desc_FixedOrVar),valuesPY,0)*SUM(I382:I384)</f>
        <v>0</v>
      </c>
      <c r="J385" s="574">
        <f>IF(AND(H385="",I385=""),"",H385+I385*$F385/1000)</f>
        <v>0</v>
      </c>
      <c r="K385" s="575" t="str">
        <f>IFERROR(J385/J386,"")</f>
        <v/>
      </c>
      <c r="L385" s="576"/>
      <c r="M385" s="575" t="str">
        <f t="shared" si="229"/>
        <v/>
      </c>
      <c r="N385" s="576"/>
      <c r="O385" s="574"/>
      <c r="P385" s="574" cm="1">
        <f t="array" ref="P385">_xlfn.XLOOKUP(1,($B385=DistributionZone)*($C385=CustomerType)*($D385=tariffL2)*($G385=Description)*($P$5=Desc_FixedOrVar),valuesFY,0)*SUM(P382:P384)</f>
        <v>1.091297087920488</v>
      </c>
      <c r="Q385" s="574">
        <f t="shared" si="230"/>
        <v>5.6720285555601677</v>
      </c>
      <c r="R385" s="575">
        <f>IFERROR(Q385/Q386,"")</f>
        <v>0.10277261173874451</v>
      </c>
      <c r="S385" s="575"/>
      <c r="T385" s="649"/>
      <c r="U385" s="575"/>
      <c r="V385" s="575"/>
      <c r="W385" s="575"/>
      <c r="X385" s="575"/>
      <c r="Y385" s="575"/>
      <c r="Z385" s="575"/>
      <c r="AA385" s="575"/>
      <c r="AB385" s="575"/>
      <c r="AC385" s="575"/>
      <c r="AD385" s="575"/>
      <c r="AE385" s="575"/>
      <c r="AF385" s="575"/>
      <c r="AG385" s="575"/>
      <c r="AH385" s="575"/>
      <c r="AI385" s="575"/>
      <c r="AJ385" s="575"/>
    </row>
    <row r="386" spans="1:36" s="627" customFormat="1" x14ac:dyDescent="0.35">
      <c r="A386" s="570"/>
      <c r="B386" s="570" t="str">
        <f t="shared" ref="B386:D386" si="237">B385</f>
        <v>SAPN</v>
      </c>
      <c r="C386" s="570" t="str">
        <f t="shared" si="237"/>
        <v>Small business</v>
      </c>
      <c r="D386" s="570" t="str">
        <f t="shared" si="237"/>
        <v>time of use</v>
      </c>
      <c r="E386" s="570" t="str">
        <f t="shared" ref="E386" si="238">E385</f>
        <v>time of use (Off-peak)</v>
      </c>
      <c r="F386" s="485">
        <f>F385</f>
        <v>5197.5109421105981</v>
      </c>
      <c r="G386" s="571" t="s">
        <v>55</v>
      </c>
      <c r="H386" s="577">
        <f>SUM(H382:H385)</f>
        <v>0</v>
      </c>
      <c r="I386" s="577">
        <f>IF($H$3=PY,0,SUM(I382:I385))</f>
        <v>0</v>
      </c>
      <c r="J386" s="577">
        <f>IF($H$3=PY,0,SUM(J382:J385))</f>
        <v>0</v>
      </c>
      <c r="K386" s="578"/>
      <c r="L386" s="580"/>
      <c r="M386" s="578" t="str">
        <f t="shared" si="229"/>
        <v/>
      </c>
      <c r="N386" s="580"/>
      <c r="O386" s="577">
        <f>SUM(O382:O385)</f>
        <v>0</v>
      </c>
      <c r="P386" s="577">
        <f>SUM(P382:P385)</f>
        <v>10.618559453316657</v>
      </c>
      <c r="Q386" s="577">
        <f t="shared" si="230"/>
        <v>55.190078948065256</v>
      </c>
      <c r="R386" s="575"/>
      <c r="S386" s="575"/>
      <c r="T386" s="649"/>
      <c r="U386" s="575"/>
      <c r="V386" s="575"/>
      <c r="W386" s="575"/>
      <c r="X386" s="575"/>
      <c r="Y386" s="575"/>
      <c r="Z386" s="575"/>
      <c r="AA386" s="575"/>
      <c r="AB386" s="575"/>
      <c r="AC386" s="575"/>
      <c r="AD386" s="575"/>
      <c r="AE386" s="575"/>
      <c r="AF386" s="575"/>
      <c r="AG386" s="575"/>
      <c r="AH386" s="575"/>
      <c r="AI386" s="575"/>
      <c r="AJ386" s="575"/>
    </row>
    <row r="387" spans="1:36" s="627" customFormat="1" x14ac:dyDescent="0.35">
      <c r="A387" s="570"/>
      <c r="B387" s="570" t="str">
        <f t="shared" ref="B387:D387" si="239">B386</f>
        <v>SAPN</v>
      </c>
      <c r="C387" s="570" t="str">
        <f t="shared" si="239"/>
        <v>Small business</v>
      </c>
      <c r="D387" s="570" t="str">
        <f t="shared" si="239"/>
        <v>time of use</v>
      </c>
      <c r="E387" s="570" t="s">
        <v>278</v>
      </c>
      <c r="F387" s="485" cm="1">
        <f t="array" ref="F387">_xlfn.XLOOKUP(1,($B387=DistributionZone)*($C387=CustomerType)*($D387=tariffL2)*($F$5=Description),valuesPY)*_xlfn.XLOOKUP(1,($B387=DistributionZone)*($C387=CustomerType)*($D387=tariffL2)*($E387=tariffType)*("Usage proportion"=Description),valuesFY)</f>
        <v>818.79677302339985</v>
      </c>
      <c r="G387" s="570" t="s">
        <v>73</v>
      </c>
      <c r="H387" s="574"/>
      <c r="I387" s="574" cm="1">
        <f t="array" ref="I387">_xlfn.XLOOKUP(1,($B387=DistributionZone)*($G387=Description)*($I$5=Desc_FixedOrVar),valuesPY,0)</f>
        <v>6.1170426505850894</v>
      </c>
      <c r="J387" s="574">
        <f>IF(AND(H387="",I387=""),"",H387+I387*$F387/1000)</f>
        <v>5.0086147827455765</v>
      </c>
      <c r="K387" s="575" t="str">
        <f>IFERROR(J387/J391,"")</f>
        <v/>
      </c>
      <c r="L387" s="576"/>
      <c r="M387" s="575">
        <f t="shared" si="229"/>
        <v>-0.4848205520932537</v>
      </c>
      <c r="N387" s="576"/>
      <c r="O387" s="574"/>
      <c r="P387" s="574" cm="1">
        <f t="array" ref="P387">_xlfn.XLOOKUP(1,($B387=DistributionZone)*($G387=Description)*($I$5=Desc_FixedOrVar),valuesFY,0)</f>
        <v>3.1513746555504474</v>
      </c>
      <c r="Q387" s="574">
        <f t="shared" si="230"/>
        <v>2.5803353985524344</v>
      </c>
      <c r="R387" s="575">
        <f>IFERROR(Q387/Q391,"")</f>
        <v>0.29677986636559539</v>
      </c>
      <c r="S387" s="575"/>
      <c r="T387" s="634"/>
      <c r="U387" s="575"/>
      <c r="V387" s="575"/>
      <c r="W387" s="575"/>
      <c r="X387" s="575"/>
      <c r="Y387" s="575"/>
      <c r="Z387" s="575"/>
      <c r="AA387" s="575"/>
      <c r="AB387" s="575"/>
      <c r="AC387" s="575"/>
      <c r="AD387" s="575"/>
      <c r="AE387" s="575"/>
      <c r="AF387" s="575"/>
      <c r="AG387" s="575"/>
      <c r="AH387" s="575"/>
      <c r="AI387" s="575"/>
      <c r="AJ387" s="575"/>
    </row>
    <row r="388" spans="1:36" s="627" customFormat="1" x14ac:dyDescent="0.35">
      <c r="A388" s="570"/>
      <c r="B388" s="570" t="str">
        <f t="shared" ref="B388:D388" si="240">B387</f>
        <v>SAPN</v>
      </c>
      <c r="C388" s="570" t="str">
        <f t="shared" si="240"/>
        <v>Small business</v>
      </c>
      <c r="D388" s="570" t="str">
        <f t="shared" si="240"/>
        <v>time of use</v>
      </c>
      <c r="E388" s="570" t="str">
        <f t="shared" ref="E388" si="241">E387</f>
        <v>time of use (Peak)</v>
      </c>
      <c r="F388" s="485">
        <f>F387</f>
        <v>818.79677302339985</v>
      </c>
      <c r="G388" s="570" t="s">
        <v>74</v>
      </c>
      <c r="H388" s="574"/>
      <c r="I388" s="574" cm="1">
        <f t="array" ref="I388">_xlfn.XLOOKUP(1,($B388=DistributionZone)*($G388=Description)*($I$5=Desc_FixedOrVar),valuesPY,0)</f>
        <v>5.1359999999999992</v>
      </c>
      <c r="J388" s="574">
        <f>IF(AND(H388="",I388=""),"",H388+I388*$F388/1000)</f>
        <v>4.2053402262481816</v>
      </c>
      <c r="K388" s="575" t="str">
        <f>IFERROR(J388/J391,"")</f>
        <v/>
      </c>
      <c r="L388" s="576"/>
      <c r="M388" s="575">
        <f t="shared" si="229"/>
        <v>-0.12694704049844241</v>
      </c>
      <c r="N388" s="576"/>
      <c r="O388" s="574"/>
      <c r="P388" s="574" cm="1">
        <f t="array" ref="P388">_xlfn.XLOOKUP(1,($B388=DistributionZone)*($G388=Description)*($I$5=Desc_FixedOrVar),valuesFY,0)</f>
        <v>4.484</v>
      </c>
      <c r="Q388" s="574">
        <f t="shared" si="230"/>
        <v>3.6714847302369247</v>
      </c>
      <c r="R388" s="575">
        <f>IFERROR(Q388/Q391,"")</f>
        <v>0.42227950219739491</v>
      </c>
      <c r="S388" s="575"/>
      <c r="T388" s="649"/>
      <c r="U388" s="575"/>
      <c r="V388" s="575"/>
      <c r="W388" s="575"/>
      <c r="X388" s="575"/>
      <c r="Y388" s="575"/>
      <c r="Z388" s="575"/>
      <c r="AA388" s="575"/>
      <c r="AB388" s="575"/>
      <c r="AC388" s="575"/>
      <c r="AD388" s="575"/>
      <c r="AE388" s="575"/>
      <c r="AF388" s="575"/>
      <c r="AG388" s="575"/>
      <c r="AH388" s="575"/>
      <c r="AI388" s="575"/>
      <c r="AJ388" s="575"/>
    </row>
    <row r="389" spans="1:36" s="627" customFormat="1" x14ac:dyDescent="0.35">
      <c r="A389" s="570"/>
      <c r="B389" s="570" t="str">
        <f t="shared" ref="B389:D389" si="242">B388</f>
        <v>SAPN</v>
      </c>
      <c r="C389" s="570" t="str">
        <f t="shared" si="242"/>
        <v>Small business</v>
      </c>
      <c r="D389" s="570" t="str">
        <f t="shared" si="242"/>
        <v>time of use</v>
      </c>
      <c r="E389" s="570" t="str">
        <f t="shared" ref="E389" si="243">E388</f>
        <v>time of use (Peak)</v>
      </c>
      <c r="F389" s="485">
        <f>F388</f>
        <v>818.79677302339985</v>
      </c>
      <c r="G389" s="570" t="s">
        <v>156</v>
      </c>
      <c r="H389" s="574"/>
      <c r="I389" s="574" cm="1">
        <f t="array" ref="I389">_xlfn.XLOOKUP(1,($B389=DistributionZone)*($G389=Description)*($I$5=Desc_FixedOrVar),valuesPY,0)</f>
        <v>4.0580163456251253</v>
      </c>
      <c r="J389" s="574">
        <f>IF(AND(H389="",I389=""),"",H389+I389*$F389/1000)</f>
        <v>3.3226906886740619</v>
      </c>
      <c r="K389" s="575" t="str">
        <f>IFERROR(J389/J391,"")</f>
        <v/>
      </c>
      <c r="L389" s="576"/>
      <c r="M389" s="575">
        <f t="shared" si="229"/>
        <v>-0.53379002233804906</v>
      </c>
      <c r="N389" s="576"/>
      <c r="O389" s="574"/>
      <c r="P389" s="574" cm="1">
        <f t="array" ref="P389">_xlfn.XLOOKUP(1,($B389=DistributionZone)*($G389=Description)*($I$5=Desc_FixedOrVar),valuesFY,0)</f>
        <v>1.8918877098457212</v>
      </c>
      <c r="Q389" s="574">
        <f t="shared" si="230"/>
        <v>1.5490715517443068</v>
      </c>
      <c r="R389" s="575">
        <f>IFERROR(Q389/Q391,"")</f>
        <v>0.1781680196982651</v>
      </c>
      <c r="S389" s="575"/>
      <c r="T389" s="649"/>
      <c r="U389" s="575"/>
      <c r="V389" s="575"/>
      <c r="W389" s="575"/>
      <c r="X389" s="575"/>
      <c r="Y389" s="575"/>
      <c r="Z389" s="575"/>
      <c r="AA389" s="575"/>
      <c r="AB389" s="575"/>
      <c r="AC389" s="575"/>
      <c r="AD389" s="575"/>
      <c r="AE389" s="575"/>
      <c r="AF389" s="575"/>
      <c r="AG389" s="575"/>
      <c r="AH389" s="575"/>
      <c r="AI389" s="575"/>
      <c r="AJ389" s="575"/>
    </row>
    <row r="390" spans="1:36" s="627" customFormat="1" x14ac:dyDescent="0.35">
      <c r="A390" s="570"/>
      <c r="B390" s="570" t="str">
        <f t="shared" ref="B390:D390" si="244">B389</f>
        <v>SAPN</v>
      </c>
      <c r="C390" s="570" t="str">
        <f t="shared" si="244"/>
        <v>Small business</v>
      </c>
      <c r="D390" s="570" t="str">
        <f t="shared" si="244"/>
        <v>time of use</v>
      </c>
      <c r="E390" s="570" t="str">
        <f t="shared" ref="E390" si="245">E389</f>
        <v>time of use (Peak)</v>
      </c>
      <c r="F390" s="485">
        <f>F389</f>
        <v>818.79677302339985</v>
      </c>
      <c r="G390" s="570" t="s">
        <v>72</v>
      </c>
      <c r="H390" s="574"/>
      <c r="I390" s="574" cm="1">
        <f t="array" ref="I390">_xlfn.XLOOKUP(1,($B390=DistributionZone)*($C390=CustomerType)*($D390=tariffL2)*($G390=Description)*($I$5=Desc_FixedOrVar),valuesPY,0)*SUM(I387:I389)</f>
        <v>0</v>
      </c>
      <c r="J390" s="574">
        <f>IF(AND(H390="",I390=""),"",H390+I390*$F390/1000)</f>
        <v>0</v>
      </c>
      <c r="K390" s="575" t="str">
        <f>IFERROR(J390/J391,"")</f>
        <v/>
      </c>
      <c r="L390" s="576"/>
      <c r="M390" s="575" t="str">
        <f t="shared" si="229"/>
        <v/>
      </c>
      <c r="N390" s="576"/>
      <c r="O390" s="574"/>
      <c r="P390" s="574" cm="1">
        <f t="array" ref="P390">_xlfn.XLOOKUP(1,($B390=DistributionZone)*($C390=CustomerType)*($D390=tariffL2)*($G390=Description)*($P$5=Desc_FixedOrVar),valuesFY,0)*SUM(P387:P389)</f>
        <v>1.091297087920488</v>
      </c>
      <c r="Q390" s="574">
        <f t="shared" si="230"/>
        <v>0.89355053399912898</v>
      </c>
      <c r="R390" s="575">
        <f>IFERROR(Q390/Q391,"")</f>
        <v>0.10277261173874451</v>
      </c>
      <c r="S390" s="575"/>
      <c r="T390" s="649"/>
      <c r="U390" s="575"/>
      <c r="V390" s="575"/>
      <c r="W390" s="575"/>
      <c r="X390" s="575"/>
      <c r="Y390" s="575"/>
      <c r="Z390" s="575"/>
      <c r="AA390" s="575"/>
      <c r="AB390" s="575"/>
      <c r="AC390" s="575"/>
      <c r="AD390" s="575"/>
      <c r="AE390" s="575"/>
      <c r="AF390" s="575"/>
      <c r="AG390" s="575"/>
      <c r="AH390" s="575"/>
      <c r="AI390" s="575"/>
      <c r="AJ390" s="575"/>
    </row>
    <row r="391" spans="1:36" s="627" customFormat="1" x14ac:dyDescent="0.35">
      <c r="A391" s="570"/>
      <c r="B391" s="570" t="str">
        <f t="shared" ref="B391:D391" si="246">B390</f>
        <v>SAPN</v>
      </c>
      <c r="C391" s="570" t="str">
        <f t="shared" si="246"/>
        <v>Small business</v>
      </c>
      <c r="D391" s="570" t="str">
        <f t="shared" si="246"/>
        <v>time of use</v>
      </c>
      <c r="E391" s="570" t="str">
        <f t="shared" ref="E391" si="247">E390</f>
        <v>time of use (Peak)</v>
      </c>
      <c r="F391" s="485">
        <f>F390</f>
        <v>818.79677302339985</v>
      </c>
      <c r="G391" s="571" t="s">
        <v>55</v>
      </c>
      <c r="H391" s="577">
        <f>SUM(H387:H390)</f>
        <v>0</v>
      </c>
      <c r="I391" s="577">
        <f>IF($H$3=PY,0,SUM(I387:I390))</f>
        <v>0</v>
      </c>
      <c r="J391" s="577">
        <f>IF($H$3=PY,0,SUM(J387:J390))</f>
        <v>0</v>
      </c>
      <c r="K391" s="578"/>
      <c r="L391" s="580"/>
      <c r="M391" s="578" t="str">
        <f t="shared" si="229"/>
        <v/>
      </c>
      <c r="N391" s="580"/>
      <c r="O391" s="577">
        <f>SUM(O387:O390)</f>
        <v>0</v>
      </c>
      <c r="P391" s="577">
        <f>SUM(P387:P390)</f>
        <v>10.618559453316657</v>
      </c>
      <c r="Q391" s="577">
        <f t="shared" si="230"/>
        <v>8.6944422145327955</v>
      </c>
      <c r="R391" s="575"/>
      <c r="S391" s="575"/>
      <c r="T391" s="649"/>
      <c r="U391" s="575"/>
      <c r="V391" s="575"/>
      <c r="W391" s="575"/>
      <c r="X391" s="575"/>
      <c r="Y391" s="575"/>
      <c r="Z391" s="575"/>
      <c r="AA391" s="575"/>
      <c r="AB391" s="575"/>
      <c r="AC391" s="575"/>
      <c r="AD391" s="575"/>
      <c r="AE391" s="575"/>
      <c r="AF391" s="575"/>
      <c r="AG391" s="575"/>
      <c r="AH391" s="575"/>
      <c r="AI391" s="575"/>
      <c r="AJ391" s="575"/>
    </row>
    <row r="392" spans="1:36" s="627" customFormat="1" x14ac:dyDescent="0.35">
      <c r="A392" s="570"/>
      <c r="B392" s="570" t="str">
        <f t="shared" ref="B392:D392" si="248">B391</f>
        <v>SAPN</v>
      </c>
      <c r="C392" s="570" t="str">
        <f t="shared" si="248"/>
        <v>Small business</v>
      </c>
      <c r="D392" s="570" t="str">
        <f t="shared" si="248"/>
        <v>time of use</v>
      </c>
      <c r="E392" s="570" t="s">
        <v>284</v>
      </c>
      <c r="F392" s="485" cm="1">
        <f t="array" ref="F392">_xlfn.XLOOKUP(1,($B392=DistributionZone)*($C392=CustomerType)*($D392=tariffL2)*($F$5=Description),valuesPY)*_xlfn.XLOOKUP(1,($B392=DistributionZone)*($C392=CustomerType)*($D392=tariffL2)*($E392=tariffType)*("Usage proportion"=Description),valuesFY)</f>
        <v>3983.692284866001</v>
      </c>
      <c r="G392" s="570" t="s">
        <v>73</v>
      </c>
      <c r="H392" s="574"/>
      <c r="I392" s="574" cm="1">
        <f t="array" ref="I392">_xlfn.XLOOKUP(1,($B392=DistributionZone)*($G392=Description)*($I$5=Desc_FixedOrVar),valuesPY,0)</f>
        <v>6.1170426505850894</v>
      </c>
      <c r="J392" s="574">
        <f>IF(AND(H392="",I392=""),"",H392+I392*$F392/1000)</f>
        <v>24.368415613332093</v>
      </c>
      <c r="K392" s="575" t="str">
        <f>IFERROR(J392/J396,"")</f>
        <v/>
      </c>
      <c r="L392" s="576"/>
      <c r="M392" s="575">
        <f t="shared" si="229"/>
        <v>-0.48482055209325348</v>
      </c>
      <c r="N392" s="576"/>
      <c r="O392" s="574"/>
      <c r="P392" s="574" cm="1">
        <f t="array" ref="P392">_xlfn.XLOOKUP(1,($B392=DistributionZone)*($G392=Description)*($I$5=Desc_FixedOrVar),valuesFY,0)</f>
        <v>3.1513746555504474</v>
      </c>
      <c r="Q392" s="574">
        <f t="shared" si="230"/>
        <v>12.554106902038569</v>
      </c>
      <c r="R392" s="575">
        <f>IFERROR(Q392/Q396,"")</f>
        <v>0.29677986636559545</v>
      </c>
      <c r="S392" s="575"/>
      <c r="T392" s="634"/>
      <c r="U392" s="575"/>
      <c r="V392" s="575"/>
      <c r="W392" s="575"/>
      <c r="X392" s="575"/>
      <c r="Y392" s="575"/>
      <c r="Z392" s="575"/>
      <c r="AA392" s="575"/>
      <c r="AB392" s="575"/>
      <c r="AC392" s="575"/>
      <c r="AD392" s="575"/>
      <c r="AE392" s="575"/>
      <c r="AF392" s="575"/>
      <c r="AG392" s="575"/>
      <c r="AH392" s="575"/>
      <c r="AI392" s="575"/>
      <c r="AJ392" s="575"/>
    </row>
    <row r="393" spans="1:36" s="627" customFormat="1" x14ac:dyDescent="0.35">
      <c r="A393" s="570"/>
      <c r="B393" s="570" t="str">
        <f t="shared" ref="B393:D393" si="249">B392</f>
        <v>SAPN</v>
      </c>
      <c r="C393" s="570" t="str">
        <f t="shared" si="249"/>
        <v>Small business</v>
      </c>
      <c r="D393" s="570" t="str">
        <f t="shared" si="249"/>
        <v>time of use</v>
      </c>
      <c r="E393" s="570" t="str">
        <f t="shared" ref="E393:E396" si="250">E392</f>
        <v>time of use (Solar Soak/Shoulder)</v>
      </c>
      <c r="F393" s="485">
        <f>F392</f>
        <v>3983.692284866001</v>
      </c>
      <c r="G393" s="570" t="s">
        <v>74</v>
      </c>
      <c r="H393" s="574"/>
      <c r="I393" s="574" cm="1">
        <f t="array" ref="I393">_xlfn.XLOOKUP(1,($B393=DistributionZone)*($G393=Description)*($I$5=Desc_FixedOrVar),valuesPY,0)</f>
        <v>5.1359999999999992</v>
      </c>
      <c r="J393" s="574">
        <f>IF(AND(H393="",I393=""),"",H393+I393*$F393/1000)</f>
        <v>20.460243575071779</v>
      </c>
      <c r="K393" s="575" t="str">
        <f>IFERROR(J393/J396,"")</f>
        <v/>
      </c>
      <c r="L393" s="576"/>
      <c r="M393" s="575">
        <f t="shared" si="229"/>
        <v>-0.1269470404984423</v>
      </c>
      <c r="N393" s="576"/>
      <c r="O393" s="574"/>
      <c r="P393" s="574" cm="1">
        <f t="array" ref="P393">_xlfn.XLOOKUP(1,($B393=DistributionZone)*($G393=Description)*($I$5=Desc_FixedOrVar),valuesFY,0)</f>
        <v>4.484</v>
      </c>
      <c r="Q393" s="574">
        <f t="shared" si="230"/>
        <v>17.862876205339148</v>
      </c>
      <c r="R393" s="575">
        <f>IFERROR(Q393/Q396,"")</f>
        <v>0.42227950219739496</v>
      </c>
      <c r="S393" s="575"/>
      <c r="T393" s="649"/>
      <c r="U393" s="575"/>
      <c r="V393" s="575"/>
      <c r="W393" s="575"/>
      <c r="X393" s="575"/>
      <c r="Y393" s="575"/>
      <c r="Z393" s="575"/>
      <c r="AA393" s="575"/>
      <c r="AB393" s="575"/>
      <c r="AC393" s="575"/>
      <c r="AD393" s="575"/>
      <c r="AE393" s="575"/>
      <c r="AF393" s="575"/>
      <c r="AG393" s="575"/>
      <c r="AH393" s="575"/>
      <c r="AI393" s="575"/>
      <c r="AJ393" s="575"/>
    </row>
    <row r="394" spans="1:36" s="627" customFormat="1" x14ac:dyDescent="0.35">
      <c r="A394" s="570"/>
      <c r="B394" s="570" t="str">
        <f t="shared" ref="B394:D394" si="251">B393</f>
        <v>SAPN</v>
      </c>
      <c r="C394" s="570" t="str">
        <f t="shared" si="251"/>
        <v>Small business</v>
      </c>
      <c r="D394" s="570" t="str">
        <f t="shared" si="251"/>
        <v>time of use</v>
      </c>
      <c r="E394" s="570" t="str">
        <f t="shared" si="250"/>
        <v>time of use (Solar Soak/Shoulder)</v>
      </c>
      <c r="F394" s="485">
        <f>F393</f>
        <v>3983.692284866001</v>
      </c>
      <c r="G394" s="570" t="s">
        <v>156</v>
      </c>
      <c r="H394" s="574"/>
      <c r="I394" s="574" cm="1">
        <f t="array" ref="I394">_xlfn.XLOOKUP(1,($B394=DistributionZone)*($G394=Description)*($I$5=Desc_FixedOrVar),valuesPY,0)</f>
        <v>4.0580163456251253</v>
      </c>
      <c r="J394" s="574">
        <f>IF(AND(H394="",I394=""),"",H394+I394*$F394/1000)</f>
        <v>16.165888407926936</v>
      </c>
      <c r="K394" s="575" t="str">
        <f>IFERROR(J394/J396,"")</f>
        <v/>
      </c>
      <c r="L394" s="576"/>
      <c r="M394" s="575">
        <f t="shared" si="229"/>
        <v>-0.53379002233804917</v>
      </c>
      <c r="N394" s="576"/>
      <c r="O394" s="574"/>
      <c r="P394" s="574" cm="1">
        <f t="array" ref="P394">_xlfn.XLOOKUP(1,($B394=DistributionZone)*($G394=Description)*($I$5=Desc_FixedOrVar),valuesFY,0)</f>
        <v>1.8918877098457212</v>
      </c>
      <c r="Q394" s="574">
        <f t="shared" si="230"/>
        <v>7.5366984735452069</v>
      </c>
      <c r="R394" s="575">
        <f>IFERROR(Q394/Q396,"")</f>
        <v>0.17816801969826512</v>
      </c>
      <c r="S394" s="575"/>
      <c r="T394" s="649"/>
      <c r="U394" s="575"/>
      <c r="V394" s="575"/>
      <c r="W394" s="575"/>
      <c r="X394" s="575"/>
      <c r="Y394" s="575"/>
      <c r="Z394" s="575"/>
      <c r="AA394" s="575"/>
      <c r="AB394" s="575"/>
      <c r="AC394" s="575"/>
      <c r="AD394" s="575"/>
      <c r="AE394" s="575"/>
      <c r="AF394" s="575"/>
      <c r="AG394" s="575"/>
      <c r="AH394" s="575"/>
      <c r="AI394" s="575"/>
      <c r="AJ394" s="575"/>
    </row>
    <row r="395" spans="1:36" s="627" customFormat="1" x14ac:dyDescent="0.35">
      <c r="A395" s="570"/>
      <c r="B395" s="570" t="str">
        <f t="shared" ref="B395:D395" si="252">B394</f>
        <v>SAPN</v>
      </c>
      <c r="C395" s="570" t="str">
        <f t="shared" si="252"/>
        <v>Small business</v>
      </c>
      <c r="D395" s="570" t="str">
        <f t="shared" si="252"/>
        <v>time of use</v>
      </c>
      <c r="E395" s="570" t="str">
        <f t="shared" si="250"/>
        <v>time of use (Solar Soak/Shoulder)</v>
      </c>
      <c r="F395" s="485">
        <f>F394</f>
        <v>3983.692284866001</v>
      </c>
      <c r="G395" s="570" t="s">
        <v>72</v>
      </c>
      <c r="H395" s="574"/>
      <c r="I395" s="574" cm="1">
        <f t="array" ref="I395">_xlfn.XLOOKUP(1,($B395=DistributionZone)*($C395=CustomerType)*($D395=tariffL2)*($G395=Description)*($I$5=Desc_FixedOrVar),valuesPY,0)*SUM(I392:I394)</f>
        <v>0</v>
      </c>
      <c r="J395" s="574">
        <f>IF(AND(H395="",I395=""),"",H395+I395*$F395/1000)</f>
        <v>0</v>
      </c>
      <c r="K395" s="575" t="str">
        <f>IFERROR(J395/J396,"")</f>
        <v/>
      </c>
      <c r="L395" s="576"/>
      <c r="M395" s="575" t="str">
        <f t="shared" si="229"/>
        <v/>
      </c>
      <c r="N395" s="576"/>
      <c r="O395" s="574"/>
      <c r="P395" s="574" cm="1">
        <f t="array" ref="P395">_xlfn.XLOOKUP(1,($B395=DistributionZone)*($C395=CustomerType)*($D395=tariffL2)*($G395=Description)*($P$5=Desc_FixedOrVar),valuesFY,0)*SUM(P392:P394)</f>
        <v>1.091297087920488</v>
      </c>
      <c r="Q395" s="574">
        <f t="shared" si="230"/>
        <v>4.3473917896455827</v>
      </c>
      <c r="R395" s="575">
        <f>IFERROR(Q395/Q396,"")</f>
        <v>0.10277261173874454</v>
      </c>
      <c r="S395" s="575"/>
      <c r="T395" s="649"/>
      <c r="U395" s="575"/>
      <c r="V395" s="575"/>
      <c r="W395" s="575"/>
      <c r="X395" s="575"/>
      <c r="Y395" s="575"/>
      <c r="Z395" s="575"/>
      <c r="AA395" s="575"/>
      <c r="AB395" s="575"/>
      <c r="AC395" s="575"/>
      <c r="AD395" s="575"/>
      <c r="AE395" s="575"/>
      <c r="AF395" s="575"/>
      <c r="AG395" s="575"/>
      <c r="AH395" s="575"/>
      <c r="AI395" s="575"/>
      <c r="AJ395" s="575"/>
    </row>
    <row r="396" spans="1:36" s="627" customFormat="1" x14ac:dyDescent="0.35">
      <c r="A396" s="570"/>
      <c r="B396" s="570" t="str">
        <f t="shared" ref="B396:D396" si="253">B395</f>
        <v>SAPN</v>
      </c>
      <c r="C396" s="570" t="str">
        <f t="shared" si="253"/>
        <v>Small business</v>
      </c>
      <c r="D396" s="570" t="str">
        <f t="shared" si="253"/>
        <v>time of use</v>
      </c>
      <c r="E396" s="570" t="str">
        <f t="shared" si="250"/>
        <v>time of use (Solar Soak/Shoulder)</v>
      </c>
      <c r="F396" s="485">
        <f>F395</f>
        <v>3983.692284866001</v>
      </c>
      <c r="G396" s="571" t="s">
        <v>55</v>
      </c>
      <c r="H396" s="577">
        <f>SUM(H392:H395)</f>
        <v>0</v>
      </c>
      <c r="I396" s="577">
        <f>IF($H$3=PY,0,SUM(I392:I395))</f>
        <v>0</v>
      </c>
      <c r="J396" s="577">
        <f>IF($H$3=PY,0,SUM(J392:J395))</f>
        <v>0</v>
      </c>
      <c r="K396" s="578"/>
      <c r="L396" s="580"/>
      <c r="M396" s="578" t="str">
        <f t="shared" si="229"/>
        <v/>
      </c>
      <c r="N396" s="580"/>
      <c r="O396" s="577">
        <f>SUM(O392:O395)</f>
        <v>0</v>
      </c>
      <c r="P396" s="577">
        <f>SUM(P392:P395)</f>
        <v>10.618559453316657</v>
      </c>
      <c r="Q396" s="577">
        <f t="shared" si="230"/>
        <v>42.301073370568503</v>
      </c>
      <c r="R396" s="575"/>
      <c r="S396" s="575"/>
      <c r="T396" s="649"/>
      <c r="U396" s="575"/>
      <c r="V396" s="575"/>
      <c r="W396" s="575"/>
      <c r="X396" s="575"/>
      <c r="Y396" s="575"/>
      <c r="Z396" s="575"/>
      <c r="AA396" s="575"/>
      <c r="AB396" s="575"/>
      <c r="AC396" s="575"/>
      <c r="AD396" s="575"/>
      <c r="AE396" s="575"/>
      <c r="AF396" s="575"/>
      <c r="AG396" s="575"/>
      <c r="AH396" s="575"/>
      <c r="AI396" s="575"/>
      <c r="AJ396" s="575"/>
    </row>
    <row r="397" spans="1:36" s="627" customFormat="1" x14ac:dyDescent="0.35">
      <c r="A397" s="570"/>
      <c r="B397" s="570" t="str">
        <f t="shared" ref="B397:D397" si="254">B396</f>
        <v>SAPN</v>
      </c>
      <c r="C397" s="570" t="str">
        <f t="shared" si="254"/>
        <v>Small business</v>
      </c>
      <c r="D397" s="570" t="str">
        <f t="shared" si="254"/>
        <v>time of use</v>
      </c>
      <c r="E397" s="570"/>
      <c r="F397" s="485">
        <f>SUM(F382,F387,F392)</f>
        <v>9999.9999999999982</v>
      </c>
      <c r="G397" s="571" t="s">
        <v>55</v>
      </c>
      <c r="H397" s="577">
        <f>SUM(H386,H391,H396)</f>
        <v>0</v>
      </c>
      <c r="I397" s="577">
        <f t="shared" ref="I397:J397" si="255">SUM(I386,I391,I396)</f>
        <v>0</v>
      </c>
      <c r="J397" s="577">
        <f t="shared" si="255"/>
        <v>0</v>
      </c>
      <c r="K397" s="578"/>
      <c r="L397" s="580"/>
      <c r="M397" s="578"/>
      <c r="N397" s="580"/>
      <c r="O397" s="577">
        <f>SUM(O386,O391,O396)</f>
        <v>0</v>
      </c>
      <c r="P397" s="577">
        <f t="shared" ref="P397" si="256">SUM(P386,P391,P396)</f>
        <v>31.85567835994997</v>
      </c>
      <c r="Q397" s="577">
        <f t="shared" ref="Q397" si="257">SUM(Q386,Q391,Q396)</f>
        <v>106.18559453316655</v>
      </c>
      <c r="R397" s="575"/>
      <c r="S397" s="575"/>
      <c r="T397" s="649"/>
      <c r="U397" s="575"/>
      <c r="V397" s="575"/>
      <c r="W397" s="575"/>
      <c r="X397" s="575"/>
      <c r="Y397" s="575"/>
      <c r="Z397" s="575"/>
      <c r="AA397" s="575"/>
      <c r="AB397" s="575"/>
      <c r="AC397" s="575"/>
      <c r="AD397" s="575"/>
      <c r="AE397" s="575"/>
      <c r="AF397" s="575"/>
      <c r="AG397" s="575"/>
      <c r="AH397" s="575"/>
      <c r="AI397" s="575"/>
      <c r="AJ397" s="575"/>
    </row>
    <row r="398" spans="1:36" s="627" customFormat="1" x14ac:dyDescent="0.35">
      <c r="A398" s="570"/>
      <c r="B398" s="570" t="str">
        <f t="shared" ref="B398:D398" si="258">B397</f>
        <v>SAPN</v>
      </c>
      <c r="C398" s="570" t="str">
        <f t="shared" si="258"/>
        <v>Small business</v>
      </c>
      <c r="D398" s="570" t="str">
        <f t="shared" si="258"/>
        <v>time of use</v>
      </c>
      <c r="E398" s="570"/>
      <c r="F398" s="582"/>
      <c r="G398" s="570" t="s">
        <v>38</v>
      </c>
      <c r="H398" s="574"/>
      <c r="I398" s="574"/>
      <c r="J398" s="574">
        <f>J397*GST</f>
        <v>0</v>
      </c>
      <c r="K398" s="575"/>
      <c r="L398" s="582"/>
      <c r="M398" s="575"/>
      <c r="N398" s="582"/>
      <c r="O398" s="574"/>
      <c r="P398" s="574"/>
      <c r="Q398" s="574">
        <f>Q397*GST</f>
        <v>10.618559453316657</v>
      </c>
      <c r="R398" s="575" t="str">
        <f>IFERROR(Q398/Q416,"")</f>
        <v/>
      </c>
      <c r="S398" s="575"/>
      <c r="T398" s="649"/>
      <c r="U398" s="575"/>
      <c r="V398" s="575"/>
      <c r="W398" s="575"/>
      <c r="X398" s="575"/>
      <c r="Y398" s="575"/>
      <c r="Z398" s="575"/>
      <c r="AA398" s="575"/>
      <c r="AB398" s="575"/>
      <c r="AC398" s="575"/>
      <c r="AD398" s="575"/>
      <c r="AE398" s="575"/>
      <c r="AF398" s="575"/>
      <c r="AG398" s="575"/>
      <c r="AH398" s="575"/>
      <c r="AI398" s="575"/>
      <c r="AJ398" s="575"/>
    </row>
    <row r="399" spans="1:36" s="627" customFormat="1" x14ac:dyDescent="0.35">
      <c r="A399" s="570"/>
      <c r="B399" s="570" t="str">
        <f t="shared" ref="B399:D399" si="259">B398</f>
        <v>SAPN</v>
      </c>
      <c r="C399" s="570" t="str">
        <f t="shared" si="259"/>
        <v>Small business</v>
      </c>
      <c r="D399" s="570" t="str">
        <f t="shared" si="259"/>
        <v>time of use</v>
      </c>
      <c r="E399" s="570" t="s">
        <v>272</v>
      </c>
      <c r="F399" s="582"/>
      <c r="G399" s="571" t="s">
        <v>79</v>
      </c>
      <c r="H399" s="577"/>
      <c r="I399" s="577"/>
      <c r="J399" s="577">
        <f>SUM(J397:J398)</f>
        <v>0</v>
      </c>
      <c r="K399" s="578"/>
      <c r="L399" s="580"/>
      <c r="M399" s="578" t="str">
        <f>IF(OR(J399=0,Q399=""),"",Q399/J399-1)</f>
        <v/>
      </c>
      <c r="N399" s="580"/>
      <c r="O399" s="577"/>
      <c r="P399" s="577"/>
      <c r="Q399" s="577">
        <f>SUM(Q397:Q398)</f>
        <v>116.80415398648321</v>
      </c>
      <c r="R399" s="575" t="str">
        <f>IFERROR(Q399/Q416,"")</f>
        <v/>
      </c>
      <c r="S399" s="575"/>
      <c r="T399" s="649"/>
      <c r="U399" s="575"/>
      <c r="V399" s="575"/>
      <c r="W399" s="575"/>
      <c r="X399" s="575"/>
      <c r="Y399" s="575"/>
      <c r="Z399" s="575"/>
      <c r="AA399" s="575"/>
      <c r="AB399" s="575"/>
      <c r="AC399" s="575"/>
      <c r="AD399" s="575"/>
      <c r="AE399" s="575"/>
      <c r="AF399" s="575"/>
      <c r="AG399" s="575"/>
      <c r="AH399" s="575"/>
      <c r="AI399" s="575"/>
      <c r="AJ399" s="575"/>
    </row>
    <row r="400" spans="1:36" s="65" customFormat="1" x14ac:dyDescent="0.35">
      <c r="A400" s="30"/>
      <c r="B400" s="30"/>
      <c r="C400" s="30"/>
      <c r="D400" s="30"/>
      <c r="E400" s="30"/>
      <c r="F400" s="30"/>
      <c r="G400" s="30"/>
      <c r="H400" s="30"/>
      <c r="I400" s="30"/>
      <c r="J400" s="30"/>
      <c r="K400" s="30" t="str">
        <f>IFERROR(J400/J407,"")</f>
        <v/>
      </c>
      <c r="L400" s="30"/>
      <c r="M400" s="30"/>
      <c r="N400" s="30"/>
      <c r="O400" s="30"/>
      <c r="P400" s="30"/>
      <c r="Q400" s="30"/>
      <c r="R400" s="30" t="str">
        <f>IFERROR(Q400/Q407,"")</f>
        <v/>
      </c>
      <c r="S400" s="30"/>
      <c r="T400" s="639"/>
      <c r="U400" s="30"/>
      <c r="V400" s="30"/>
      <c r="W400" s="30"/>
      <c r="X400" s="30"/>
      <c r="Y400" s="30"/>
      <c r="Z400" s="30"/>
      <c r="AA400" s="30"/>
      <c r="AB400" s="30"/>
      <c r="AC400" s="30"/>
      <c r="AD400" s="30"/>
      <c r="AE400" s="30"/>
      <c r="AF400" s="30"/>
      <c r="AG400" s="30"/>
      <c r="AH400" s="30"/>
      <c r="AI400" s="30"/>
      <c r="AJ400" s="30"/>
    </row>
    <row r="401" spans="1:36" s="65" customFormat="1" x14ac:dyDescent="0.35">
      <c r="A401" s="30"/>
      <c r="B401" s="30"/>
      <c r="C401" s="30"/>
      <c r="D401" s="30"/>
      <c r="E401" s="30"/>
      <c r="F401" s="30"/>
      <c r="G401" s="30"/>
      <c r="H401" s="30"/>
      <c r="I401" s="30"/>
      <c r="J401" s="30"/>
      <c r="K401" s="30" t="str">
        <f>IFERROR(J401/J407,"")</f>
        <v/>
      </c>
      <c r="L401" s="30"/>
      <c r="M401" s="30"/>
      <c r="N401" s="30"/>
      <c r="O401" s="30"/>
      <c r="P401" s="210"/>
      <c r="Q401" s="30"/>
      <c r="R401" s="30" t="str">
        <f>IFERROR(Q401/Q407,"")</f>
        <v/>
      </c>
      <c r="S401" s="30"/>
      <c r="T401" s="639"/>
      <c r="U401" s="30"/>
      <c r="V401" s="30"/>
      <c r="W401" s="30"/>
      <c r="X401" s="30"/>
      <c r="Y401" s="30"/>
      <c r="Z401" s="30"/>
      <c r="AA401" s="30"/>
      <c r="AB401" s="30"/>
      <c r="AC401" s="30"/>
      <c r="AD401" s="30"/>
      <c r="AE401" s="30"/>
      <c r="AF401" s="30"/>
      <c r="AG401" s="30"/>
      <c r="AH401" s="30"/>
      <c r="AI401" s="30"/>
      <c r="AJ401" s="30"/>
    </row>
    <row r="402" spans="1:36" s="65" customFormat="1" x14ac:dyDescent="0.35">
      <c r="A402" s="30"/>
      <c r="B402" s="30"/>
      <c r="C402" s="30"/>
      <c r="D402" s="30"/>
      <c r="E402" s="30"/>
      <c r="F402" s="30"/>
      <c r="G402" s="30"/>
      <c r="H402" s="30"/>
      <c r="I402" s="30"/>
      <c r="J402" s="30"/>
      <c r="K402" s="30" t="str">
        <f>IFERROR(J402/J407,"")</f>
        <v/>
      </c>
      <c r="L402" s="30"/>
      <c r="M402" s="30"/>
      <c r="N402" s="30"/>
      <c r="O402" s="30"/>
      <c r="P402" s="30"/>
      <c r="Q402" s="30"/>
      <c r="R402" s="30" t="str">
        <f>IFERROR(Q402/Q407,"")</f>
        <v/>
      </c>
      <c r="S402" s="30"/>
      <c r="T402" s="639"/>
      <c r="U402" s="30"/>
      <c r="V402" s="30"/>
      <c r="W402" s="30"/>
      <c r="X402" s="30"/>
      <c r="Y402" s="30"/>
      <c r="Z402" s="30"/>
      <c r="AA402" s="30"/>
      <c r="AB402" s="30"/>
      <c r="AC402" s="30"/>
      <c r="AD402" s="30"/>
      <c r="AE402" s="30"/>
      <c r="AF402" s="30"/>
      <c r="AG402" s="30"/>
      <c r="AH402" s="30"/>
      <c r="AI402" s="30"/>
      <c r="AJ402" s="30"/>
    </row>
    <row r="403" spans="1:36" s="65" customFormat="1" x14ac:dyDescent="0.35">
      <c r="A403" s="30"/>
      <c r="B403" s="30"/>
      <c r="C403" s="30"/>
      <c r="D403" s="30"/>
      <c r="E403" s="30"/>
      <c r="F403" s="30"/>
      <c r="G403" s="30"/>
      <c r="H403" s="30"/>
      <c r="I403" s="30"/>
      <c r="J403" s="30"/>
      <c r="K403" s="30" t="str">
        <f>IFERROR(J403/J407,"")</f>
        <v/>
      </c>
      <c r="L403" s="30"/>
      <c r="M403" s="30"/>
      <c r="N403" s="30"/>
      <c r="O403" s="30"/>
      <c r="P403" s="30"/>
      <c r="Q403" s="30"/>
      <c r="R403" s="30" t="str">
        <f>IFERROR(Q403/Q407,"")</f>
        <v/>
      </c>
      <c r="S403" s="30"/>
      <c r="T403" s="639"/>
      <c r="U403" s="30"/>
      <c r="V403" s="30"/>
      <c r="W403" s="30"/>
      <c r="X403" s="30"/>
      <c r="Y403" s="30"/>
      <c r="Z403" s="30"/>
      <c r="AA403" s="30"/>
      <c r="AB403" s="30"/>
      <c r="AC403" s="30"/>
      <c r="AD403" s="30"/>
      <c r="AE403" s="30"/>
      <c r="AF403" s="30"/>
      <c r="AG403" s="30"/>
      <c r="AH403" s="30"/>
      <c r="AI403" s="30"/>
      <c r="AJ403" s="30"/>
    </row>
    <row r="404" spans="1:36" s="65" customFormat="1" x14ac:dyDescent="0.35">
      <c r="A404" s="30"/>
      <c r="B404" s="30"/>
      <c r="C404" s="30"/>
      <c r="D404" s="30"/>
      <c r="E404" s="30"/>
      <c r="F404" s="30"/>
      <c r="G404" s="30"/>
      <c r="H404" s="30"/>
      <c r="I404" s="30"/>
      <c r="J404" s="30"/>
      <c r="K404" s="30" t="str">
        <f>IFERROR(J404/J407,"")</f>
        <v/>
      </c>
      <c r="L404" s="30"/>
      <c r="M404" s="30"/>
      <c r="N404" s="30"/>
      <c r="O404" s="30"/>
      <c r="P404" s="30"/>
      <c r="Q404" s="30"/>
      <c r="R404" s="30" t="str">
        <f>IFERROR(Q404/Q407,"")</f>
        <v/>
      </c>
      <c r="S404" s="30"/>
      <c r="T404" s="639"/>
      <c r="U404" s="30"/>
      <c r="V404" s="30"/>
      <c r="W404" s="30"/>
      <c r="X404" s="30"/>
      <c r="Y404" s="30"/>
      <c r="Z404" s="30"/>
      <c r="AA404" s="30"/>
      <c r="AB404" s="30"/>
      <c r="AC404" s="30"/>
      <c r="AD404" s="30"/>
      <c r="AE404" s="30"/>
      <c r="AF404" s="30"/>
      <c r="AG404" s="30"/>
      <c r="AH404" s="30"/>
      <c r="AI404" s="30"/>
      <c r="AJ404" s="30"/>
    </row>
    <row r="405" spans="1:36" s="65" customFormat="1" x14ac:dyDescent="0.35">
      <c r="A405" s="30"/>
      <c r="B405" s="30"/>
      <c r="C405" s="30"/>
      <c r="D405" s="30"/>
      <c r="E405" s="30"/>
      <c r="F405" s="30"/>
      <c r="G405" s="30"/>
      <c r="H405" s="30"/>
      <c r="I405" s="30"/>
      <c r="J405" s="30"/>
      <c r="K405" s="30" t="str">
        <f>IFERROR(J405/J407,"")</f>
        <v/>
      </c>
      <c r="L405" s="30"/>
      <c r="M405" s="30"/>
      <c r="N405" s="30"/>
      <c r="O405" s="30"/>
      <c r="P405" s="30"/>
      <c r="Q405" s="30"/>
      <c r="R405" s="30" t="str">
        <f>IFERROR(Q405/Q407,"")</f>
        <v/>
      </c>
      <c r="S405" s="30"/>
      <c r="T405" s="639"/>
      <c r="U405" s="30"/>
      <c r="V405" s="30"/>
      <c r="W405" s="30"/>
      <c r="X405" s="30"/>
      <c r="Y405" s="30"/>
      <c r="Z405" s="30"/>
      <c r="AA405" s="30"/>
      <c r="AB405" s="30"/>
      <c r="AC405" s="30"/>
      <c r="AD405" s="30"/>
      <c r="AE405" s="30"/>
      <c r="AF405" s="30"/>
      <c r="AG405" s="30"/>
      <c r="AH405" s="30"/>
      <c r="AI405" s="30"/>
      <c r="AJ405" s="30"/>
    </row>
    <row r="406" spans="1:36" s="65" customFormat="1" x14ac:dyDescent="0.35">
      <c r="A406" s="30"/>
      <c r="B406" s="30"/>
      <c r="C406" s="30"/>
      <c r="D406" s="30"/>
      <c r="E406" s="30"/>
      <c r="F406" s="30"/>
      <c r="G406" s="30"/>
      <c r="H406" s="30"/>
      <c r="I406" s="30"/>
      <c r="J406" s="30"/>
      <c r="K406" s="30" t="str">
        <f>IFERROR(J406/J407,"")</f>
        <v/>
      </c>
      <c r="L406" s="30"/>
      <c r="M406" s="30"/>
      <c r="N406" s="30"/>
      <c r="O406" s="30"/>
      <c r="P406" s="30"/>
      <c r="Q406" s="30"/>
      <c r="R406" s="30" t="str">
        <f>IFERROR(Q406/Q407,"")</f>
        <v/>
      </c>
      <c r="S406" s="30"/>
      <c r="T406" s="639"/>
      <c r="U406" s="30"/>
      <c r="V406" s="30"/>
      <c r="W406" s="30"/>
      <c r="X406" s="30"/>
      <c r="Y406" s="30"/>
      <c r="Z406" s="30"/>
      <c r="AA406" s="30"/>
      <c r="AB406" s="30"/>
      <c r="AC406" s="30"/>
      <c r="AD406" s="30"/>
      <c r="AE406" s="30"/>
      <c r="AF406" s="30"/>
      <c r="AG406" s="30"/>
      <c r="AH406" s="30"/>
      <c r="AI406" s="30"/>
      <c r="AJ406" s="30"/>
    </row>
    <row r="407" spans="1:36" s="65" customFormat="1" x14ac:dyDescent="0.35">
      <c r="A407" s="30"/>
      <c r="B407" s="30"/>
      <c r="C407" s="30"/>
      <c r="D407" s="30"/>
      <c r="E407" s="30"/>
      <c r="F407" s="30"/>
      <c r="G407" s="30"/>
      <c r="H407" s="30"/>
      <c r="I407" s="30"/>
      <c r="J407" s="30"/>
      <c r="K407" s="30"/>
      <c r="L407" s="30"/>
      <c r="M407" s="30"/>
      <c r="N407" s="30"/>
      <c r="O407" s="30"/>
      <c r="P407" s="30"/>
      <c r="Q407" s="30"/>
      <c r="R407" s="30"/>
      <c r="S407" s="30"/>
      <c r="T407" s="639"/>
      <c r="U407" s="30"/>
      <c r="V407" s="30"/>
      <c r="W407" s="30"/>
      <c r="X407" s="30"/>
      <c r="Y407" s="30"/>
      <c r="Z407" s="30"/>
      <c r="AA407" s="30"/>
      <c r="AB407" s="30"/>
      <c r="AC407" s="30"/>
      <c r="AD407" s="30"/>
      <c r="AE407" s="30"/>
      <c r="AF407" s="30"/>
      <c r="AG407" s="30"/>
      <c r="AH407" s="30"/>
      <c r="AI407" s="30"/>
      <c r="AJ407" s="30"/>
    </row>
    <row r="408" spans="1:36" x14ac:dyDescent="0.35">
      <c r="F408" s="30"/>
      <c r="H408" s="30"/>
      <c r="I408" s="30"/>
      <c r="J408" s="30"/>
      <c r="K408" s="30"/>
      <c r="L408" s="30"/>
      <c r="M408" s="30"/>
      <c r="N408" s="30"/>
      <c r="O408" s="30"/>
      <c r="P408" s="30"/>
      <c r="Q408" s="30"/>
      <c r="R408" s="30"/>
      <c r="S408" s="30"/>
      <c r="U408" s="30"/>
      <c r="V408" s="30"/>
      <c r="W408" s="30"/>
      <c r="X408" s="30"/>
      <c r="Y408" s="30"/>
      <c r="Z408" s="30"/>
      <c r="AA408" s="30"/>
      <c r="AB408" s="30"/>
      <c r="AC408" s="30"/>
      <c r="AD408" s="30"/>
      <c r="AE408" s="30"/>
      <c r="AF408" s="30"/>
      <c r="AG408" s="30"/>
      <c r="AH408" s="30"/>
      <c r="AI408" s="30"/>
      <c r="AJ408" s="30"/>
    </row>
    <row r="409" spans="1:36" x14ac:dyDescent="0.35">
      <c r="F409" s="30"/>
      <c r="H409" s="30"/>
      <c r="I409" s="30"/>
      <c r="J409" s="30"/>
      <c r="K409" s="30"/>
      <c r="L409" s="30"/>
      <c r="M409" s="30"/>
      <c r="N409" s="30"/>
      <c r="O409" s="30"/>
      <c r="P409" s="30"/>
      <c r="Q409" s="30"/>
      <c r="R409" s="30"/>
      <c r="S409" s="30"/>
      <c r="U409" s="30"/>
      <c r="V409" s="30"/>
      <c r="W409" s="30"/>
      <c r="X409" s="30"/>
      <c r="Y409" s="30"/>
      <c r="Z409" s="30"/>
      <c r="AA409" s="30"/>
      <c r="AB409" s="30"/>
      <c r="AC409" s="30"/>
      <c r="AD409" s="30"/>
      <c r="AE409" s="30"/>
      <c r="AF409" s="30"/>
      <c r="AG409" s="30"/>
      <c r="AH409" s="30"/>
      <c r="AI409" s="30"/>
      <c r="AJ409" s="30"/>
    </row>
    <row r="410" spans="1:36" x14ac:dyDescent="0.35">
      <c r="F410" s="30"/>
      <c r="H410" s="30"/>
      <c r="I410" s="30"/>
      <c r="J410" s="30"/>
      <c r="K410" s="30"/>
      <c r="L410" s="30"/>
      <c r="M410" s="30"/>
      <c r="N410" s="30"/>
      <c r="O410" s="30"/>
      <c r="P410" s="30"/>
      <c r="Q410" s="30"/>
      <c r="R410" s="30"/>
      <c r="S410" s="30"/>
      <c r="U410" s="30"/>
      <c r="V410" s="30"/>
      <c r="W410" s="30"/>
      <c r="X410" s="30"/>
      <c r="Y410" s="30"/>
      <c r="Z410" s="30"/>
      <c r="AA410" s="30"/>
      <c r="AB410" s="30"/>
      <c r="AC410" s="30"/>
      <c r="AD410" s="30"/>
      <c r="AE410" s="30"/>
      <c r="AF410" s="30"/>
      <c r="AG410" s="30"/>
      <c r="AH410" s="30"/>
      <c r="AI410" s="30"/>
      <c r="AJ410" s="30"/>
    </row>
    <row r="411" spans="1:36" x14ac:dyDescent="0.35">
      <c r="F411" s="30"/>
      <c r="H411" s="30"/>
      <c r="I411" s="30"/>
      <c r="J411" s="30"/>
      <c r="K411" s="30"/>
      <c r="L411" s="30"/>
      <c r="M411" s="30"/>
      <c r="N411" s="30"/>
      <c r="O411" s="30"/>
      <c r="P411" s="30"/>
      <c r="Q411" s="30"/>
      <c r="R411" s="30"/>
      <c r="S411" s="30"/>
      <c r="U411" s="30"/>
      <c r="V411" s="30"/>
      <c r="W411" s="30"/>
      <c r="X411" s="30"/>
      <c r="Y411" s="30"/>
      <c r="Z411" s="30"/>
      <c r="AA411" s="30"/>
      <c r="AB411" s="30"/>
      <c r="AC411" s="30"/>
      <c r="AD411" s="30"/>
      <c r="AE411" s="30"/>
      <c r="AF411" s="30"/>
      <c r="AG411" s="30"/>
      <c r="AH411" s="30"/>
      <c r="AI411" s="30"/>
      <c r="AJ411" s="30"/>
    </row>
    <row r="412" spans="1:36" x14ac:dyDescent="0.35">
      <c r="F412" s="30"/>
      <c r="H412" s="30"/>
      <c r="I412" s="30"/>
      <c r="J412" s="30"/>
      <c r="K412" s="30"/>
      <c r="L412" s="30"/>
      <c r="M412" s="30"/>
      <c r="N412" s="30"/>
      <c r="O412" s="30"/>
      <c r="P412" s="30"/>
      <c r="Q412" s="30"/>
      <c r="R412" s="30"/>
      <c r="S412" s="30"/>
      <c r="U412" s="30"/>
      <c r="V412" s="30"/>
      <c r="W412" s="30"/>
      <c r="X412" s="30"/>
      <c r="Y412" s="30"/>
      <c r="Z412" s="30"/>
      <c r="AA412" s="30"/>
      <c r="AB412" s="30"/>
      <c r="AC412" s="30"/>
      <c r="AD412" s="30"/>
      <c r="AE412" s="30"/>
      <c r="AF412" s="30"/>
      <c r="AG412" s="30"/>
      <c r="AH412" s="30"/>
      <c r="AI412" s="30"/>
      <c r="AJ412" s="30"/>
    </row>
    <row r="413" spans="1:36" x14ac:dyDescent="0.35">
      <c r="F413" s="30"/>
      <c r="H413" s="30"/>
      <c r="I413" s="30"/>
      <c r="J413" s="30"/>
      <c r="K413" s="30"/>
      <c r="L413" s="30"/>
      <c r="M413" s="30"/>
      <c r="N413" s="30"/>
      <c r="O413" s="30"/>
      <c r="P413" s="30"/>
      <c r="Q413" s="30"/>
      <c r="R413" s="30"/>
      <c r="S413" s="30"/>
      <c r="U413" s="30"/>
      <c r="V413" s="30"/>
      <c r="W413" s="30"/>
      <c r="X413" s="30"/>
      <c r="Y413" s="30"/>
      <c r="Z413" s="30"/>
      <c r="AA413" s="30"/>
      <c r="AB413" s="30"/>
      <c r="AC413" s="30"/>
      <c r="AD413" s="30"/>
      <c r="AE413" s="30"/>
      <c r="AF413" s="30"/>
      <c r="AG413" s="30"/>
      <c r="AH413" s="30"/>
      <c r="AI413" s="30"/>
      <c r="AJ413" s="30"/>
    </row>
    <row r="414" spans="1:36" x14ac:dyDescent="0.35">
      <c r="F414" s="30"/>
      <c r="H414" s="30"/>
      <c r="I414" s="30"/>
      <c r="J414" s="30"/>
      <c r="K414" s="30"/>
      <c r="L414" s="30"/>
      <c r="M414" s="30"/>
      <c r="N414" s="30"/>
      <c r="O414" s="30"/>
      <c r="P414" s="30"/>
      <c r="Q414" s="30"/>
      <c r="R414" s="30"/>
      <c r="S414" s="30"/>
      <c r="U414" s="30"/>
      <c r="V414" s="30"/>
      <c r="W414" s="30"/>
      <c r="X414" s="30"/>
      <c r="Y414" s="30"/>
      <c r="Z414" s="30"/>
      <c r="AA414" s="30"/>
      <c r="AB414" s="30"/>
      <c r="AC414" s="30"/>
      <c r="AD414" s="30"/>
      <c r="AE414" s="30"/>
      <c r="AF414" s="30"/>
      <c r="AG414" s="30"/>
      <c r="AH414" s="30"/>
      <c r="AI414" s="30"/>
      <c r="AJ414" s="30"/>
    </row>
    <row r="415" spans="1:36" x14ac:dyDescent="0.35">
      <c r="F415" s="30"/>
      <c r="H415" s="30"/>
      <c r="I415" s="30"/>
      <c r="J415" s="30"/>
      <c r="K415" s="30"/>
      <c r="L415" s="30"/>
      <c r="M415" s="30"/>
      <c r="N415" s="30"/>
      <c r="O415" s="30"/>
      <c r="P415" s="30"/>
      <c r="Q415" s="30"/>
      <c r="R415" s="30"/>
      <c r="S415" s="30"/>
      <c r="U415" s="30"/>
      <c r="V415" s="30"/>
      <c r="W415" s="30"/>
      <c r="X415" s="30"/>
      <c r="Y415" s="30"/>
      <c r="Z415" s="30"/>
      <c r="AA415" s="30"/>
      <c r="AB415" s="30"/>
      <c r="AC415" s="30"/>
      <c r="AD415" s="30"/>
      <c r="AE415" s="30"/>
      <c r="AF415" s="30"/>
      <c r="AG415" s="30"/>
      <c r="AH415" s="30"/>
      <c r="AI415" s="30"/>
      <c r="AJ415" s="30"/>
    </row>
    <row r="416" spans="1:36" x14ac:dyDescent="0.35">
      <c r="F416" s="30"/>
      <c r="H416" s="30"/>
      <c r="I416" s="30"/>
      <c r="J416" s="30"/>
      <c r="K416" s="30"/>
      <c r="L416" s="30"/>
      <c r="M416" s="30"/>
      <c r="N416" s="30"/>
      <c r="O416" s="30"/>
      <c r="P416" s="30"/>
      <c r="Q416" s="30"/>
      <c r="R416" s="30"/>
      <c r="S416" s="30"/>
      <c r="U416" s="30"/>
      <c r="V416" s="30"/>
      <c r="W416" s="30"/>
      <c r="X416" s="30"/>
      <c r="Y416" s="30"/>
      <c r="Z416" s="30"/>
      <c r="AA416" s="30"/>
      <c r="AB416" s="30"/>
      <c r="AC416" s="30"/>
      <c r="AD416" s="30"/>
      <c r="AE416" s="30"/>
      <c r="AF416" s="30"/>
      <c r="AG416" s="30"/>
      <c r="AH416" s="30"/>
      <c r="AI416" s="30"/>
      <c r="AJ416" s="30"/>
    </row>
    <row r="417" spans="20:20" s="30" customFormat="1" x14ac:dyDescent="0.35">
      <c r="T417" s="639"/>
    </row>
    <row r="418" spans="20:20" s="30" customFormat="1" x14ac:dyDescent="0.35">
      <c r="T418" s="639"/>
    </row>
    <row r="419" spans="20:20" s="30" customFormat="1" x14ac:dyDescent="0.35">
      <c r="T419" s="639"/>
    </row>
    <row r="420" spans="20:20" s="30" customFormat="1" x14ac:dyDescent="0.35">
      <c r="T420" s="639"/>
    </row>
    <row r="421" spans="20:20" s="30" customFormat="1" x14ac:dyDescent="0.35">
      <c r="T421" s="639"/>
    </row>
    <row r="422" spans="20:20" s="30" customFormat="1" x14ac:dyDescent="0.35">
      <c r="T422" s="639"/>
    </row>
    <row r="423" spans="20:20" s="30" customFormat="1" x14ac:dyDescent="0.35">
      <c r="T423" s="639"/>
    </row>
    <row r="424" spans="20:20" s="30" customFormat="1" x14ac:dyDescent="0.35">
      <c r="T424" s="639"/>
    </row>
    <row r="425" spans="20:20" s="30" customFormat="1" x14ac:dyDescent="0.35">
      <c r="T425" s="639"/>
    </row>
    <row r="426" spans="20:20" s="30" customFormat="1" x14ac:dyDescent="0.35">
      <c r="T426" s="639"/>
    </row>
    <row r="427" spans="20:20" s="30" customFormat="1" x14ac:dyDescent="0.35">
      <c r="T427" s="639"/>
    </row>
    <row r="428" spans="20:20" s="30" customFormat="1" x14ac:dyDescent="0.35">
      <c r="T428" s="639"/>
    </row>
    <row r="429" spans="20:20" s="30" customFormat="1" x14ac:dyDescent="0.35">
      <c r="T429" s="639"/>
    </row>
    <row r="430" spans="20:20" s="30" customFormat="1" x14ac:dyDescent="0.35">
      <c r="T430" s="639"/>
    </row>
  </sheetData>
  <sheetProtection algorithmName="SHA-256" hashValue="4iSHGr+YJL1hK5pCyhnwMNxkG4xoRCrZk4vGtk7tQAc=" saltValue="ocCa+rbpxclJHXdK3rxWgw==" spinCount="100000" sheet="1" autoFilter="0"/>
  <mergeCells count="3">
    <mergeCell ref="H3:K3"/>
    <mergeCell ref="O3:R3"/>
    <mergeCell ref="A1:B1"/>
  </mergeCells>
  <conditionalFormatting sqref="B63:C63 E117 G117:AJ117 B118:AJ146 B147:C147 E147:AJ147 B186:C186 E186:AJ186 B231:C231 E231:AJ231 B256:C256 E256:AJ256 B295:C295 E295:AJ295">
    <cfRule type="expression" dxfId="484" priority="252">
      <formula>MOD(ROW(),2)=0</formula>
    </cfRule>
  </conditionalFormatting>
  <conditionalFormatting sqref="B80:C80">
    <cfRule type="expression" dxfId="483" priority="6909">
      <formula>AND(B80=B62,MOD(ROW(),2)=1)</formula>
    </cfRule>
    <cfRule type="expression" dxfId="482" priority="6906">
      <formula>AND(B80=B62,MOD(ROW(),2)=0)</formula>
    </cfRule>
  </conditionalFormatting>
  <conditionalFormatting sqref="B90:C90">
    <cfRule type="expression" dxfId="481" priority="262">
      <formula>AND(B90=B79,MOD(ROW(),2)=1)</formula>
    </cfRule>
    <cfRule type="expression" dxfId="480" priority="263">
      <formula>AND(B90=B79,MOD(ROW(),2)=0)</formula>
    </cfRule>
  </conditionalFormatting>
  <conditionalFormatting sqref="B176:C176">
    <cfRule type="expression" dxfId="479" priority="6923">
      <formula>AND(B176=B146,MOD(ROW(),2)=1)</formula>
    </cfRule>
    <cfRule type="expression" dxfId="478" priority="6920">
      <formula>AND(B176=B146,MOD(ROW(),2)=0)</formula>
    </cfRule>
  </conditionalFormatting>
  <conditionalFormatting sqref="B186:C186">
    <cfRule type="expression" dxfId="477" priority="258">
      <formula>AND(B186=B175,MOD(ROW(),2)=1)</formula>
    </cfRule>
    <cfRule type="expression" dxfId="476" priority="259">
      <formula>AND(B186=B175,MOD(ROW(),2)=0)</formula>
    </cfRule>
  </conditionalFormatting>
  <conditionalFormatting sqref="B248:C248">
    <cfRule type="expression" dxfId="475" priority="5472">
      <formula>AND(B248=B230,MOD(ROW(),2)=1)</formula>
    </cfRule>
    <cfRule type="expression" dxfId="474" priority="5473">
      <formula>AND(B248=B230,MOD(ROW(),2)=0)</formula>
    </cfRule>
  </conditionalFormatting>
  <conditionalFormatting sqref="B256:C256">
    <cfRule type="expression" dxfId="473" priority="254">
      <formula>AND(B256=B245,MOD(ROW(),2)=1)</formula>
    </cfRule>
    <cfRule type="expression" dxfId="472" priority="255">
      <formula>AND(B256=B245,MOD(ROW(),2)=0)</formula>
    </cfRule>
  </conditionalFormatting>
  <conditionalFormatting sqref="B312:C312">
    <cfRule type="expression" dxfId="471" priority="5481">
      <formula>AND(B312=B294,MOD(ROW(),2)=0)</formula>
    </cfRule>
    <cfRule type="expression" dxfId="470" priority="5480">
      <formula>AND(B312=B294,MOD(ROW(),2)=1)</formula>
    </cfRule>
  </conditionalFormatting>
  <conditionalFormatting sqref="B341:C341">
    <cfRule type="expression" dxfId="469" priority="5485">
      <formula>AND(B341=B320,MOD(ROW(),2)=0)</formula>
    </cfRule>
    <cfRule type="expression" dxfId="468" priority="5484">
      <formula>AND(B341=B320,MOD(ROW(),2)=1)</formula>
    </cfRule>
  </conditionalFormatting>
  <conditionalFormatting sqref="B381:C381">
    <cfRule type="expression" dxfId="467" priority="239">
      <formula>MOD(ROW(),2)=0</formula>
    </cfRule>
  </conditionalFormatting>
  <conditionalFormatting sqref="B7:D19 B371:D371 B373:D379">
    <cfRule type="expression" dxfId="466" priority="195">
      <formula>AND(B7=B6,MOD(ROW(),2)=0)</formula>
    </cfRule>
    <cfRule type="expression" dxfId="465" priority="194">
      <formula>AND(B7=B6,MOD(ROW(),2)=1)</formula>
    </cfRule>
  </conditionalFormatting>
  <conditionalFormatting sqref="B19:D31">
    <cfRule type="expression" dxfId="464" priority="198">
      <formula>AND(B19=B12,MOD(ROW(),2)=0)</formula>
    </cfRule>
  </conditionalFormatting>
  <conditionalFormatting sqref="B20:D31 B33:D33 B381:C381 B382:D399">
    <cfRule type="expression" dxfId="463" priority="244">
      <formula>AND(B20=B19,MOD(ROW(),2)=0)</formula>
    </cfRule>
    <cfRule type="expression" dxfId="462" priority="243">
      <formula>AND(B20=B19,MOD(ROW(),2)=1)</formula>
    </cfRule>
  </conditionalFormatting>
  <conditionalFormatting sqref="B32:D32 B398:D398">
    <cfRule type="expression" dxfId="461" priority="6904">
      <formula>AND(B32=B30,MOD(ROW(),2)=1)</formula>
    </cfRule>
    <cfRule type="expression" dxfId="460" priority="6905">
      <formula>AND(B32=B30,MOD(ROW(),2)=0)</formula>
    </cfRule>
  </conditionalFormatting>
  <conditionalFormatting sqref="B32:D33">
    <cfRule type="expression" dxfId="459" priority="6901">
      <formula>AND(B32=B24,MOD(ROW(),2)=0)</formula>
    </cfRule>
  </conditionalFormatting>
  <conditionalFormatting sqref="B34:D34">
    <cfRule type="expression" dxfId="458" priority="6899">
      <formula>AND(B34=B16,MOD(ROW(),2)=1)</formula>
    </cfRule>
    <cfRule type="expression" dxfId="457" priority="6898">
      <formula>AND(B34=B16,MOD(ROW(),2)=0)</formula>
    </cfRule>
  </conditionalFormatting>
  <conditionalFormatting sqref="B35:D62 B63:C63 B64:D76 B78:D79 B81:D89 B91:D115 B117:D118 B120:D146 B147:C147 B148:D172 B174:D175 B177:D185 B201:D202 B204:D230 B231:C231 B232:D244 B246:D247 B249:D255 B271:D272 B274:D294 B295:C295 B296:D308 B310:D311 B313:D320 B322:D337 B339:D340 B343:D350">
    <cfRule type="expression" dxfId="456" priority="1046">
      <formula>AND(B35=B34,MOD(ROW(),2)=0)</formula>
    </cfRule>
  </conditionalFormatting>
  <conditionalFormatting sqref="B64:D75 B76:AJ89">
    <cfRule type="expression" dxfId="455" priority="232">
      <formula>MOD(ROW(),2)=0</formula>
    </cfRule>
  </conditionalFormatting>
  <conditionalFormatting sqref="B77:D77 B116:D116 B173:D173 B200:D200 B245:D245 B270:D270 B309:D309 B338:D338">
    <cfRule type="expression" dxfId="454" priority="6915">
      <formula>AND(B77=B75,MOD(ROW(),2)=1)</formula>
    </cfRule>
    <cfRule type="expression" dxfId="453" priority="6912">
      <formula>AND(B77=B75,MOD(ROW(),2)=0)</formula>
    </cfRule>
  </conditionalFormatting>
  <conditionalFormatting sqref="B90:D117">
    <cfRule type="expression" dxfId="452" priority="11">
      <formula>MOD(ROW(),2)=0</formula>
    </cfRule>
  </conditionalFormatting>
  <conditionalFormatting sqref="B119:D119">
    <cfRule type="expression" dxfId="451" priority="6916">
      <formula>AND(B119=B89,MOD(ROW(),2)=0)</formula>
    </cfRule>
    <cfRule type="expression" dxfId="450" priority="6919">
      <formula>AND(B119=B89,MOD(ROW(),2)=1)</formula>
    </cfRule>
  </conditionalFormatting>
  <conditionalFormatting sqref="B187:D199">
    <cfRule type="expression" dxfId="449" priority="144">
      <formula>AND(B187=B186,MOD(ROW(),2)=1)</formula>
    </cfRule>
    <cfRule type="expression" dxfId="448" priority="145">
      <formula>AND(B187=B186,MOD(ROW(),2)=0)</formula>
    </cfRule>
  </conditionalFormatting>
  <conditionalFormatting sqref="B203:D203">
    <cfRule type="expression" dxfId="447" priority="6924">
      <formula>AND(B203=B185,MOD(ROW(),2)=0)</formula>
    </cfRule>
    <cfRule type="expression" dxfId="446" priority="6927">
      <formula>AND(B203=B185,MOD(ROW(),2)=1)</formula>
    </cfRule>
  </conditionalFormatting>
  <conditionalFormatting sqref="B232:D244 K243:AJ244 E244:J244 B245:AJ255">
    <cfRule type="expression" dxfId="445" priority="224">
      <formula>MOD(ROW(),2)=0</formula>
    </cfRule>
  </conditionalFormatting>
  <conditionalFormatting sqref="B257:D269">
    <cfRule type="expression" dxfId="444" priority="123">
      <formula>AND(B257=B256,MOD(ROW(),2)=0)</formula>
    </cfRule>
    <cfRule type="expression" dxfId="443" priority="122">
      <formula>AND(B257=B256,MOD(ROW(),2)=1)</formula>
    </cfRule>
  </conditionalFormatting>
  <conditionalFormatting sqref="B273:D273">
    <cfRule type="expression" dxfId="442" priority="6930">
      <formula>AND(B273=B255,MOD(ROW(),2)=1)</formula>
    </cfRule>
    <cfRule type="expression" dxfId="441" priority="6931">
      <formula>AND(B273=B255,MOD(ROW(),2)=0)</formula>
    </cfRule>
  </conditionalFormatting>
  <conditionalFormatting sqref="B315:D319 B320:AJ320">
    <cfRule type="expression" dxfId="440" priority="269">
      <formula>MOD(ROW(),2)=0</formula>
    </cfRule>
  </conditionalFormatting>
  <conditionalFormatting sqref="B322:D339">
    <cfRule type="expression" dxfId="439" priority="248">
      <formula>MOD(ROW(),2)=0</formula>
    </cfRule>
  </conditionalFormatting>
  <conditionalFormatting sqref="B342:D342">
    <cfRule type="expression" dxfId="438" priority="2">
      <formula>AND(B342=B341,MOD(ROW(),2)=0)</formula>
    </cfRule>
    <cfRule type="expression" dxfId="437" priority="1">
      <formula>AND(B342=B341,MOD(ROW(),2)=1)</formula>
    </cfRule>
  </conditionalFormatting>
  <conditionalFormatting sqref="B343:D350 B35:D62 B63:C63 B64:D76 B78:D79 B81:D89 B91:D115 B117:D118 B120:D146 B147:C147 B148:D172 B174:D175 B177:D185 B201:D202 B204:D230 B231:C231 B232:D244 B246:D247 B249:D255 B271:D272 B274:D294 B295:C295 B296:D308 B310:D311 B313:D320 B322:D337 B339:D340">
    <cfRule type="expression" dxfId="436" priority="1045">
      <formula>AND(B35=B34,MOD(ROW(),2)=1)</formula>
    </cfRule>
  </conditionalFormatting>
  <conditionalFormatting sqref="B345:D345">
    <cfRule type="expression" dxfId="435" priority="868">
      <formula>AND(B345=#REF!,MOD(ROW(),2)=0)</formula>
    </cfRule>
    <cfRule type="expression" dxfId="434" priority="867">
      <formula>AND(B345=#REF!,MOD(ROW(),2)=1)</formula>
    </cfRule>
  </conditionalFormatting>
  <conditionalFormatting sqref="B346:D352">
    <cfRule type="expression" dxfId="433" priority="5">
      <formula>AND(B346=B345,MOD(ROW(),2)=1)</formula>
    </cfRule>
    <cfRule type="expression" dxfId="432" priority="6">
      <formula>AND(B346=B345,MOD(ROW(),2)=0)</formula>
    </cfRule>
  </conditionalFormatting>
  <conditionalFormatting sqref="B352:D352">
    <cfRule type="expression" dxfId="431" priority="3">
      <formula>AND(B352=B351,MOD(ROW(),2)=1)</formula>
    </cfRule>
    <cfRule type="expression" dxfId="430" priority="4">
      <formula>AND(B352=B351,MOD(ROW(),2)=0)</formula>
    </cfRule>
  </conditionalFormatting>
  <conditionalFormatting sqref="B353:D370">
    <cfRule type="expression" dxfId="429" priority="15">
      <formula>AND(B353=B347,MOD(ROW(),2)=1)</formula>
    </cfRule>
    <cfRule type="expression" dxfId="428" priority="14">
      <formula>AND(B353=B347,MOD(ROW(),2)=0)</formula>
    </cfRule>
  </conditionalFormatting>
  <conditionalFormatting sqref="B372:D372">
    <cfRule type="expression" dxfId="427" priority="7377">
      <formula>AND(B372=B351,MOD(ROW(),2)=0)</formula>
    </cfRule>
    <cfRule type="expression" dxfId="426" priority="7376">
      <formula>AND(B372=B351,MOD(ROW(),2)=1)</formula>
    </cfRule>
  </conditionalFormatting>
  <conditionalFormatting sqref="B380:D380">
    <cfRule type="expression" dxfId="425" priority="7">
      <formula>AND(B380=B374,MOD(ROW(),2)=0)</formula>
    </cfRule>
    <cfRule type="expression" dxfId="424" priority="8">
      <formula>AND(B380=B374,MOD(ROW(),2)=1)</formula>
    </cfRule>
    <cfRule type="expression" dxfId="423" priority="9">
      <formula>MOD(ROW(),2)=0</formula>
    </cfRule>
  </conditionalFormatting>
  <conditionalFormatting sqref="B392:D392">
    <cfRule type="expression" dxfId="422" priority="6932">
      <formula>AND(B392=B381,MOD(ROW(),2)=1)</formula>
    </cfRule>
    <cfRule type="expression" dxfId="421" priority="6933">
      <formula>AND(B392=B381,MOD(ROW(),2)=0)</formula>
    </cfRule>
  </conditionalFormatting>
  <conditionalFormatting sqref="B431:D431">
    <cfRule type="expression" dxfId="420" priority="1283">
      <formula>AND(B431=B430,MOD(ROW(),2)=1)</formula>
    </cfRule>
    <cfRule type="expression" dxfId="419" priority="1284">
      <formula>AND(B431=B430,MOD(ROW(),2)=0)</formula>
    </cfRule>
  </conditionalFormatting>
  <conditionalFormatting sqref="B353:E353 E354:E368 B354:D370">
    <cfRule type="expression" dxfId="418" priority="16">
      <formula>MOD(ROW(),2)=0</formula>
    </cfRule>
  </conditionalFormatting>
  <conditionalFormatting sqref="B314:I314 B431:AJ431">
    <cfRule type="expression" dxfId="417" priority="1216">
      <formula>MOD(ROW(),2)=0</formula>
    </cfRule>
  </conditionalFormatting>
  <conditionalFormatting sqref="B7:AJ18 B19:D33 B31:AJ62">
    <cfRule type="expression" dxfId="416" priority="204">
      <formula>MOD(ROW(),2)=0</formula>
    </cfRule>
  </conditionalFormatting>
  <conditionalFormatting sqref="B148:AJ185">
    <cfRule type="expression" dxfId="415" priority="43">
      <formula>MOD(ROW(),2)=0</formula>
    </cfRule>
  </conditionalFormatting>
  <conditionalFormatting sqref="B187:AJ230">
    <cfRule type="expression" dxfId="414" priority="72">
      <formula>MOD(ROW(),2)=0</formula>
    </cfRule>
  </conditionalFormatting>
  <conditionalFormatting sqref="B257:AJ294">
    <cfRule type="expression" dxfId="413" priority="67">
      <formula>MOD(ROW(),2)=0</formula>
    </cfRule>
  </conditionalFormatting>
  <conditionalFormatting sqref="B296:AJ313">
    <cfRule type="expression" dxfId="412" priority="64">
      <formula>MOD(ROW(),2)=0</formula>
    </cfRule>
  </conditionalFormatting>
  <conditionalFormatting sqref="B340:AJ352 F353:AJ366 F367:P368 Q367:AJ370 E369:P370 B371:AJ379">
    <cfRule type="expression" dxfId="411" priority="207">
      <formula>MOD(ROW(),2)=0</formula>
    </cfRule>
  </conditionalFormatting>
  <conditionalFormatting sqref="B382:AJ399">
    <cfRule type="expression" dxfId="410" priority="58">
      <formula>MOD(ROW(),2)=0</formula>
    </cfRule>
  </conditionalFormatting>
  <conditionalFormatting sqref="D35">
    <cfRule type="expression" dxfId="409" priority="213">
      <formula>AND(D35=D25,MOD(ROW(),2)=0)</formula>
    </cfRule>
    <cfRule type="expression" dxfId="408" priority="212">
      <formula>AND(D35=D25,MOD(ROW(),2)=1)</formula>
    </cfRule>
  </conditionalFormatting>
  <conditionalFormatting sqref="D53">
    <cfRule type="expression" dxfId="407" priority="235">
      <formula>MOD(ROW(),2)=0</formula>
    </cfRule>
  </conditionalFormatting>
  <conditionalFormatting sqref="D80">
    <cfRule type="expression" dxfId="406" priority="234">
      <formula>AND(D80=D79,MOD(ROW(),2)=0)</formula>
    </cfRule>
    <cfRule type="expression" dxfId="405" priority="233">
      <formula>AND(D80=D79,MOD(ROW(),2)=1)</formula>
    </cfRule>
  </conditionalFormatting>
  <conditionalFormatting sqref="D90">
    <cfRule type="expression" dxfId="404" priority="13">
      <formula>AND(D90=D89,MOD(ROW(),2)=0)</formula>
    </cfRule>
    <cfRule type="expression" dxfId="403" priority="12">
      <formula>AND(D90=D89,MOD(ROW(),2)=1)</formula>
    </cfRule>
  </conditionalFormatting>
  <conditionalFormatting sqref="D119">
    <cfRule type="expression" dxfId="402" priority="211">
      <formula>AND(D119=D109,MOD(ROW(),2)=0)</formula>
    </cfRule>
    <cfRule type="expression" dxfId="401" priority="210">
      <formula>AND(D119=D109,MOD(ROW(),2)=1)</formula>
    </cfRule>
  </conditionalFormatting>
  <conditionalFormatting sqref="D137">
    <cfRule type="expression" dxfId="400" priority="231">
      <formula>MOD(ROW(),2)=0</formula>
    </cfRule>
  </conditionalFormatting>
  <conditionalFormatting sqref="D176">
    <cfRule type="expression" dxfId="399" priority="229">
      <formula>AND(D176=D175,MOD(ROW(),2)=1)</formula>
    </cfRule>
    <cfRule type="expression" dxfId="398" priority="230">
      <formula>AND(D176=D175,MOD(ROW(),2)=0)</formula>
    </cfRule>
  </conditionalFormatting>
  <conditionalFormatting sqref="D203">
    <cfRule type="expression" dxfId="397" priority="214">
      <formula>AND(D203=D193,MOD(ROW(),2)=1)</formula>
    </cfRule>
    <cfRule type="expression" dxfId="396" priority="215">
      <formula>AND(D203=D193,MOD(ROW(),2)=0)</formula>
    </cfRule>
  </conditionalFormatting>
  <conditionalFormatting sqref="D221">
    <cfRule type="expression" dxfId="395" priority="227">
      <formula>MOD(ROW(),2)=0</formula>
    </cfRule>
  </conditionalFormatting>
  <conditionalFormatting sqref="D248">
    <cfRule type="expression" dxfId="394" priority="225">
      <formula>AND(D248=D247,MOD(ROW(),2)=1)</formula>
    </cfRule>
    <cfRule type="expression" dxfId="393" priority="226">
      <formula>AND(D248=D247,MOD(ROW(),2)=0)</formula>
    </cfRule>
  </conditionalFormatting>
  <conditionalFormatting sqref="D287">
    <cfRule type="expression" dxfId="392" priority="223">
      <formula>MOD(ROW(),2)=0</formula>
    </cfRule>
  </conditionalFormatting>
  <conditionalFormatting sqref="D312">
    <cfRule type="expression" dxfId="391" priority="222">
      <formula>AND(D312=D311,MOD(ROW(),2)=0)</formula>
    </cfRule>
    <cfRule type="expression" dxfId="390" priority="221">
      <formula>AND(D312=D311,MOD(ROW(),2)=1)</formula>
    </cfRule>
  </conditionalFormatting>
  <conditionalFormatting sqref="D341">
    <cfRule type="expression" dxfId="389" priority="209">
      <formula>AND(D341=D321,MOD(ROW(),2)=0)</formula>
    </cfRule>
    <cfRule type="expression" dxfId="388" priority="208">
      <formula>AND(D341=D321,MOD(ROW(),2)=1)</formula>
    </cfRule>
  </conditionalFormatting>
  <conditionalFormatting sqref="E232:E243">
    <cfRule type="expression" dxfId="387" priority="70">
      <formula>MOD(ROW(),2)=0</formula>
    </cfRule>
  </conditionalFormatting>
  <conditionalFormatting sqref="E315:I317">
    <cfRule type="expression" dxfId="386" priority="266">
      <formula>MOD(ROW(),2)=0</formula>
    </cfRule>
  </conditionalFormatting>
  <conditionalFormatting sqref="E19:AJ30">
    <cfRule type="expression" dxfId="385" priority="83">
      <formula>MOD(ROW(),2)=0</formula>
    </cfRule>
  </conditionalFormatting>
  <conditionalFormatting sqref="E63:AJ75">
    <cfRule type="expression" dxfId="384" priority="82">
      <formula>MOD(ROW(),2)=0</formula>
    </cfRule>
  </conditionalFormatting>
  <conditionalFormatting sqref="E90:AJ116">
    <cfRule type="expression" dxfId="383" priority="46">
      <formula>MOD(ROW(),2)=0</formula>
    </cfRule>
  </conditionalFormatting>
  <conditionalFormatting sqref="E318:AJ319">
    <cfRule type="expression" dxfId="382" priority="236">
      <formula>MOD(ROW(),2)=0</formula>
    </cfRule>
  </conditionalFormatting>
  <conditionalFormatting sqref="E321:AJ339">
    <cfRule type="expression" dxfId="381" priority="61">
      <formula>MOD(ROW(),2)=0</formula>
    </cfRule>
  </conditionalFormatting>
  <conditionalFormatting sqref="E380:AJ381">
    <cfRule type="expression" dxfId="380" priority="10">
      <formula>MOD(ROW(),2)=0</formula>
    </cfRule>
  </conditionalFormatting>
  <conditionalFormatting sqref="F243:J243">
    <cfRule type="expression" dxfId="379" priority="136">
      <formula>MOD(ROW(),2)=0</formula>
    </cfRule>
  </conditionalFormatting>
  <conditionalFormatting sqref="F232:AJ242">
    <cfRule type="expression" dxfId="378" priority="137">
      <formula>MOD(ROW(),2)=0</formula>
    </cfRule>
  </conditionalFormatting>
  <conditionalFormatting sqref="J314:AJ317">
    <cfRule type="expression" dxfId="377" priority="268">
      <formula>MOD(ROW(),2)=0</formula>
    </cfRule>
  </conditionalFormatting>
  <hyperlinks>
    <hyperlink ref="A1" location="Index!A1" display="&lt;&lt;Back to Index" xr:uid="{00000000-0004-0000-1300-000000000000}"/>
  </hyperlinks>
  <pageMargins left="0.7" right="0.7" top="0.75" bottom="0.75" header="0.3" footer="0.3"/>
  <pageSetup paperSize="9" orientation="portrait" r:id="rId1"/>
  <headerFooter>
    <oddHeader>&amp;C&amp;"Calibri"&amp;10&amp;KFF0000 OFFICIAL SENSITIVE&amp;1#_x000D_</oddHeader>
  </headerFooter>
  <ignoredErrors>
    <ignoredError sqref="J42:L42 J126:L126 J210:L210 N42 N126 N210 F25 F43 J69 F70 J96 F97 J102 F103 J108 F109 F127 J153 F154 J159 F160 J165 F166 J192 F193 F211 J237 F238 J260 F261 J264 F265 J278 F279 J299 F300 J303 F304 J326 F327 J331 F332 J357 Q357 F358 J362 Q362 F36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BBF83-8252-4C85-AFBB-619D4781C1EB}">
  <sheetPr codeName="Sheet21">
    <tabColor rgb="FF0070C0"/>
  </sheetPr>
  <dimension ref="A1:AE259"/>
  <sheetViews>
    <sheetView zoomScale="85" zoomScaleNormal="85" workbookViewId="0">
      <pane xSplit="7" ySplit="6" topLeftCell="H7" activePane="bottomRight" state="frozen"/>
      <selection pane="topRight" activeCell="H1" sqref="H1"/>
      <selection pane="bottomLeft" activeCell="A7" sqref="A7"/>
      <selection pane="bottomRight" activeCell="B7" sqref="B7"/>
    </sheetView>
  </sheetViews>
  <sheetFormatPr defaultColWidth="8.81640625" defaultRowHeight="14" x14ac:dyDescent="0.35"/>
  <cols>
    <col min="1" max="1" width="1.81640625" style="30" customWidth="1"/>
    <col min="2" max="4" width="12.7265625" style="30" customWidth="1"/>
    <col min="5" max="5" width="10.81640625" style="30" customWidth="1"/>
    <col min="6" max="6" width="10.81640625" style="65" customWidth="1"/>
    <col min="7" max="7" width="24.26953125" style="30" bestFit="1" customWidth="1"/>
    <col min="8" max="10" width="10.81640625" style="458" customWidth="1"/>
    <col min="11" max="11" width="11.81640625" style="65" bestFit="1" customWidth="1"/>
    <col min="12" max="12" width="0.81640625" style="65" customWidth="1"/>
    <col min="13" max="13" width="12.81640625" style="65" bestFit="1" customWidth="1"/>
    <col min="14" max="14" width="0.81640625" style="65" customWidth="1"/>
    <col min="15" max="17" width="10.81640625" style="458" customWidth="1"/>
    <col min="18" max="18" width="11.81640625" style="65" bestFit="1" customWidth="1"/>
    <col min="19" max="31" width="11.81640625" style="65" customWidth="1"/>
    <col min="32" max="16384" width="8.81640625" style="30"/>
  </cols>
  <sheetData>
    <row r="1" spans="1:31" ht="10.4" customHeight="1" x14ac:dyDescent="0.35">
      <c r="A1" s="815" t="s">
        <v>18</v>
      </c>
      <c r="B1" s="816"/>
    </row>
    <row r="2" spans="1:31" s="62" customFormat="1" ht="22.5" customHeight="1" x14ac:dyDescent="0.35">
      <c r="A2" s="61" t="s">
        <v>160</v>
      </c>
      <c r="F2" s="331"/>
      <c r="H2" s="459"/>
      <c r="I2" s="459"/>
      <c r="J2" s="459"/>
      <c r="K2" s="331"/>
      <c r="L2" s="331"/>
      <c r="M2" s="331"/>
      <c r="N2" s="331"/>
      <c r="O2" s="459"/>
      <c r="P2" s="459"/>
      <c r="Q2" s="459"/>
      <c r="R2" s="331"/>
      <c r="S2" s="331"/>
      <c r="T2" s="331"/>
      <c r="U2" s="331"/>
      <c r="V2" s="331"/>
      <c r="W2" s="331"/>
      <c r="X2" s="331"/>
      <c r="Y2" s="331"/>
      <c r="Z2" s="331"/>
      <c r="AA2" s="331"/>
      <c r="AB2" s="331"/>
      <c r="AC2" s="331"/>
      <c r="AD2" s="331"/>
      <c r="AE2" s="331"/>
    </row>
    <row r="3" spans="1:31" s="129" customFormat="1" x14ac:dyDescent="0.3">
      <c r="B3" s="461"/>
      <c r="C3" s="461"/>
      <c r="D3" s="461"/>
      <c r="E3" s="461"/>
      <c r="F3" s="462"/>
      <c r="G3" s="461"/>
      <c r="H3" s="894" t="str">
        <f>PY</f>
        <v>2025-26</v>
      </c>
      <c r="I3" s="894"/>
      <c r="J3" s="894"/>
      <c r="K3" s="894"/>
      <c r="L3" s="463"/>
      <c r="M3" s="562" t="str">
        <f>FY</f>
        <v>2026-27</v>
      </c>
      <c r="N3" s="463"/>
      <c r="O3" s="894" t="str">
        <f>FY</f>
        <v>2026-27</v>
      </c>
      <c r="P3" s="894"/>
      <c r="Q3" s="894"/>
      <c r="R3" s="894"/>
      <c r="S3" s="463"/>
      <c r="T3" s="463"/>
      <c r="U3" s="463"/>
      <c r="V3" s="463"/>
      <c r="W3" s="463"/>
      <c r="X3" s="463"/>
      <c r="Y3" s="463"/>
      <c r="Z3" s="463"/>
      <c r="AA3" s="463"/>
      <c r="AB3" s="463"/>
      <c r="AC3" s="463"/>
      <c r="AD3" s="463"/>
      <c r="AE3" s="463"/>
    </row>
    <row r="4" spans="1:31" s="129" customFormat="1" ht="14.5" customHeight="1" x14ac:dyDescent="0.3">
      <c r="B4" s="461"/>
      <c r="C4" s="461"/>
      <c r="D4" s="461"/>
      <c r="E4" s="461"/>
      <c r="F4" s="464" t="str">
        <f t="shared" ref="F4:K4" si="0">$H$3</f>
        <v>2025-26</v>
      </c>
      <c r="G4" s="461"/>
      <c r="H4" s="466" t="str">
        <f>$H$3</f>
        <v>2025-26</v>
      </c>
      <c r="I4" s="466" t="str">
        <f t="shared" si="0"/>
        <v>2025-26</v>
      </c>
      <c r="J4" s="466" t="str">
        <f t="shared" si="0"/>
        <v>2025-26</v>
      </c>
      <c r="K4" s="464" t="str">
        <f t="shared" si="0"/>
        <v>2025-26</v>
      </c>
      <c r="L4" s="464"/>
      <c r="M4" s="464" t="str">
        <f>FY</f>
        <v>2026-27</v>
      </c>
      <c r="N4" s="464"/>
      <c r="O4" s="466" t="str">
        <f>$O$3</f>
        <v>2026-27</v>
      </c>
      <c r="P4" s="466" t="str">
        <f>$O$3</f>
        <v>2026-27</v>
      </c>
      <c r="Q4" s="466" t="str">
        <f>$O$3</f>
        <v>2026-27</v>
      </c>
      <c r="R4" s="464" t="str">
        <f>$O$3</f>
        <v>2026-27</v>
      </c>
      <c r="S4" s="464"/>
      <c r="T4" s="464"/>
      <c r="U4" s="464"/>
      <c r="V4" s="464"/>
      <c r="W4" s="464"/>
      <c r="X4" s="464"/>
      <c r="Y4" s="464"/>
      <c r="Z4" s="464"/>
      <c r="AA4" s="464"/>
      <c r="AB4" s="464"/>
      <c r="AC4" s="464"/>
      <c r="AD4" s="464"/>
      <c r="AE4" s="464"/>
    </row>
    <row r="5" spans="1:31" s="64" customFormat="1" x14ac:dyDescent="0.35">
      <c r="B5" s="361" t="s">
        <v>1</v>
      </c>
      <c r="C5" s="361" t="s">
        <v>10</v>
      </c>
      <c r="D5" s="361" t="s">
        <v>22</v>
      </c>
      <c r="E5" s="361" t="s">
        <v>11</v>
      </c>
      <c r="F5" s="363" t="s">
        <v>24</v>
      </c>
      <c r="G5" s="361" t="s">
        <v>32</v>
      </c>
      <c r="H5" s="468" t="s">
        <v>46</v>
      </c>
      <c r="I5" s="468" t="s">
        <v>47</v>
      </c>
      <c r="J5" s="468" t="s">
        <v>21</v>
      </c>
      <c r="K5" s="471" t="s">
        <v>23</v>
      </c>
      <c r="L5" s="471"/>
      <c r="M5" s="471" t="s">
        <v>20</v>
      </c>
      <c r="N5" s="471"/>
      <c r="O5" s="468" t="s">
        <v>46</v>
      </c>
      <c r="P5" s="468" t="s">
        <v>47</v>
      </c>
      <c r="Q5" s="468" t="s">
        <v>21</v>
      </c>
      <c r="R5" s="471" t="s">
        <v>23</v>
      </c>
      <c r="S5" s="471"/>
      <c r="T5" s="471"/>
      <c r="U5" s="471"/>
      <c r="V5" s="471"/>
      <c r="W5" s="471"/>
      <c r="X5" s="471"/>
      <c r="Y5" s="471"/>
      <c r="Z5" s="471"/>
      <c r="AA5" s="471"/>
      <c r="AB5" s="471"/>
      <c r="AC5" s="471"/>
      <c r="AD5" s="471"/>
      <c r="AE5" s="471"/>
    </row>
    <row r="6" spans="1:31" s="472" customFormat="1" x14ac:dyDescent="0.35">
      <c r="B6" s="473"/>
      <c r="C6" s="473"/>
      <c r="D6" s="473"/>
      <c r="E6" s="473"/>
      <c r="F6" s="474" t="s">
        <v>53</v>
      </c>
      <c r="G6" s="473"/>
      <c r="H6" s="475" t="s">
        <v>68</v>
      </c>
      <c r="I6" s="475" t="s">
        <v>44</v>
      </c>
      <c r="J6" s="475" t="s">
        <v>45</v>
      </c>
      <c r="K6" s="478" t="s">
        <v>27</v>
      </c>
      <c r="L6" s="478"/>
      <c r="M6" s="478" t="s">
        <v>27</v>
      </c>
      <c r="N6" s="478"/>
      <c r="O6" s="475" t="s">
        <v>68</v>
      </c>
      <c r="P6" s="475" t="s">
        <v>44</v>
      </c>
      <c r="Q6" s="475" t="s">
        <v>45</v>
      </c>
      <c r="R6" s="478" t="s">
        <v>27</v>
      </c>
      <c r="S6" s="478"/>
      <c r="T6" s="478"/>
      <c r="U6" s="478"/>
      <c r="V6" s="478"/>
      <c r="W6" s="478"/>
      <c r="X6" s="478"/>
      <c r="Y6" s="478"/>
      <c r="Z6" s="478"/>
      <c r="AA6" s="478"/>
      <c r="AB6" s="478"/>
      <c r="AC6" s="478"/>
      <c r="AD6" s="478"/>
      <c r="AE6" s="478"/>
    </row>
    <row r="7" spans="1:31" x14ac:dyDescent="0.35">
      <c r="F7" s="256"/>
      <c r="G7" s="64"/>
      <c r="K7" s="607"/>
      <c r="L7" s="98"/>
      <c r="M7" s="607"/>
      <c r="N7" s="98"/>
      <c r="R7" s="607"/>
      <c r="S7" s="607"/>
      <c r="T7" s="607"/>
      <c r="U7" s="607"/>
      <c r="V7" s="607"/>
      <c r="W7" s="607"/>
      <c r="X7" s="607"/>
      <c r="Y7" s="607"/>
      <c r="Z7" s="607"/>
      <c r="AA7" s="607"/>
      <c r="AB7" s="607"/>
      <c r="AC7" s="607"/>
      <c r="AD7" s="607"/>
      <c r="AE7" s="607"/>
    </row>
    <row r="8" spans="1:31" x14ac:dyDescent="0.35">
      <c r="B8" s="64" t="s">
        <v>2</v>
      </c>
      <c r="C8" s="64" t="s">
        <v>6</v>
      </c>
      <c r="D8" s="64" t="s">
        <v>276</v>
      </c>
      <c r="F8" s="258"/>
      <c r="K8" s="607"/>
      <c r="L8" s="98"/>
      <c r="M8" s="607"/>
      <c r="N8" s="98"/>
      <c r="R8" s="607"/>
      <c r="S8" s="607"/>
      <c r="T8" s="607"/>
      <c r="U8" s="607"/>
      <c r="V8" s="607"/>
      <c r="W8" s="607"/>
      <c r="X8" s="607"/>
      <c r="Y8" s="607"/>
      <c r="Z8" s="607"/>
      <c r="AA8" s="607"/>
      <c r="AB8" s="607"/>
      <c r="AC8" s="607"/>
      <c r="AD8" s="607"/>
      <c r="AE8" s="607"/>
    </row>
    <row r="9" spans="1:31" x14ac:dyDescent="0.35">
      <c r="B9" s="66" t="str">
        <f t="shared" ref="B9:D10" si="1">B8</f>
        <v>Ausgrid</v>
      </c>
      <c r="C9" s="66" t="str">
        <f t="shared" si="1"/>
        <v>Residential</v>
      </c>
      <c r="D9" s="66" t="str">
        <f t="shared" si="1"/>
        <v>flat rate</v>
      </c>
      <c r="E9" s="30" t="s">
        <v>19</v>
      </c>
      <c r="F9" s="258" cm="1">
        <f t="array" ref="F9">IFERROR(_xlfn.XLOOKUP(1,($B9=DistributionZone)*($C9=CustomerType)*($E9=tariffType)*(F$5=Description),valuesFY),0)</f>
        <v>3900</v>
      </c>
      <c r="G9" s="30" t="s">
        <v>220</v>
      </c>
      <c r="H9" s="482" cm="1">
        <f t="array" ref="H9">IFERROR(_xlfn.XLOOKUP(1,($B9=DistributionZone)*($C9=CustomerType)*(H$5=Desc_FixedOrVar)*($G9=Description),valuesPY),0)</f>
        <v>186.09139457871049</v>
      </c>
      <c r="I9" s="482"/>
      <c r="J9" s="482">
        <f>IF(AND(H9="",I9=""),"",H9+I9*$F9/1000)</f>
        <v>186.09139457871049</v>
      </c>
      <c r="K9" s="484">
        <f>IFERROR(J9/J13,"")</f>
        <v>0.69219903820062345</v>
      </c>
      <c r="L9" s="651"/>
      <c r="M9" s="484">
        <f>IF(OR(J9=0,Q9=""),"",Q9/J9-1)</f>
        <v>-0.10996309394218884</v>
      </c>
      <c r="N9" s="651"/>
      <c r="O9" s="482" cm="1">
        <f t="array" ref="O9">IFERROR(_xlfn.XLOOKUP(1,($B9=DistributionZone)*($C9=CustomerType)*(O$5=Desc_FixedOrVar)*($G9=Description),valuesFY),0)</f>
        <v>165.62820907481881</v>
      </c>
      <c r="P9" s="482"/>
      <c r="Q9" s="482">
        <f>IF(AND(O9="",P9=""),"",O9+P9*$F9/1000)</f>
        <v>165.62820907481881</v>
      </c>
      <c r="R9" s="484">
        <f>IFERROR(Q9/Q13,"")</f>
        <v>0.63988669178342206</v>
      </c>
      <c r="S9" s="484"/>
      <c r="T9" s="607"/>
      <c r="U9" s="484"/>
      <c r="V9" s="484"/>
      <c r="W9" s="484"/>
      <c r="X9" s="484"/>
      <c r="Y9" s="484"/>
      <c r="Z9" s="484"/>
      <c r="AA9" s="484"/>
      <c r="AB9" s="484"/>
      <c r="AC9" s="484"/>
      <c r="AD9" s="484"/>
      <c r="AE9" s="484"/>
    </row>
    <row r="10" spans="1:31" x14ac:dyDescent="0.35">
      <c r="B10" s="66" t="str">
        <f t="shared" si="1"/>
        <v>Ausgrid</v>
      </c>
      <c r="C10" s="66" t="str">
        <f t="shared" si="1"/>
        <v>Residential</v>
      </c>
      <c r="D10" s="66" t="str">
        <f t="shared" si="1"/>
        <v>flat rate</v>
      </c>
      <c r="E10" s="30" t="s">
        <v>19</v>
      </c>
      <c r="F10" s="258">
        <f>F9</f>
        <v>3900</v>
      </c>
      <c r="G10" s="379" t="s">
        <v>222</v>
      </c>
      <c r="H10" s="482" cm="1">
        <f t="array" ref="H10">IFERROR(_xlfn.XLOOKUP(1,($B10=DistributionZone)*($C10=CustomerType)*(H$5=Desc_FixedOrVar)*($G10=Description),valuesPY),0)</f>
        <v>45.577390441413243</v>
      </c>
      <c r="I10" s="482"/>
      <c r="J10" s="482">
        <f>IF(AND(H10="",I10=""),"",H10+I10*$F10/1000)</f>
        <v>45.577390441413243</v>
      </c>
      <c r="K10" s="484">
        <f>IFERROR(J10/J13,"")</f>
        <v>0.16953296469545512</v>
      </c>
      <c r="L10" s="651"/>
      <c r="M10" s="484">
        <f>IF(OR(J10=0,Q10=""),"",Q10/J10-1)</f>
        <v>0.23264468580554709</v>
      </c>
      <c r="N10" s="651"/>
      <c r="O10" s="482" cm="1">
        <f t="array" ref="O10">IFERROR(_xlfn.XLOOKUP(1,($B10=DistributionZone)*($C10=CustomerType)*(O$5=Desc_FixedOrVar)*($G10=Description),valuesFY),0)</f>
        <v>56.180728120492574</v>
      </c>
      <c r="P10" s="482"/>
      <c r="Q10" s="482">
        <f>IF(AND(O10="",P10=""),"",O10+P10*$F10/1000)</f>
        <v>56.180728120492574</v>
      </c>
      <c r="R10" s="484">
        <f>IFERROR(Q10/Q13,"")</f>
        <v>0.2170481734954133</v>
      </c>
      <c r="S10" s="484"/>
      <c r="T10" s="607"/>
      <c r="U10" s="484"/>
      <c r="V10" s="484"/>
      <c r="W10" s="484"/>
      <c r="X10" s="484"/>
      <c r="Y10" s="484"/>
      <c r="Z10" s="484"/>
      <c r="AA10" s="484"/>
      <c r="AB10" s="484"/>
      <c r="AC10" s="484"/>
      <c r="AD10" s="484"/>
      <c r="AE10" s="484"/>
    </row>
    <row r="11" spans="1:31" x14ac:dyDescent="0.35">
      <c r="B11" s="66" t="str">
        <f t="shared" ref="B11:D12" si="2">B10</f>
        <v>Ausgrid</v>
      </c>
      <c r="C11" s="66" t="str">
        <f t="shared" si="2"/>
        <v>Residential</v>
      </c>
      <c r="D11" s="66" t="str">
        <f t="shared" si="2"/>
        <v>flat rate</v>
      </c>
      <c r="E11" s="30" t="s">
        <v>19</v>
      </c>
      <c r="F11" s="258">
        <f>F10</f>
        <v>3900</v>
      </c>
      <c r="G11" s="30" t="s">
        <v>158</v>
      </c>
      <c r="H11" s="482" cm="1">
        <f t="array" ref="H11">IFERROR(_xlfn.XLOOKUP(1,($B11=DistributionZone)*($C11=CustomerType)*(H$5=Desc_FixedOrVar)*($G11=Description),valuesPY),0)</f>
        <v>35.525753173047072</v>
      </c>
      <c r="I11" s="482"/>
      <c r="J11" s="482">
        <f>IF(AND(H11="",I11=""),"",H11+I11*$F11/1000)</f>
        <v>35.525753173047072</v>
      </c>
      <c r="K11" s="484">
        <f>IFERROR(J11/J13,"")</f>
        <v>0.13214416622223116</v>
      </c>
      <c r="L11" s="651"/>
      <c r="M11" s="484">
        <f>IF(OR(J11=0,Q11=""),"",Q11/J11-1)</f>
        <v>1.4379688046419314E-2</v>
      </c>
      <c r="N11" s="651"/>
      <c r="O11" s="482" cm="1">
        <f t="array" ref="O11">IFERROR(_xlfn.XLOOKUP(1,($B11=DistributionZone)*($C11=CustomerType)*(O$5=Desc_FixedOrVar)*($G11=Description),valuesFY),0)</f>
        <v>36.036602421289579</v>
      </c>
      <c r="P11" s="482"/>
      <c r="Q11" s="482">
        <f>IF(AND(O11="",P11=""),"",O11+P11*$F11/1000)</f>
        <v>36.036602421289579</v>
      </c>
      <c r="R11" s="484">
        <f>IFERROR(Q11/Q13,"")</f>
        <v>0.13922352016773246</v>
      </c>
      <c r="S11" s="484"/>
      <c r="T11" s="607"/>
      <c r="U11" s="484"/>
      <c r="V11" s="484"/>
      <c r="W11" s="484"/>
      <c r="X11" s="484"/>
      <c r="Y11" s="484"/>
      <c r="Z11" s="484"/>
      <c r="AA11" s="484"/>
      <c r="AB11" s="484"/>
      <c r="AC11" s="484"/>
      <c r="AD11" s="484"/>
      <c r="AE11" s="484"/>
    </row>
    <row r="12" spans="1:31" x14ac:dyDescent="0.35">
      <c r="B12" s="66" t="str">
        <f t="shared" si="2"/>
        <v>Ausgrid</v>
      </c>
      <c r="C12" s="66" t="str">
        <f t="shared" si="2"/>
        <v>Residential</v>
      </c>
      <c r="D12" s="66" t="str">
        <f t="shared" si="2"/>
        <v>flat rate</v>
      </c>
      <c r="E12" s="30" t="s">
        <v>19</v>
      </c>
      <c r="F12" s="258">
        <f>F11</f>
        <v>3900</v>
      </c>
      <c r="G12" s="30" t="s">
        <v>190</v>
      </c>
      <c r="H12" s="482" cm="1">
        <f t="array" ref="H12">IFERROR(_xlfn.XLOOKUP(1,($B12=DistributionZone)*($C12=CustomerType)*(H$5=Desc_FixedOrVar)*($G12=Description),valuesPY),0)</f>
        <v>1.6463360479383711</v>
      </c>
      <c r="I12" s="482"/>
      <c r="J12" s="482">
        <f>IF(AND(H12="",I12=""),"",H12+I12*$F12/1000)</f>
        <v>1.6463360479383711</v>
      </c>
      <c r="K12" s="484">
        <f>IFERROR(J12/J13,"")</f>
        <v>6.1238308816904813E-3</v>
      </c>
      <c r="L12" s="651"/>
      <c r="M12" s="484">
        <f>IF(OR(J12=0,Q12=""),0,Q12/J12-1)</f>
        <v>-0.39601447792260036</v>
      </c>
      <c r="N12" s="651"/>
      <c r="O12" s="482" cm="1">
        <f t="array" ref="O12">IFERROR(_xlfn.XLOOKUP(1,($B12=DistributionZone)*($C12=CustomerType)*(O$5=Desc_FixedOrVar)*($G12=Description),valuesFY),0)</f>
        <v>0.99436313742889981</v>
      </c>
      <c r="P12" s="482"/>
      <c r="Q12" s="482">
        <f>IF(AND(O12="",P12=""),"",O12+P12*$F12/1000)</f>
        <v>0.99436313742889981</v>
      </c>
      <c r="R12" s="484">
        <f>IFERROR(Q12/Q13,"")</f>
        <v>3.8416145534323678E-3</v>
      </c>
      <c r="S12" s="484"/>
      <c r="T12" s="607"/>
      <c r="U12" s="484"/>
      <c r="V12" s="484"/>
      <c r="W12" s="484"/>
      <c r="X12" s="484"/>
      <c r="Y12" s="484"/>
      <c r="Z12" s="484"/>
      <c r="AA12" s="484"/>
      <c r="AB12" s="484"/>
      <c r="AC12" s="484"/>
      <c r="AD12" s="484"/>
      <c r="AE12" s="484"/>
    </row>
    <row r="13" spans="1:31" s="65" customFormat="1" x14ac:dyDescent="0.35">
      <c r="A13" s="30"/>
      <c r="B13" s="66" t="str">
        <f t="shared" ref="B13:C17" si="3">B12</f>
        <v>Ausgrid</v>
      </c>
      <c r="C13" s="66" t="str">
        <f t="shared" si="3"/>
        <v>Residential</v>
      </c>
      <c r="D13" s="66" t="str">
        <f>+D11</f>
        <v>flat rate</v>
      </c>
      <c r="E13" s="30" t="s">
        <v>19</v>
      </c>
      <c r="F13" s="258">
        <f>F12</f>
        <v>3900</v>
      </c>
      <c r="G13" s="64" t="s">
        <v>55</v>
      </c>
      <c r="H13" s="487">
        <f>SUM(H9:H12)</f>
        <v>268.84087424110913</v>
      </c>
      <c r="I13" s="487">
        <f>SUM(I9:I12)</f>
        <v>0</v>
      </c>
      <c r="J13" s="487">
        <f>IF(AND(H13="",I13=""),"",H13+I13*$F13/1000)</f>
        <v>268.84087424110913</v>
      </c>
      <c r="K13" s="564"/>
      <c r="L13" s="487"/>
      <c r="M13" s="564">
        <f>IF(OR(J13=0,Q13=""),"",Q13/J13-1)</f>
        <v>-3.720033836115999E-2</v>
      </c>
      <c r="N13" s="487"/>
      <c r="O13" s="487">
        <f>SUM(O9:O12)</f>
        <v>258.83990275402982</v>
      </c>
      <c r="P13" s="487">
        <f>SUM(P9:P12)</f>
        <v>0</v>
      </c>
      <c r="Q13" s="487">
        <f>IF(AND(O13="",P13=""),"",O13+P13*$F13/1000)</f>
        <v>258.83990275402982</v>
      </c>
      <c r="R13" s="484"/>
      <c r="S13" s="484"/>
      <c r="T13" s="607"/>
      <c r="U13" s="484"/>
      <c r="V13" s="484"/>
      <c r="W13" s="484"/>
      <c r="X13" s="484"/>
      <c r="Y13" s="484"/>
      <c r="Z13" s="484"/>
      <c r="AA13" s="484"/>
      <c r="AB13" s="484"/>
      <c r="AC13" s="484"/>
      <c r="AD13" s="484"/>
      <c r="AE13" s="484"/>
    </row>
    <row r="14" spans="1:31" s="65" customFormat="1" x14ac:dyDescent="0.35">
      <c r="A14" s="30"/>
      <c r="B14" s="66" t="str">
        <f t="shared" si="3"/>
        <v>Ausgrid</v>
      </c>
      <c r="C14" s="66" t="str">
        <f t="shared" si="3"/>
        <v>Residential</v>
      </c>
      <c r="D14" s="66" t="str">
        <f>D13</f>
        <v>flat rate</v>
      </c>
      <c r="E14" s="30" t="s">
        <v>19</v>
      </c>
      <c r="F14" s="258">
        <f>F13</f>
        <v>3900</v>
      </c>
      <c r="G14" s="30" t="s">
        <v>161</v>
      </c>
      <c r="H14" s="482"/>
      <c r="I14" s="482"/>
      <c r="J14" s="482">
        <f>J13*CPIPY</f>
        <v>15.261558748919324</v>
      </c>
      <c r="K14" s="484"/>
      <c r="L14" s="482"/>
      <c r="M14" s="484">
        <f>IF(OR(J14=0,Q14=""),"",Q14/J14-1)</f>
        <v>0.24067645237113067</v>
      </c>
      <c r="N14" s="482"/>
      <c r="O14" s="482"/>
      <c r="P14" s="482"/>
      <c r="Q14" s="482">
        <f>Q13*CPI</f>
        <v>18.934656566262817</v>
      </c>
      <c r="R14" s="484"/>
      <c r="S14" s="484"/>
      <c r="T14" s="607"/>
      <c r="U14" s="484"/>
      <c r="V14" s="484"/>
      <c r="W14" s="484"/>
      <c r="X14" s="484"/>
      <c r="Y14" s="484"/>
      <c r="Z14" s="484"/>
      <c r="AA14" s="484"/>
      <c r="AB14" s="484"/>
      <c r="AC14" s="484"/>
      <c r="AD14" s="484"/>
      <c r="AE14" s="484"/>
    </row>
    <row r="15" spans="1:31" s="65" customFormat="1" x14ac:dyDescent="0.35">
      <c r="A15" s="30"/>
      <c r="B15" s="66" t="str">
        <f t="shared" si="3"/>
        <v>Ausgrid</v>
      </c>
      <c r="C15" s="66" t="str">
        <f t="shared" si="3"/>
        <v>Residential</v>
      </c>
      <c r="D15" s="66" t="str">
        <f>D14</f>
        <v>flat rate</v>
      </c>
      <c r="E15" s="30"/>
      <c r="F15" s="258"/>
      <c r="G15" s="30" t="s">
        <v>38</v>
      </c>
      <c r="H15" s="482"/>
      <c r="I15" s="482"/>
      <c r="J15" s="482">
        <f>SUM(J13,J14)*GST</f>
        <v>28.410243299002843</v>
      </c>
      <c r="K15" s="484"/>
      <c r="L15" s="482"/>
      <c r="M15" s="484">
        <f>IF(OR(J15=0,Q15=""),0,Q15/J15-1)</f>
        <v>-2.2273211824123673E-2</v>
      </c>
      <c r="N15" s="482"/>
      <c r="O15" s="482"/>
      <c r="P15" s="482"/>
      <c r="Q15" s="482">
        <f>SUM(Q13,Q14)*GST</f>
        <v>27.777455932029262</v>
      </c>
      <c r="R15" s="564"/>
      <c r="S15" s="564"/>
      <c r="T15" s="611"/>
      <c r="U15" s="564"/>
      <c r="V15" s="564"/>
      <c r="W15" s="564"/>
      <c r="X15" s="564"/>
      <c r="Y15" s="564"/>
      <c r="Z15" s="564"/>
      <c r="AA15" s="564"/>
      <c r="AB15" s="564"/>
      <c r="AC15" s="564"/>
      <c r="AD15" s="564"/>
      <c r="AE15" s="564"/>
    </row>
    <row r="16" spans="1:31" s="65" customFormat="1" x14ac:dyDescent="0.35">
      <c r="A16" s="30"/>
      <c r="B16" s="66" t="str">
        <f t="shared" si="3"/>
        <v>Ausgrid</v>
      </c>
      <c r="C16" s="66" t="str">
        <f t="shared" si="3"/>
        <v>Residential</v>
      </c>
      <c r="D16" s="66" t="str">
        <f>D15</f>
        <v>flat rate</v>
      </c>
      <c r="E16" s="30"/>
      <c r="F16" s="258"/>
      <c r="G16" s="64" t="s">
        <v>79</v>
      </c>
      <c r="H16" s="487"/>
      <c r="I16" s="487"/>
      <c r="J16" s="487">
        <f>SUM(J13:J15)</f>
        <v>312.51267628903128</v>
      </c>
      <c r="K16" s="564"/>
      <c r="L16" s="487"/>
      <c r="M16" s="564">
        <f>IF(OR(J16=0,Q16=""),"",Q16/J16-1)</f>
        <v>-2.2273211824123673E-2</v>
      </c>
      <c r="N16" s="487"/>
      <c r="O16" s="487"/>
      <c r="P16" s="487"/>
      <c r="Q16" s="487">
        <f>SUM(Q13:Q15)</f>
        <v>305.55201525232189</v>
      </c>
      <c r="R16" s="564"/>
      <c r="S16" s="564"/>
      <c r="T16" s="611"/>
      <c r="U16" s="564"/>
      <c r="V16" s="564"/>
      <c r="W16" s="564"/>
      <c r="X16" s="564"/>
      <c r="Y16" s="564"/>
      <c r="Z16" s="564"/>
      <c r="AA16" s="564"/>
      <c r="AB16" s="564"/>
      <c r="AC16" s="564"/>
      <c r="AD16" s="564"/>
      <c r="AE16" s="564"/>
    </row>
    <row r="17" spans="1:31" s="65" customFormat="1" x14ac:dyDescent="0.35">
      <c r="A17" s="30"/>
      <c r="B17" s="66" t="str">
        <f t="shared" si="3"/>
        <v>Ausgrid</v>
      </c>
      <c r="C17" s="66" t="str">
        <f t="shared" si="3"/>
        <v>Residential</v>
      </c>
      <c r="D17" s="66" t="str">
        <f>D16</f>
        <v>flat rate</v>
      </c>
      <c r="E17" s="30"/>
      <c r="F17" s="258"/>
      <c r="G17" s="30"/>
      <c r="H17" s="482"/>
      <c r="I17" s="482"/>
      <c r="J17" s="482"/>
      <c r="K17" s="484"/>
      <c r="L17" s="482"/>
      <c r="M17" s="484"/>
      <c r="N17" s="482"/>
      <c r="O17" s="482"/>
      <c r="P17" s="482"/>
      <c r="Q17" s="482"/>
      <c r="R17" s="484"/>
      <c r="S17" s="484"/>
      <c r="T17" s="607"/>
      <c r="U17" s="484"/>
      <c r="V17" s="484"/>
      <c r="W17" s="484"/>
      <c r="X17" s="484"/>
      <c r="Y17" s="484"/>
      <c r="Z17" s="484"/>
      <c r="AA17" s="484"/>
      <c r="AB17" s="484"/>
      <c r="AC17" s="484"/>
      <c r="AD17" s="484"/>
      <c r="AE17" s="484"/>
    </row>
    <row r="18" spans="1:31" s="570" customFormat="1" x14ac:dyDescent="0.35">
      <c r="B18" s="571" t="s">
        <v>2</v>
      </c>
      <c r="C18" s="571" t="s">
        <v>6</v>
      </c>
      <c r="D18" s="571" t="s">
        <v>272</v>
      </c>
      <c r="F18" s="485"/>
      <c r="H18" s="652"/>
      <c r="I18" s="652"/>
      <c r="J18" s="652"/>
      <c r="K18" s="612"/>
      <c r="L18" s="653"/>
      <c r="M18" s="612"/>
      <c r="N18" s="653"/>
      <c r="O18" s="652"/>
      <c r="P18" s="652"/>
      <c r="Q18" s="652"/>
      <c r="R18" s="612"/>
      <c r="S18" s="612"/>
      <c r="T18" s="612"/>
      <c r="U18" s="612"/>
      <c r="V18" s="612"/>
      <c r="W18" s="612"/>
      <c r="X18" s="612"/>
      <c r="Y18" s="612"/>
      <c r="Z18" s="612"/>
      <c r="AA18" s="612"/>
      <c r="AB18" s="612"/>
      <c r="AC18" s="612"/>
      <c r="AD18" s="612"/>
      <c r="AE18" s="612"/>
    </row>
    <row r="19" spans="1:31" s="570" customFormat="1" x14ac:dyDescent="0.35">
      <c r="B19" s="570" t="str">
        <f t="shared" ref="B19:D22" si="4">B18</f>
        <v>Ausgrid</v>
      </c>
      <c r="C19" s="570" t="str">
        <f t="shared" si="4"/>
        <v>Residential</v>
      </c>
      <c r="D19" s="570" t="str">
        <f t="shared" si="4"/>
        <v>time of use</v>
      </c>
      <c r="E19" s="570" t="s">
        <v>19</v>
      </c>
      <c r="F19" s="485" cm="1">
        <f t="array" ref="F19">IFERROR(_xlfn.XLOOKUP(1,($B19=DistributionZone)*($C19=CustomerType)*($E19=tariffType)*(F$5=Description),valuesFY),0)</f>
        <v>3900</v>
      </c>
      <c r="G19" s="570" t="s">
        <v>220</v>
      </c>
      <c r="H19" s="574" cm="1">
        <f t="array" ref="H19">IFERROR(_xlfn.XLOOKUP(1,($B19=DistributionZone)*($C19=CustomerType)*(H$5=Desc_FixedOrVar)*($G19=Description),valuesPY),0)</f>
        <v>186.09139457871049</v>
      </c>
      <c r="I19" s="574"/>
      <c r="J19" s="574">
        <f>IF(AND(H19="",I19=""),"",H19+I19*$F19/1000)</f>
        <v>186.09139457871049</v>
      </c>
      <c r="K19" s="575" t="str">
        <f>IFERROR(J19/J23,"")</f>
        <v/>
      </c>
      <c r="L19" s="654"/>
      <c r="M19" s="575">
        <f>IF(OR(J19=0,Q19=""),"",Q19/J19-1)</f>
        <v>-0.10996309394218884</v>
      </c>
      <c r="N19" s="654"/>
      <c r="O19" s="574" cm="1">
        <f t="array" ref="O19">IFERROR(_xlfn.XLOOKUP(1,($B19=DistributionZone)*($C19=CustomerType)*(O$5=Desc_FixedOrVar)*($G19=Description),valuesFY),0)</f>
        <v>165.62820907481881</v>
      </c>
      <c r="P19" s="574"/>
      <c r="Q19" s="574">
        <f>IF(AND(O19="",P19=""),"",O19+P19*$F19/1000)</f>
        <v>165.62820907481881</v>
      </c>
      <c r="R19" s="575">
        <f>IFERROR(Q19/Q23,"")</f>
        <v>0.63988669178342206</v>
      </c>
      <c r="S19" s="575"/>
      <c r="T19" s="612"/>
      <c r="U19" s="575"/>
      <c r="V19" s="575"/>
      <c r="W19" s="575"/>
      <c r="X19" s="575"/>
      <c r="Y19" s="575"/>
      <c r="Z19" s="575"/>
      <c r="AA19" s="575"/>
      <c r="AB19" s="575"/>
      <c r="AC19" s="575"/>
      <c r="AD19" s="575"/>
      <c r="AE19" s="575"/>
    </row>
    <row r="20" spans="1:31" s="570" customFormat="1" x14ac:dyDescent="0.35">
      <c r="B20" s="570" t="str">
        <f t="shared" si="4"/>
        <v>Ausgrid</v>
      </c>
      <c r="C20" s="570" t="str">
        <f t="shared" si="4"/>
        <v>Residential</v>
      </c>
      <c r="D20" s="570" t="str">
        <f t="shared" si="4"/>
        <v>time of use</v>
      </c>
      <c r="E20" s="570" t="s">
        <v>19</v>
      </c>
      <c r="F20" s="485">
        <f>F19</f>
        <v>3900</v>
      </c>
      <c r="G20" s="615" t="s">
        <v>222</v>
      </c>
      <c r="H20" s="574" cm="1">
        <f t="array" ref="H20">IFERROR(_xlfn.XLOOKUP(1,($B20=DistributionZone)*($C20=CustomerType)*(H$5=Desc_FixedOrVar)*($G20=Description),valuesPY),0)</f>
        <v>45.577390441413243</v>
      </c>
      <c r="I20" s="574"/>
      <c r="J20" s="574">
        <f>IF(AND(H20="",I20=""),"",H20+I20*$F20/1000)</f>
        <v>45.577390441413243</v>
      </c>
      <c r="K20" s="575" t="str">
        <f>IFERROR(J20/J23,"")</f>
        <v/>
      </c>
      <c r="L20" s="654"/>
      <c r="M20" s="575">
        <f>IF(OR(J20=0,Q20=""),"",Q20/J20-1)</f>
        <v>0.23264468580554709</v>
      </c>
      <c r="N20" s="654"/>
      <c r="O20" s="574" cm="1">
        <f t="array" ref="O20">IFERROR(_xlfn.XLOOKUP(1,($B20=DistributionZone)*($C20=CustomerType)*(O$5=Desc_FixedOrVar)*($G20=Description),valuesFY),0)</f>
        <v>56.180728120492574</v>
      </c>
      <c r="P20" s="574"/>
      <c r="Q20" s="574">
        <f>IF(AND(O20="",P20=""),"",O20+P20*$F20/1000)</f>
        <v>56.180728120492574</v>
      </c>
      <c r="R20" s="575">
        <f>IFERROR(Q20/Q23,"")</f>
        <v>0.2170481734954133</v>
      </c>
      <c r="S20" s="575"/>
      <c r="T20" s="612"/>
      <c r="U20" s="575"/>
      <c r="V20" s="575"/>
      <c r="W20" s="575"/>
      <c r="X20" s="575"/>
      <c r="Y20" s="575"/>
      <c r="Z20" s="575"/>
      <c r="AA20" s="575"/>
      <c r="AB20" s="575"/>
      <c r="AC20" s="575"/>
      <c r="AD20" s="575"/>
      <c r="AE20" s="575"/>
    </row>
    <row r="21" spans="1:31" s="570" customFormat="1" x14ac:dyDescent="0.35">
      <c r="B21" s="570" t="str">
        <f t="shared" si="4"/>
        <v>Ausgrid</v>
      </c>
      <c r="C21" s="570" t="str">
        <f t="shared" si="4"/>
        <v>Residential</v>
      </c>
      <c r="D21" s="570" t="str">
        <f t="shared" si="4"/>
        <v>time of use</v>
      </c>
      <c r="E21" s="570" t="s">
        <v>19</v>
      </c>
      <c r="F21" s="485">
        <f>F20</f>
        <v>3900</v>
      </c>
      <c r="G21" s="570" t="s">
        <v>158</v>
      </c>
      <c r="H21" s="574" cm="1">
        <f t="array" ref="H21">IFERROR(_xlfn.XLOOKUP(1,($B21=DistributionZone)*($C21=CustomerType)*(H$5=Desc_FixedOrVar)*($G21=Description),valuesPY),0)</f>
        <v>35.525753173047072</v>
      </c>
      <c r="I21" s="574"/>
      <c r="J21" s="574">
        <f>IF(AND(H21="",I21=""),"",H21+I21*$F21/1000)</f>
        <v>35.525753173047072</v>
      </c>
      <c r="K21" s="575" t="str">
        <f>IFERROR(J21/J23,"")</f>
        <v/>
      </c>
      <c r="L21" s="654"/>
      <c r="M21" s="575">
        <f>IF(OR(J21=0,Q21=""),"",Q21/J21-1)</f>
        <v>1.4379688046419314E-2</v>
      </c>
      <c r="N21" s="654"/>
      <c r="O21" s="574" cm="1">
        <f t="array" ref="O21">IFERROR(_xlfn.XLOOKUP(1,($B21=DistributionZone)*($C21=CustomerType)*(O$5=Desc_FixedOrVar)*($G21=Description),valuesFY),0)</f>
        <v>36.036602421289579</v>
      </c>
      <c r="P21" s="574"/>
      <c r="Q21" s="574">
        <f>IF(AND(O21="",P21=""),"",O21+P21*$F21/1000)</f>
        <v>36.036602421289579</v>
      </c>
      <c r="R21" s="575">
        <f>IFERROR(Q21/Q23,"")</f>
        <v>0.13922352016773246</v>
      </c>
      <c r="S21" s="575"/>
      <c r="T21" s="612"/>
      <c r="U21" s="575"/>
      <c r="V21" s="575"/>
      <c r="W21" s="575"/>
      <c r="X21" s="575"/>
      <c r="Y21" s="575"/>
      <c r="Z21" s="575"/>
      <c r="AA21" s="575"/>
      <c r="AB21" s="575"/>
      <c r="AC21" s="575"/>
      <c r="AD21" s="575"/>
      <c r="AE21" s="575"/>
    </row>
    <row r="22" spans="1:31" s="570" customFormat="1" x14ac:dyDescent="0.35">
      <c r="B22" s="570" t="str">
        <f t="shared" si="4"/>
        <v>Ausgrid</v>
      </c>
      <c r="C22" s="570" t="str">
        <f t="shared" si="4"/>
        <v>Residential</v>
      </c>
      <c r="D22" s="570" t="str">
        <f t="shared" si="4"/>
        <v>time of use</v>
      </c>
      <c r="E22" s="570" t="s">
        <v>19</v>
      </c>
      <c r="F22" s="485">
        <f>F21</f>
        <v>3900</v>
      </c>
      <c r="G22" s="570" t="s">
        <v>190</v>
      </c>
      <c r="H22" s="574" cm="1">
        <f t="array" ref="H22">IFERROR(_xlfn.XLOOKUP(1,($B22=DistributionZone)*($C22=CustomerType)*(H$5=Desc_FixedOrVar)*($G22=Description),valuesPY),0)</f>
        <v>1.6463360479383711</v>
      </c>
      <c r="I22" s="574"/>
      <c r="J22" s="574">
        <f>IF(AND(H22="",I22=""),"",H22+I22*$F22/1000)</f>
        <v>1.6463360479383711</v>
      </c>
      <c r="K22" s="575" t="str">
        <f>IFERROR(J22/J23,"")</f>
        <v/>
      </c>
      <c r="L22" s="654"/>
      <c r="M22" s="575">
        <f>IF(OR(J22=0,Q22=""),0,Q22/J22-1)</f>
        <v>-0.39601447792260036</v>
      </c>
      <c r="N22" s="654"/>
      <c r="O22" s="574" cm="1">
        <f t="array" ref="O22">IFERROR(_xlfn.XLOOKUP(1,($B22=DistributionZone)*($C22=CustomerType)*(O$5=Desc_FixedOrVar)*($G22=Description),valuesFY),0)</f>
        <v>0.99436313742889981</v>
      </c>
      <c r="P22" s="574"/>
      <c r="Q22" s="574">
        <f>IF(AND(O22="",P22=""),"",O22+P22*$F22/1000)</f>
        <v>0.99436313742889981</v>
      </c>
      <c r="R22" s="575">
        <f>IFERROR(Q22/Q23,"")</f>
        <v>3.8416145534323678E-3</v>
      </c>
      <c r="S22" s="575"/>
      <c r="T22" s="612"/>
      <c r="U22" s="575"/>
      <c r="V22" s="575"/>
      <c r="W22" s="575"/>
      <c r="X22" s="575"/>
      <c r="Y22" s="575"/>
      <c r="Z22" s="575"/>
      <c r="AA22" s="575"/>
      <c r="AB22" s="575"/>
      <c r="AC22" s="575"/>
      <c r="AD22" s="575"/>
      <c r="AE22" s="575"/>
    </row>
    <row r="23" spans="1:31" s="627" customFormat="1" x14ac:dyDescent="0.35">
      <c r="A23" s="570"/>
      <c r="B23" s="570" t="str">
        <f t="shared" ref="B23:C27" si="5">B22</f>
        <v>Ausgrid</v>
      </c>
      <c r="C23" s="570" t="str">
        <f t="shared" si="5"/>
        <v>Residential</v>
      </c>
      <c r="D23" s="570" t="str">
        <f>+D21</f>
        <v>time of use</v>
      </c>
      <c r="E23" s="570" t="s">
        <v>272</v>
      </c>
      <c r="F23" s="485">
        <f>F22</f>
        <v>3900</v>
      </c>
      <c r="G23" s="571" t="s">
        <v>55</v>
      </c>
      <c r="H23" s="577">
        <f>IF($H$3=PY,0,SUM(H19:H22))</f>
        <v>0</v>
      </c>
      <c r="I23" s="577">
        <f>SUM(I19:I22)</f>
        <v>0</v>
      </c>
      <c r="J23" s="577">
        <f>IF(AND(H23="",I23=""),"",H23+I23*$F23/1000)</f>
        <v>0</v>
      </c>
      <c r="K23" s="578"/>
      <c r="L23" s="577"/>
      <c r="M23" s="578" t="str">
        <f>IF(OR(J23=0,Q23=""),"",Q23/J23-1)</f>
        <v/>
      </c>
      <c r="N23" s="577"/>
      <c r="O23" s="577">
        <f>SUM(O19:O22)</f>
        <v>258.83990275402982</v>
      </c>
      <c r="P23" s="577">
        <f>SUM(P19:P22)</f>
        <v>0</v>
      </c>
      <c r="Q23" s="577">
        <f>IF(AND(O23="",P23=""),"",O23+P23*$F23/1000)</f>
        <v>258.83990275402982</v>
      </c>
      <c r="R23" s="575"/>
      <c r="S23" s="575"/>
      <c r="T23" s="612"/>
      <c r="U23" s="575"/>
      <c r="V23" s="575"/>
      <c r="W23" s="575"/>
      <c r="X23" s="575"/>
      <c r="Y23" s="575"/>
      <c r="Z23" s="575"/>
      <c r="AA23" s="575"/>
      <c r="AB23" s="575"/>
      <c r="AC23" s="575"/>
      <c r="AD23" s="575"/>
      <c r="AE23" s="575"/>
    </row>
    <row r="24" spans="1:31" s="627" customFormat="1" x14ac:dyDescent="0.35">
      <c r="A24" s="570"/>
      <c r="B24" s="570" t="str">
        <f t="shared" si="5"/>
        <v>Ausgrid</v>
      </c>
      <c r="C24" s="570" t="str">
        <f t="shared" si="5"/>
        <v>Residential</v>
      </c>
      <c r="D24" s="570" t="str">
        <f>D23</f>
        <v>time of use</v>
      </c>
      <c r="E24" s="570" t="s">
        <v>272</v>
      </c>
      <c r="F24" s="485">
        <f>F23</f>
        <v>3900</v>
      </c>
      <c r="G24" s="570" t="s">
        <v>161</v>
      </c>
      <c r="H24" s="574"/>
      <c r="I24" s="574"/>
      <c r="J24" s="574">
        <f>J23*CPIPY</f>
        <v>0</v>
      </c>
      <c r="K24" s="575"/>
      <c r="L24" s="574"/>
      <c r="M24" s="575" t="str">
        <f>IF(OR(J24=0,Q24=""),"",Q24/J24-1)</f>
        <v/>
      </c>
      <c r="N24" s="574"/>
      <c r="O24" s="574"/>
      <c r="P24" s="574"/>
      <c r="Q24" s="574">
        <f>Q23*CPI</f>
        <v>18.934656566262817</v>
      </c>
      <c r="R24" s="575"/>
      <c r="S24" s="575"/>
      <c r="T24" s="612"/>
      <c r="U24" s="575"/>
      <c r="V24" s="575"/>
      <c r="W24" s="575"/>
      <c r="X24" s="575"/>
      <c r="Y24" s="575"/>
      <c r="Z24" s="575"/>
      <c r="AA24" s="575"/>
      <c r="AB24" s="575"/>
      <c r="AC24" s="575"/>
      <c r="AD24" s="575"/>
      <c r="AE24" s="575"/>
    </row>
    <row r="25" spans="1:31" s="627" customFormat="1" x14ac:dyDescent="0.35">
      <c r="A25" s="570"/>
      <c r="B25" s="570" t="str">
        <f t="shared" si="5"/>
        <v>Ausgrid</v>
      </c>
      <c r="C25" s="570" t="str">
        <f t="shared" si="5"/>
        <v>Residential</v>
      </c>
      <c r="D25" s="570" t="str">
        <f>D24</f>
        <v>time of use</v>
      </c>
      <c r="E25" s="570"/>
      <c r="F25" s="485"/>
      <c r="G25" s="570" t="s">
        <v>38</v>
      </c>
      <c r="H25" s="574"/>
      <c r="I25" s="574"/>
      <c r="J25" s="574">
        <f>SUM(J23,J24)*GST</f>
        <v>0</v>
      </c>
      <c r="K25" s="575"/>
      <c r="L25" s="574"/>
      <c r="M25" s="575">
        <f>IF(OR(J25=0,Q25=""),0,Q25/J25-1)</f>
        <v>0</v>
      </c>
      <c r="N25" s="574"/>
      <c r="O25" s="574"/>
      <c r="P25" s="574"/>
      <c r="Q25" s="574">
        <f>SUM(Q23,Q24)*GST</f>
        <v>27.777455932029262</v>
      </c>
      <c r="R25" s="578"/>
      <c r="S25" s="578"/>
      <c r="T25" s="621"/>
      <c r="U25" s="578"/>
      <c r="V25" s="578"/>
      <c r="W25" s="578"/>
      <c r="X25" s="578"/>
      <c r="Y25" s="578"/>
      <c r="Z25" s="578"/>
      <c r="AA25" s="578"/>
      <c r="AB25" s="578"/>
      <c r="AC25" s="578"/>
      <c r="AD25" s="578"/>
      <c r="AE25" s="578"/>
    </row>
    <row r="26" spans="1:31" s="627" customFormat="1" x14ac:dyDescent="0.35">
      <c r="A26" s="570"/>
      <c r="B26" s="570" t="str">
        <f t="shared" si="5"/>
        <v>Ausgrid</v>
      </c>
      <c r="C26" s="570" t="str">
        <f t="shared" si="5"/>
        <v>Residential</v>
      </c>
      <c r="D26" s="570" t="str">
        <f>D25</f>
        <v>time of use</v>
      </c>
      <c r="E26" s="570" t="s">
        <v>272</v>
      </c>
      <c r="F26" s="485"/>
      <c r="G26" s="571" t="s">
        <v>79</v>
      </c>
      <c r="H26" s="577"/>
      <c r="I26" s="577"/>
      <c r="J26" s="577">
        <f>SUM(J23:J25)</f>
        <v>0</v>
      </c>
      <c r="K26" s="578"/>
      <c r="L26" s="577"/>
      <c r="M26" s="578" t="str">
        <f>IF(OR(J26=0,Q26=""),"",Q26/J26-1)</f>
        <v/>
      </c>
      <c r="N26" s="577"/>
      <c r="O26" s="577"/>
      <c r="P26" s="577"/>
      <c r="Q26" s="577">
        <f>SUM(Q23:Q25)</f>
        <v>305.55201525232189</v>
      </c>
      <c r="R26" s="578"/>
      <c r="S26" s="578"/>
      <c r="T26" s="621"/>
      <c r="U26" s="578"/>
      <c r="V26" s="578"/>
      <c r="W26" s="578"/>
      <c r="X26" s="578"/>
      <c r="Y26" s="578"/>
      <c r="Z26" s="578"/>
      <c r="AA26" s="578"/>
      <c r="AB26" s="578"/>
      <c r="AC26" s="578"/>
      <c r="AD26" s="578"/>
      <c r="AE26" s="578"/>
    </row>
    <row r="27" spans="1:31" s="627" customFormat="1" x14ac:dyDescent="0.35">
      <c r="A27" s="570"/>
      <c r="B27" s="570" t="str">
        <f t="shared" si="5"/>
        <v>Ausgrid</v>
      </c>
      <c r="C27" s="570" t="str">
        <f t="shared" si="5"/>
        <v>Residential</v>
      </c>
      <c r="D27" s="570" t="str">
        <f>D26</f>
        <v>time of use</v>
      </c>
      <c r="E27" s="570"/>
      <c r="F27" s="485"/>
      <c r="G27" s="570"/>
      <c r="H27" s="574"/>
      <c r="I27" s="574"/>
      <c r="J27" s="574"/>
      <c r="K27" s="575"/>
      <c r="L27" s="574"/>
      <c r="M27" s="575"/>
      <c r="N27" s="574"/>
      <c r="O27" s="574"/>
      <c r="P27" s="574"/>
      <c r="Q27" s="574"/>
      <c r="R27" s="575"/>
      <c r="S27" s="575"/>
      <c r="T27" s="612"/>
      <c r="U27" s="575"/>
      <c r="V27" s="575"/>
      <c r="W27" s="575"/>
      <c r="X27" s="575"/>
      <c r="Y27" s="575"/>
      <c r="Z27" s="575"/>
      <c r="AA27" s="575"/>
      <c r="AB27" s="575"/>
      <c r="AC27" s="575"/>
      <c r="AD27" s="575"/>
      <c r="AE27" s="575"/>
    </row>
    <row r="28" spans="1:31" s="65" customFormat="1" hidden="1" x14ac:dyDescent="0.35">
      <c r="A28" s="30"/>
      <c r="B28" s="588"/>
      <c r="C28" s="588"/>
      <c r="D28" s="588"/>
      <c r="E28" s="588"/>
      <c r="F28" s="588"/>
      <c r="G28" s="31"/>
      <c r="H28" s="589"/>
      <c r="I28" s="589"/>
      <c r="J28" s="589"/>
      <c r="K28" s="590"/>
      <c r="L28" s="589"/>
      <c r="M28" s="590"/>
      <c r="N28" s="589"/>
      <c r="O28" s="589"/>
      <c r="P28" s="589"/>
      <c r="Q28" s="589"/>
      <c r="R28" s="590"/>
      <c r="S28" s="484"/>
      <c r="T28" s="607"/>
      <c r="U28" s="484"/>
      <c r="V28" s="484"/>
      <c r="W28" s="484"/>
      <c r="X28" s="484"/>
      <c r="Y28" s="484"/>
      <c r="Z28" s="484"/>
      <c r="AA28" s="484"/>
      <c r="AB28" s="484"/>
      <c r="AC28" s="484"/>
      <c r="AD28" s="484"/>
      <c r="AE28" s="484"/>
    </row>
    <row r="29" spans="1:31" hidden="1" x14ac:dyDescent="0.35">
      <c r="B29" s="31"/>
      <c r="C29" s="31"/>
      <c r="D29" s="31"/>
      <c r="E29" s="31"/>
      <c r="F29" s="588"/>
      <c r="G29" s="31"/>
      <c r="H29" s="589"/>
      <c r="I29" s="589"/>
      <c r="J29" s="589"/>
      <c r="K29" s="590"/>
      <c r="L29" s="656"/>
      <c r="M29" s="590"/>
      <c r="N29" s="656"/>
      <c r="O29" s="589"/>
      <c r="P29" s="589"/>
      <c r="Q29" s="589"/>
      <c r="R29" s="590"/>
      <c r="S29" s="484"/>
      <c r="T29" s="607"/>
      <c r="U29" s="484"/>
      <c r="V29" s="484"/>
      <c r="W29" s="484"/>
      <c r="X29" s="484"/>
      <c r="Y29" s="484"/>
      <c r="Z29" s="484"/>
      <c r="AA29" s="484"/>
      <c r="AB29" s="484"/>
      <c r="AC29" s="484"/>
      <c r="AD29" s="484"/>
      <c r="AE29" s="484"/>
    </row>
    <row r="30" spans="1:31" hidden="1" x14ac:dyDescent="0.35">
      <c r="B30" s="31"/>
      <c r="C30" s="31"/>
      <c r="D30" s="31"/>
      <c r="E30" s="31"/>
      <c r="F30" s="588"/>
      <c r="G30" s="657"/>
      <c r="H30" s="589"/>
      <c r="I30" s="589"/>
      <c r="J30" s="589"/>
      <c r="K30" s="590"/>
      <c r="L30" s="656"/>
      <c r="M30" s="590"/>
      <c r="N30" s="656"/>
      <c r="O30" s="589"/>
      <c r="P30" s="589"/>
      <c r="Q30" s="589"/>
      <c r="R30" s="590"/>
      <c r="S30" s="484"/>
      <c r="T30" s="607"/>
      <c r="U30" s="484"/>
      <c r="V30" s="484"/>
      <c r="W30" s="484"/>
      <c r="X30" s="484"/>
      <c r="Y30" s="484"/>
      <c r="Z30" s="484"/>
      <c r="AA30" s="484"/>
      <c r="AB30" s="484"/>
      <c r="AC30" s="484"/>
      <c r="AD30" s="484"/>
      <c r="AE30" s="484"/>
    </row>
    <row r="31" spans="1:31" hidden="1" x14ac:dyDescent="0.35">
      <c r="B31" s="31"/>
      <c r="C31" s="31"/>
      <c r="D31" s="31"/>
      <c r="E31" s="31"/>
      <c r="F31" s="588"/>
      <c r="G31" s="31"/>
      <c r="H31" s="589"/>
      <c r="I31" s="589"/>
      <c r="J31" s="589"/>
      <c r="K31" s="590"/>
      <c r="L31" s="656"/>
      <c r="M31" s="590"/>
      <c r="N31" s="656"/>
      <c r="O31" s="589"/>
      <c r="P31" s="589"/>
      <c r="Q31" s="589"/>
      <c r="R31" s="590"/>
      <c r="S31" s="484"/>
      <c r="T31" s="607"/>
      <c r="U31" s="484"/>
      <c r="V31" s="484"/>
      <c r="W31" s="484"/>
      <c r="X31" s="484"/>
      <c r="Y31" s="484"/>
      <c r="Z31" s="484"/>
      <c r="AA31" s="484"/>
      <c r="AB31" s="484"/>
      <c r="AC31" s="484"/>
      <c r="AD31" s="484"/>
      <c r="AE31" s="484"/>
    </row>
    <row r="32" spans="1:31" s="65" customFormat="1" hidden="1" x14ac:dyDescent="0.35">
      <c r="B32" s="31"/>
      <c r="C32" s="31"/>
      <c r="D32" s="31"/>
      <c r="E32" s="31"/>
      <c r="F32" s="588"/>
      <c r="G32" s="31"/>
      <c r="H32" s="589"/>
      <c r="I32" s="589"/>
      <c r="J32" s="589"/>
      <c r="K32" s="590"/>
      <c r="L32" s="656"/>
      <c r="M32" s="590"/>
      <c r="N32" s="656"/>
      <c r="O32" s="589"/>
      <c r="P32" s="589"/>
      <c r="Q32" s="589"/>
      <c r="R32" s="590"/>
      <c r="S32" s="484"/>
      <c r="T32" s="607"/>
      <c r="U32" s="484"/>
      <c r="V32" s="484"/>
      <c r="W32" s="484"/>
      <c r="X32" s="484"/>
      <c r="Y32" s="484"/>
      <c r="Z32" s="484"/>
      <c r="AA32" s="484"/>
      <c r="AB32" s="484"/>
      <c r="AC32" s="484"/>
      <c r="AD32" s="484"/>
      <c r="AE32" s="484"/>
    </row>
    <row r="33" spans="1:31" s="65" customFormat="1" hidden="1" x14ac:dyDescent="0.35">
      <c r="A33" s="30"/>
      <c r="B33" s="31"/>
      <c r="C33" s="31"/>
      <c r="D33" s="31"/>
      <c r="E33" s="31"/>
      <c r="F33" s="588"/>
      <c r="G33" s="165"/>
      <c r="H33" s="618"/>
      <c r="I33" s="618"/>
      <c r="J33" s="618"/>
      <c r="K33" s="619"/>
      <c r="L33" s="618"/>
      <c r="M33" s="619"/>
      <c r="N33" s="618"/>
      <c r="O33" s="618"/>
      <c r="P33" s="618"/>
      <c r="Q33" s="618"/>
      <c r="R33" s="590"/>
      <c r="S33" s="484"/>
      <c r="T33" s="607"/>
      <c r="U33" s="484"/>
      <c r="V33" s="484"/>
      <c r="W33" s="484"/>
      <c r="X33" s="484"/>
      <c r="Y33" s="484"/>
      <c r="Z33" s="484"/>
      <c r="AA33" s="484"/>
      <c r="AB33" s="484"/>
      <c r="AC33" s="484"/>
      <c r="AD33" s="484"/>
      <c r="AE33" s="484"/>
    </row>
    <row r="34" spans="1:31" s="65" customFormat="1" hidden="1" x14ac:dyDescent="0.35">
      <c r="A34" s="30"/>
      <c r="B34" s="31"/>
      <c r="C34" s="31"/>
      <c r="D34" s="31"/>
      <c r="E34" s="31"/>
      <c r="F34" s="588"/>
      <c r="G34" s="31"/>
      <c r="H34" s="589"/>
      <c r="I34" s="589"/>
      <c r="J34" s="589"/>
      <c r="K34" s="590"/>
      <c r="L34" s="589"/>
      <c r="M34" s="590"/>
      <c r="N34" s="589"/>
      <c r="O34" s="589"/>
      <c r="P34" s="590"/>
      <c r="Q34" s="589"/>
      <c r="R34" s="590"/>
      <c r="S34" s="484"/>
      <c r="T34" s="607"/>
      <c r="U34" s="484"/>
      <c r="V34" s="484"/>
      <c r="W34" s="484"/>
      <c r="X34" s="484"/>
      <c r="Y34" s="484"/>
      <c r="Z34" s="484"/>
      <c r="AA34" s="484"/>
      <c r="AB34" s="484"/>
      <c r="AC34" s="484"/>
      <c r="AD34" s="484"/>
      <c r="AE34" s="484"/>
    </row>
    <row r="35" spans="1:31" s="65" customFormat="1" hidden="1" x14ac:dyDescent="0.35">
      <c r="A35" s="30"/>
      <c r="B35" s="31"/>
      <c r="C35" s="31"/>
      <c r="D35" s="31"/>
      <c r="E35" s="31"/>
      <c r="F35" s="588"/>
      <c r="G35" s="31"/>
      <c r="H35" s="589"/>
      <c r="I35" s="589"/>
      <c r="J35" s="589"/>
      <c r="K35" s="590"/>
      <c r="L35" s="589"/>
      <c r="M35" s="590"/>
      <c r="N35" s="589"/>
      <c r="O35" s="589"/>
      <c r="P35" s="589"/>
      <c r="Q35" s="589"/>
      <c r="R35" s="619"/>
      <c r="S35" s="564"/>
      <c r="T35" s="611"/>
      <c r="U35" s="564"/>
      <c r="V35" s="564"/>
      <c r="W35" s="564"/>
      <c r="X35" s="564"/>
      <c r="Y35" s="564"/>
      <c r="Z35" s="564"/>
      <c r="AA35" s="564"/>
      <c r="AB35" s="564"/>
      <c r="AC35" s="564"/>
      <c r="AD35" s="564"/>
      <c r="AE35" s="564"/>
    </row>
    <row r="36" spans="1:31" s="65" customFormat="1" hidden="1" x14ac:dyDescent="0.35">
      <c r="A36" s="30"/>
      <c r="B36" s="31"/>
      <c r="C36" s="31"/>
      <c r="D36" s="31"/>
      <c r="E36" s="31"/>
      <c r="F36" s="588"/>
      <c r="G36" s="165"/>
      <c r="H36" s="618"/>
      <c r="I36" s="618"/>
      <c r="J36" s="618"/>
      <c r="K36" s="619"/>
      <c r="L36" s="618"/>
      <c r="M36" s="619"/>
      <c r="N36" s="618"/>
      <c r="O36" s="618"/>
      <c r="P36" s="618"/>
      <c r="Q36" s="618"/>
      <c r="R36" s="619"/>
      <c r="S36" s="564"/>
      <c r="T36" s="611"/>
      <c r="U36" s="564"/>
      <c r="V36" s="564"/>
      <c r="W36" s="564"/>
      <c r="X36" s="564"/>
      <c r="Y36" s="564"/>
      <c r="Z36" s="564"/>
      <c r="AA36" s="564"/>
      <c r="AB36" s="564"/>
      <c r="AC36" s="564"/>
      <c r="AD36" s="564"/>
      <c r="AE36" s="564"/>
    </row>
    <row r="37" spans="1:31" s="65" customFormat="1" hidden="1" x14ac:dyDescent="0.35">
      <c r="A37" s="30"/>
      <c r="B37" s="66">
        <f>B36</f>
        <v>0</v>
      </c>
      <c r="C37" s="66"/>
      <c r="D37" s="66">
        <f>D36</f>
        <v>0</v>
      </c>
      <c r="E37" s="30"/>
      <c r="F37" s="258"/>
      <c r="G37" s="30"/>
      <c r="H37" s="482"/>
      <c r="I37" s="482"/>
      <c r="J37" s="482"/>
      <c r="K37" s="484"/>
      <c r="L37" s="482"/>
      <c r="M37" s="484"/>
      <c r="N37" s="482"/>
      <c r="O37" s="482"/>
      <c r="P37" s="482"/>
      <c r="Q37" s="482"/>
      <c r="R37" s="484"/>
      <c r="S37" s="484"/>
      <c r="T37" s="607"/>
      <c r="U37" s="484"/>
      <c r="V37" s="484"/>
      <c r="W37" s="484"/>
      <c r="X37" s="484"/>
      <c r="Y37" s="484"/>
      <c r="Z37" s="484"/>
      <c r="AA37" s="484"/>
      <c r="AB37" s="484"/>
      <c r="AC37" s="484"/>
      <c r="AD37" s="484"/>
      <c r="AE37" s="484"/>
    </row>
    <row r="38" spans="1:31" x14ac:dyDescent="0.35">
      <c r="B38" s="658" t="s">
        <v>2</v>
      </c>
      <c r="C38" s="658" t="s">
        <v>13</v>
      </c>
      <c r="D38" s="64" t="s">
        <v>276</v>
      </c>
      <c r="F38" s="258"/>
      <c r="H38" s="482"/>
      <c r="I38" s="482"/>
      <c r="J38" s="482"/>
      <c r="K38" s="484"/>
      <c r="L38" s="482"/>
      <c r="M38" s="484"/>
      <c r="N38" s="482"/>
      <c r="O38" s="482"/>
      <c r="P38" s="482"/>
      <c r="Q38" s="482"/>
      <c r="R38" s="484"/>
      <c r="S38" s="484"/>
      <c r="T38" s="607"/>
      <c r="U38" s="484"/>
      <c r="V38" s="484"/>
      <c r="W38" s="484"/>
      <c r="X38" s="484"/>
      <c r="Y38" s="484"/>
      <c r="Z38" s="484"/>
      <c r="AA38" s="484"/>
      <c r="AB38" s="484"/>
      <c r="AC38" s="484"/>
      <c r="AD38" s="484"/>
      <c r="AE38" s="484"/>
    </row>
    <row r="39" spans="1:31" x14ac:dyDescent="0.35">
      <c r="B39" s="66" t="str">
        <f>B38</f>
        <v>Ausgrid</v>
      </c>
      <c r="C39" s="66" t="str">
        <f>C38</f>
        <v>Small business</v>
      </c>
      <c r="D39" s="66" t="str">
        <f>D38</f>
        <v>flat rate</v>
      </c>
      <c r="E39" s="30" t="s">
        <v>19</v>
      </c>
      <c r="F39" s="258" cm="1">
        <f t="array" ref="F39">IFERROR(_xlfn.XLOOKUP(1,($B39=DistributionZone)*($C39=CustomerType)*($E39=tariffType)*(F$5=Description),valuesFY),0)</f>
        <v>10000</v>
      </c>
      <c r="G39" s="30" t="s">
        <v>220</v>
      </c>
      <c r="H39" s="482" cm="1">
        <f t="array" ref="H39">IFERROR(_xlfn.XLOOKUP(1,($B39=DistributionZone)*($C39=CustomerType)*(H$5=Desc_FixedOrVar)*($G39=Description),valuesPY),0)</f>
        <v>252.45618972980961</v>
      </c>
      <c r="I39" s="482"/>
      <c r="J39" s="482">
        <f>IF(AND(H39="",I39=""),"",H39+I39*$F39/1000)</f>
        <v>252.45618972980961</v>
      </c>
      <c r="K39" s="484">
        <f>IFERROR(J39/J43,"")</f>
        <v>0.69549755879841735</v>
      </c>
      <c r="L39" s="651"/>
      <c r="M39" s="484">
        <f>IF(OR(J39=0,Q39=""),"",Q39/J39-1)</f>
        <v>-0.14754358409058188</v>
      </c>
      <c r="N39" s="651"/>
      <c r="O39" s="482" cm="1">
        <f t="array" ref="O39">IFERROR(_xlfn.XLOOKUP(1,($B39=DistributionZone)*($C39=CustomerType)*(O$5=Desc_FixedOrVar)*($G39=Description),valuesFY),0)</f>
        <v>215.20789867122156</v>
      </c>
      <c r="P39" s="482"/>
      <c r="Q39" s="482">
        <f>IF(AND(O39="",P39=""),"",O39+P39*$F39/1000)</f>
        <v>215.20789867122156</v>
      </c>
      <c r="R39" s="484">
        <f>IFERROR(Q39/Q43,"")</f>
        <v>0.64478974833749159</v>
      </c>
      <c r="S39" s="484"/>
      <c r="T39" s="607"/>
      <c r="U39" s="484"/>
      <c r="V39" s="484"/>
      <c r="W39" s="484"/>
      <c r="X39" s="484"/>
      <c r="Y39" s="484"/>
      <c r="Z39" s="484"/>
      <c r="AA39" s="484"/>
      <c r="AB39" s="484"/>
      <c r="AC39" s="484"/>
      <c r="AD39" s="484"/>
      <c r="AE39" s="484"/>
    </row>
    <row r="40" spans="1:31" x14ac:dyDescent="0.35">
      <c r="B40" s="66" t="str">
        <f t="shared" ref="B40:D47" si="6">B39</f>
        <v>Ausgrid</v>
      </c>
      <c r="C40" s="66" t="str">
        <f t="shared" si="6"/>
        <v>Small business</v>
      </c>
      <c r="D40" s="66" t="str">
        <f t="shared" si="6"/>
        <v>flat rate</v>
      </c>
      <c r="E40" s="30" t="s">
        <v>19</v>
      </c>
      <c r="F40" s="258">
        <f>F39</f>
        <v>10000</v>
      </c>
      <c r="G40" s="379" t="s">
        <v>222</v>
      </c>
      <c r="H40" s="482" cm="1">
        <f t="array" ref="H40">IFERROR(_xlfn.XLOOKUP(1,($B40=DistributionZone)*($C40=CustomerType)*(H$5=Desc_FixedOrVar)*($G40=Description),valuesPY),0)</f>
        <v>28.10061422123151</v>
      </c>
      <c r="I40" s="482"/>
      <c r="J40" s="482">
        <f>IF(AND(H40="",I40=""),"",H40+I40*$F40/1000)</f>
        <v>28.10061422123151</v>
      </c>
      <c r="K40" s="484">
        <f>IFERROR(J40/J43,"")</f>
        <v>7.7415050161849491E-2</v>
      </c>
      <c r="L40" s="651"/>
      <c r="M40" s="484">
        <f>IF(OR(J40=0,Q40=""),"",Q40/J40-1)</f>
        <v>0.56042417956980595</v>
      </c>
      <c r="N40" s="651"/>
      <c r="O40" s="482" cm="1">
        <f t="array" ref="O40">IFERROR(_xlfn.XLOOKUP(1,($B40=DistributionZone)*($C40=CustomerType)*(O$5=Desc_FixedOrVar)*($G40=Description),valuesFY),0)</f>
        <v>43.848877891572798</v>
      </c>
      <c r="P40" s="482"/>
      <c r="Q40" s="482">
        <f>IF(AND(O40="",P40=""),"",O40+P40*$F40/1000)</f>
        <v>43.848877891572798</v>
      </c>
      <c r="R40" s="484">
        <f>IFERROR(Q40/Q43,"")</f>
        <v>0.13137671579509475</v>
      </c>
      <c r="S40" s="484"/>
      <c r="T40" s="607"/>
      <c r="U40" s="484"/>
      <c r="V40" s="484"/>
      <c r="W40" s="484"/>
      <c r="X40" s="484"/>
      <c r="Y40" s="484"/>
      <c r="Z40" s="484"/>
      <c r="AA40" s="484"/>
      <c r="AB40" s="484"/>
      <c r="AC40" s="484"/>
      <c r="AD40" s="484"/>
      <c r="AE40" s="484"/>
    </row>
    <row r="41" spans="1:31" x14ac:dyDescent="0.35">
      <c r="B41" s="66" t="str">
        <f t="shared" si="6"/>
        <v>Ausgrid</v>
      </c>
      <c r="C41" s="66" t="str">
        <f t="shared" si="6"/>
        <v>Small business</v>
      </c>
      <c r="D41" s="66" t="str">
        <f t="shared" si="6"/>
        <v>flat rate</v>
      </c>
      <c r="E41" s="30" t="s">
        <v>19</v>
      </c>
      <c r="F41" s="258">
        <f>F40</f>
        <v>10000</v>
      </c>
      <c r="G41" s="30" t="s">
        <v>158</v>
      </c>
      <c r="H41" s="482" cm="1">
        <f t="array" ref="H41">IFERROR(_xlfn.XLOOKUP(1,($B41=DistributionZone)*($C41=CustomerType)*(H$5=Desc_FixedOrVar)*($G41=Description),valuesPY),0)</f>
        <v>80.485123659685812</v>
      </c>
      <c r="I41" s="482"/>
      <c r="J41" s="482">
        <f>IF(AND(H41="",I41=""),"",H41+I41*$F41/1000)</f>
        <v>80.485123659685812</v>
      </c>
      <c r="K41" s="484">
        <f>IFERROR(J41/J43,"")</f>
        <v>0.22173038056547412</v>
      </c>
      <c r="L41" s="651"/>
      <c r="M41" s="484">
        <f>IF(OR(J41=0,Q41=""),"",Q41/J41-1)</f>
        <v>-9.5478159205532598E-2</v>
      </c>
      <c r="N41" s="651"/>
      <c r="O41" s="482" cm="1">
        <f t="array" ref="O41">IFERROR(_xlfn.XLOOKUP(1,($B41=DistributionZone)*($C41=CustomerType)*(O$5=Desc_FixedOrVar)*($G41=Description),valuesFY),0)</f>
        <v>72.800552209229352</v>
      </c>
      <c r="P41" s="482"/>
      <c r="Q41" s="482">
        <f>IF(AND(O41="",P41=""),"",O41+P41*$F41/1000)</f>
        <v>72.800552209229352</v>
      </c>
      <c r="R41" s="484">
        <f>IFERROR(Q41/Q43,"")</f>
        <v>0.21811954871383424</v>
      </c>
      <c r="S41" s="484"/>
      <c r="T41" s="607"/>
      <c r="U41" s="484"/>
      <c r="V41" s="484"/>
      <c r="W41" s="484"/>
      <c r="X41" s="484"/>
      <c r="Y41" s="484"/>
      <c r="Z41" s="484"/>
      <c r="AA41" s="484"/>
      <c r="AB41" s="484"/>
      <c r="AC41" s="484"/>
      <c r="AD41" s="484"/>
      <c r="AE41" s="484"/>
    </row>
    <row r="42" spans="1:31" s="65" customFormat="1" x14ac:dyDescent="0.35">
      <c r="A42" s="30"/>
      <c r="B42" s="66" t="str">
        <f t="shared" ref="B42:D43" si="7">B41</f>
        <v>Ausgrid</v>
      </c>
      <c r="C42" s="66" t="str">
        <f t="shared" si="7"/>
        <v>Small business</v>
      </c>
      <c r="D42" s="66" t="str">
        <f t="shared" si="7"/>
        <v>flat rate</v>
      </c>
      <c r="E42" s="30" t="s">
        <v>19</v>
      </c>
      <c r="F42" s="258">
        <f>+F41</f>
        <v>10000</v>
      </c>
      <c r="G42" s="30" t="s">
        <v>190</v>
      </c>
      <c r="H42" s="482" cm="1">
        <f t="array" ref="H42">IFERROR(_xlfn.XLOOKUP(1,($B42=DistributionZone)*($C42=CustomerType)*(H$5=Desc_FixedOrVar)*($G42=Description),valuesPY),0)</f>
        <v>1.944522213723721</v>
      </c>
      <c r="I42" s="482"/>
      <c r="J42" s="482">
        <f>IF(AND(H42="",I42=""),"",H42+I42*$F42/1000)</f>
        <v>1.944522213723721</v>
      </c>
      <c r="K42" s="484">
        <f>IFERROR(J42/J43,"")</f>
        <v>5.3570104742591378E-3</v>
      </c>
      <c r="L42" s="651"/>
      <c r="M42" s="484">
        <f>IF(OR(J42=0,Q42=""),0,Q42/J42-1)</f>
        <v>-1.9231669188858769E-2</v>
      </c>
      <c r="N42" s="651"/>
      <c r="O42" s="482" cm="1">
        <f t="array" ref="O42">IFERROR(_xlfn.XLOOKUP(1,($B42=DistributionZone)*($C42=CustomerType)*(O$5=Desc_FixedOrVar)*($G42=Description),valuesFY),0)</f>
        <v>1.907125805778999</v>
      </c>
      <c r="P42" s="482"/>
      <c r="Q42" s="482">
        <f>IF(AND(O42="",P42=""),"",O42+P42*$F42/1000)</f>
        <v>1.907125805778999</v>
      </c>
      <c r="R42" s="484">
        <f>IFERROR(Q42/Q43,"")</f>
        <v>5.7139871535793977E-3</v>
      </c>
      <c r="S42" s="484"/>
      <c r="T42" s="607"/>
      <c r="U42" s="484"/>
      <c r="V42" s="484"/>
      <c r="W42" s="484"/>
      <c r="X42" s="484"/>
      <c r="Y42" s="484"/>
      <c r="Z42" s="484"/>
      <c r="AA42" s="484"/>
      <c r="AB42" s="484"/>
      <c r="AC42" s="484"/>
      <c r="AD42" s="484"/>
      <c r="AE42" s="484"/>
    </row>
    <row r="43" spans="1:31" s="65" customFormat="1" x14ac:dyDescent="0.35">
      <c r="A43" s="30"/>
      <c r="B43" s="66" t="str">
        <f t="shared" si="7"/>
        <v>Ausgrid</v>
      </c>
      <c r="C43" s="66" t="str">
        <f t="shared" si="7"/>
        <v>Small business</v>
      </c>
      <c r="D43" s="66" t="str">
        <f t="shared" si="7"/>
        <v>flat rate</v>
      </c>
      <c r="E43" s="30" t="s">
        <v>19</v>
      </c>
      <c r="F43" s="258">
        <f>+F42</f>
        <v>10000</v>
      </c>
      <c r="G43" s="64" t="s">
        <v>55</v>
      </c>
      <c r="H43" s="487">
        <f>SUM(H39:H42)</f>
        <v>362.98644982445063</v>
      </c>
      <c r="I43" s="487">
        <f>SUM(I39:I42)</f>
        <v>0</v>
      </c>
      <c r="J43" s="487">
        <f>IF(AND(H43="",I43=""),"",H43+I43*$F43/1000)</f>
        <v>362.98644982445063</v>
      </c>
      <c r="K43" s="564"/>
      <c r="L43" s="487"/>
      <c r="M43" s="564">
        <f>IF(OR(J43=0,Q43=""),"",Q43/J43-1)</f>
        <v>-8.0504369407674581E-2</v>
      </c>
      <c r="N43" s="487"/>
      <c r="O43" s="487">
        <f>SUM(O39:O42)</f>
        <v>333.76445457780272</v>
      </c>
      <c r="P43" s="487">
        <f>SUM(P39:P42)</f>
        <v>0</v>
      </c>
      <c r="Q43" s="487">
        <f>IF(AND(O43="",P43=""),"",O43+P43*$F43/1000)</f>
        <v>333.76445457780272</v>
      </c>
      <c r="R43" s="484"/>
      <c r="S43" s="484"/>
      <c r="T43" s="607"/>
      <c r="U43" s="484"/>
      <c r="V43" s="484"/>
      <c r="W43" s="484"/>
      <c r="X43" s="484"/>
      <c r="Y43" s="484"/>
      <c r="Z43" s="484"/>
      <c r="AA43" s="484"/>
      <c r="AB43" s="484"/>
      <c r="AC43" s="484"/>
      <c r="AD43" s="484"/>
      <c r="AE43" s="484"/>
    </row>
    <row r="44" spans="1:31" s="65" customFormat="1" x14ac:dyDescent="0.35">
      <c r="A44" s="30"/>
      <c r="B44" s="66" t="str">
        <f>B43</f>
        <v>Ausgrid</v>
      </c>
      <c r="C44" s="66" t="str">
        <f>C43</f>
        <v>Small business</v>
      </c>
      <c r="D44" s="66" t="str">
        <f>D43</f>
        <v>flat rate</v>
      </c>
      <c r="E44" s="30" t="s">
        <v>19</v>
      </c>
      <c r="F44" s="258">
        <f>+F43</f>
        <v>10000</v>
      </c>
      <c r="G44" s="30" t="s">
        <v>161</v>
      </c>
      <c r="H44" s="482"/>
      <c r="I44" s="482"/>
      <c r="J44" s="482">
        <f>J43*CPIPY</f>
        <v>20.606014783634468</v>
      </c>
      <c r="K44" s="484"/>
      <c r="L44" s="482"/>
      <c r="M44" s="484">
        <f>IF(OR(J44=0,Q44=""),"",Q44/J44-1)</f>
        <v>0.18487430187939879</v>
      </c>
      <c r="N44" s="482"/>
      <c r="O44" s="482"/>
      <c r="P44" s="482"/>
      <c r="Q44" s="482">
        <f>Q43*CPI</f>
        <v>24.41553738127546</v>
      </c>
      <c r="R44" s="484"/>
      <c r="S44" s="484"/>
      <c r="T44" s="607"/>
      <c r="U44" s="484"/>
      <c r="V44" s="484"/>
      <c r="W44" s="484"/>
      <c r="X44" s="484"/>
      <c r="Y44" s="484"/>
      <c r="Z44" s="484"/>
      <c r="AA44" s="484"/>
      <c r="AB44" s="484"/>
      <c r="AC44" s="484"/>
      <c r="AD44" s="484"/>
      <c r="AE44" s="484"/>
    </row>
    <row r="45" spans="1:31" s="65" customFormat="1" x14ac:dyDescent="0.35">
      <c r="A45" s="30"/>
      <c r="B45" s="66" t="str">
        <f t="shared" si="6"/>
        <v>Ausgrid</v>
      </c>
      <c r="C45" s="66" t="str">
        <f t="shared" si="6"/>
        <v>Small business</v>
      </c>
      <c r="D45" s="66" t="str">
        <f>D44</f>
        <v>flat rate</v>
      </c>
      <c r="E45" s="30"/>
      <c r="F45" s="258"/>
      <c r="G45" s="30" t="s">
        <v>38</v>
      </c>
      <c r="H45" s="482"/>
      <c r="I45" s="482"/>
      <c r="J45" s="482">
        <f>SUM(J43,J44)*GST</f>
        <v>38.359246460808514</v>
      </c>
      <c r="K45" s="484"/>
      <c r="L45" s="482"/>
      <c r="M45" s="484">
        <f>IF(OR(J45=0,Q45=""),"",Q45/J45-1)</f>
        <v>-6.6248623196941026E-2</v>
      </c>
      <c r="N45" s="482"/>
      <c r="O45" s="482"/>
      <c r="P45" s="482"/>
      <c r="Q45" s="482">
        <f>SUM(Q43,Q44)*GST</f>
        <v>35.817999195907817</v>
      </c>
      <c r="R45" s="564"/>
      <c r="S45" s="564"/>
      <c r="T45" s="611"/>
      <c r="U45" s="564"/>
      <c r="V45" s="564"/>
      <c r="W45" s="564"/>
      <c r="X45" s="564"/>
      <c r="Y45" s="564"/>
      <c r="Z45" s="564"/>
      <c r="AA45" s="564"/>
      <c r="AB45" s="564"/>
      <c r="AC45" s="564"/>
      <c r="AD45" s="564"/>
      <c r="AE45" s="564"/>
    </row>
    <row r="46" spans="1:31" s="65" customFormat="1" x14ac:dyDescent="0.35">
      <c r="A46" s="30"/>
      <c r="B46" s="66" t="str">
        <f t="shared" si="6"/>
        <v>Ausgrid</v>
      </c>
      <c r="C46" s="66" t="str">
        <f t="shared" si="6"/>
        <v>Small business</v>
      </c>
      <c r="D46" s="66" t="str">
        <f t="shared" si="6"/>
        <v>flat rate</v>
      </c>
      <c r="E46" s="30"/>
      <c r="F46" s="258"/>
      <c r="G46" s="64" t="s">
        <v>79</v>
      </c>
      <c r="H46" s="487"/>
      <c r="I46" s="487"/>
      <c r="J46" s="487">
        <f>SUM(J43:J45)</f>
        <v>421.95171106889359</v>
      </c>
      <c r="K46" s="564"/>
      <c r="L46" s="487"/>
      <c r="M46" s="564">
        <f>IF(OR(J46=0,Q46=""),"",Q46/J46-1)</f>
        <v>-6.6248623196940915E-2</v>
      </c>
      <c r="N46" s="487"/>
      <c r="O46" s="487"/>
      <c r="P46" s="487"/>
      <c r="Q46" s="487">
        <f>SUM(Q43:Q45)</f>
        <v>393.99799115498598</v>
      </c>
      <c r="R46" s="564"/>
      <c r="S46" s="564"/>
      <c r="T46" s="611"/>
      <c r="U46" s="564"/>
      <c r="V46" s="564"/>
      <c r="W46" s="564"/>
      <c r="X46" s="564"/>
      <c r="Y46" s="564"/>
      <c r="Z46" s="564"/>
      <c r="AA46" s="564"/>
      <c r="AB46" s="564"/>
      <c r="AC46" s="564"/>
      <c r="AD46" s="564"/>
      <c r="AE46" s="564"/>
    </row>
    <row r="47" spans="1:31" x14ac:dyDescent="0.35">
      <c r="B47" s="66" t="str">
        <f t="shared" si="6"/>
        <v>Ausgrid</v>
      </c>
      <c r="C47" s="66" t="str">
        <f t="shared" si="6"/>
        <v>Small business</v>
      </c>
      <c r="D47" s="66" t="str">
        <f t="shared" si="6"/>
        <v>flat rate</v>
      </c>
      <c r="F47" s="258"/>
      <c r="H47" s="482"/>
      <c r="I47" s="482"/>
      <c r="J47" s="482"/>
      <c r="K47" s="484"/>
      <c r="L47" s="482"/>
      <c r="M47" s="484"/>
      <c r="N47" s="482"/>
      <c r="O47" s="482"/>
      <c r="P47" s="482"/>
      <c r="Q47" s="482"/>
      <c r="R47" s="484"/>
      <c r="S47" s="484"/>
      <c r="T47" s="607"/>
      <c r="U47" s="484"/>
      <c r="V47" s="484"/>
      <c r="W47" s="484"/>
      <c r="X47" s="484"/>
      <c r="Y47" s="484"/>
      <c r="Z47" s="484"/>
      <c r="AA47" s="484"/>
      <c r="AB47" s="484"/>
      <c r="AC47" s="484"/>
      <c r="AD47" s="484"/>
      <c r="AE47" s="484"/>
    </row>
    <row r="48" spans="1:31" s="570" customFormat="1" x14ac:dyDescent="0.35">
      <c r="B48" s="571" t="s">
        <v>2</v>
      </c>
      <c r="C48" s="571" t="s">
        <v>13</v>
      </c>
      <c r="D48" s="571" t="s">
        <v>272</v>
      </c>
      <c r="F48" s="485"/>
      <c r="H48" s="574"/>
      <c r="I48" s="574"/>
      <c r="J48" s="574"/>
      <c r="K48" s="575"/>
      <c r="L48" s="574"/>
      <c r="M48" s="575"/>
      <c r="N48" s="574"/>
      <c r="O48" s="574"/>
      <c r="P48" s="574"/>
      <c r="Q48" s="574"/>
      <c r="R48" s="575"/>
      <c r="S48" s="575"/>
      <c r="T48" s="612"/>
      <c r="U48" s="575"/>
      <c r="V48" s="575"/>
      <c r="W48" s="575"/>
      <c r="X48" s="575"/>
      <c r="Y48" s="575"/>
      <c r="Z48" s="575"/>
      <c r="AA48" s="575"/>
      <c r="AB48" s="575"/>
      <c r="AC48" s="575"/>
      <c r="AD48" s="575"/>
      <c r="AE48" s="575"/>
    </row>
    <row r="49" spans="1:31" s="570" customFormat="1" x14ac:dyDescent="0.35">
      <c r="B49" s="570" t="str">
        <f t="shared" ref="B49:D53" si="8">B48</f>
        <v>Ausgrid</v>
      </c>
      <c r="C49" s="570" t="str">
        <f t="shared" si="8"/>
        <v>Small business</v>
      </c>
      <c r="D49" s="570" t="str">
        <f t="shared" si="8"/>
        <v>time of use</v>
      </c>
      <c r="E49" s="570" t="s">
        <v>19</v>
      </c>
      <c r="F49" s="485" cm="1">
        <f t="array" ref="F49">IFERROR(_xlfn.XLOOKUP(1,($B49=DistributionZone)*($C49=CustomerType)*($E49=tariffType)*(F$5=Description),valuesFY),0)</f>
        <v>10000</v>
      </c>
      <c r="G49" s="570" t="s">
        <v>220</v>
      </c>
      <c r="H49" s="574" cm="1">
        <f t="array" ref="H49">IFERROR(_xlfn.XLOOKUP(1,($B49=DistributionZone)*($C49=CustomerType)*(H$5=Desc_FixedOrVar)*($G49=Description),valuesPY),0)</f>
        <v>252.45618972980961</v>
      </c>
      <c r="I49" s="574"/>
      <c r="J49" s="574">
        <f>IF(AND(H49="",I49=""),"",H49+I49*$F49/1000)</f>
        <v>252.45618972980961</v>
      </c>
      <c r="K49" s="575" t="str">
        <f>IFERROR(J49/J53,"")</f>
        <v/>
      </c>
      <c r="L49" s="654"/>
      <c r="M49" s="575">
        <f>IF(OR(J49=0,Q49=""),"",Q49/J49-1)</f>
        <v>-0.14754358409058188</v>
      </c>
      <c r="N49" s="654"/>
      <c r="O49" s="574" cm="1">
        <f t="array" ref="O49">IFERROR(_xlfn.XLOOKUP(1,($B49=DistributionZone)*($C49=CustomerType)*(O$5=Desc_FixedOrVar)*($G49=Description),valuesFY),0)</f>
        <v>215.20789867122156</v>
      </c>
      <c r="P49" s="574"/>
      <c r="Q49" s="574">
        <f>IF(AND(O49="",P49=""),"",O49+P49*$F49/1000)</f>
        <v>215.20789867122156</v>
      </c>
      <c r="R49" s="575">
        <f>IFERROR(Q49/Q53,"")</f>
        <v>0.64478974833749159</v>
      </c>
      <c r="S49" s="575"/>
      <c r="T49" s="612"/>
      <c r="U49" s="575"/>
      <c r="V49" s="575"/>
      <c r="W49" s="575"/>
      <c r="X49" s="575"/>
      <c r="Y49" s="575"/>
      <c r="Z49" s="575"/>
      <c r="AA49" s="575"/>
      <c r="AB49" s="575"/>
      <c r="AC49" s="575"/>
      <c r="AD49" s="575"/>
      <c r="AE49" s="575"/>
    </row>
    <row r="50" spans="1:31" s="570" customFormat="1" x14ac:dyDescent="0.35">
      <c r="B50" s="570" t="str">
        <f t="shared" si="8"/>
        <v>Ausgrid</v>
      </c>
      <c r="C50" s="570" t="str">
        <f t="shared" si="8"/>
        <v>Small business</v>
      </c>
      <c r="D50" s="570" t="str">
        <f t="shared" si="8"/>
        <v>time of use</v>
      </c>
      <c r="E50" s="570" t="s">
        <v>19</v>
      </c>
      <c r="F50" s="485">
        <f>F49</f>
        <v>10000</v>
      </c>
      <c r="G50" s="615" t="s">
        <v>222</v>
      </c>
      <c r="H50" s="574" cm="1">
        <f t="array" ref="H50">IFERROR(_xlfn.XLOOKUP(1,($B50=DistributionZone)*($C50=CustomerType)*(H$5=Desc_FixedOrVar)*($G50=Description),valuesPY),0)</f>
        <v>28.10061422123151</v>
      </c>
      <c r="I50" s="574"/>
      <c r="J50" s="574">
        <f>IF(AND(H50="",I50=""),"",H50+I50*$F50/1000)</f>
        <v>28.10061422123151</v>
      </c>
      <c r="K50" s="575" t="str">
        <f>IFERROR(J50/J53,"")</f>
        <v/>
      </c>
      <c r="L50" s="654"/>
      <c r="M50" s="575">
        <f>IF(OR(J50=0,Q50=""),"",Q50/J50-1)</f>
        <v>0.56042417956980595</v>
      </c>
      <c r="N50" s="654"/>
      <c r="O50" s="574" cm="1">
        <f t="array" ref="O50">IFERROR(_xlfn.XLOOKUP(1,($B50=DistributionZone)*($C50=CustomerType)*(O$5=Desc_FixedOrVar)*($G50=Description),valuesFY),0)</f>
        <v>43.848877891572798</v>
      </c>
      <c r="P50" s="574"/>
      <c r="Q50" s="574">
        <f>IF(AND(O50="",P50=""),"",O50+P50*$F50/1000)</f>
        <v>43.848877891572798</v>
      </c>
      <c r="R50" s="575">
        <f>IFERROR(Q50/Q53,"")</f>
        <v>0.13137671579509475</v>
      </c>
      <c r="S50" s="575"/>
      <c r="T50" s="612"/>
      <c r="U50" s="575"/>
      <c r="V50" s="575"/>
      <c r="W50" s="575"/>
      <c r="X50" s="575"/>
      <c r="Y50" s="575"/>
      <c r="Z50" s="575"/>
      <c r="AA50" s="575"/>
      <c r="AB50" s="575"/>
      <c r="AC50" s="575"/>
      <c r="AD50" s="575"/>
      <c r="AE50" s="575"/>
    </row>
    <row r="51" spans="1:31" s="570" customFormat="1" x14ac:dyDescent="0.35">
      <c r="B51" s="570" t="str">
        <f t="shared" si="8"/>
        <v>Ausgrid</v>
      </c>
      <c r="C51" s="570" t="str">
        <f t="shared" si="8"/>
        <v>Small business</v>
      </c>
      <c r="D51" s="570" t="str">
        <f t="shared" si="8"/>
        <v>time of use</v>
      </c>
      <c r="E51" s="570" t="s">
        <v>19</v>
      </c>
      <c r="F51" s="485">
        <f>F50</f>
        <v>10000</v>
      </c>
      <c r="G51" s="570" t="s">
        <v>158</v>
      </c>
      <c r="H51" s="574" cm="1">
        <f t="array" ref="H51">IFERROR(_xlfn.XLOOKUP(1,($B51=DistributionZone)*($C51=CustomerType)*(H$5=Desc_FixedOrVar)*($G51=Description),valuesPY),0)</f>
        <v>80.485123659685812</v>
      </c>
      <c r="I51" s="574"/>
      <c r="J51" s="574">
        <f>IF(AND(H51="",I51=""),"",H51+I51*$F51/1000)</f>
        <v>80.485123659685812</v>
      </c>
      <c r="K51" s="575" t="str">
        <f>IFERROR(J51/J53,"")</f>
        <v/>
      </c>
      <c r="L51" s="654"/>
      <c r="M51" s="575">
        <f>IF(OR(J51=0,Q51=""),"",Q51/J51-1)</f>
        <v>-9.5478159205532598E-2</v>
      </c>
      <c r="N51" s="654"/>
      <c r="O51" s="574" cm="1">
        <f t="array" ref="O51">IFERROR(_xlfn.XLOOKUP(1,($B51=DistributionZone)*($C51=CustomerType)*(O$5=Desc_FixedOrVar)*($G51=Description),valuesFY),0)</f>
        <v>72.800552209229352</v>
      </c>
      <c r="P51" s="574"/>
      <c r="Q51" s="574">
        <f>IF(AND(O51="",P51=""),"",O51+P51*$F51/1000)</f>
        <v>72.800552209229352</v>
      </c>
      <c r="R51" s="575">
        <f>IFERROR(Q51/Q53,"")</f>
        <v>0.21811954871383424</v>
      </c>
      <c r="S51" s="575"/>
      <c r="T51" s="612"/>
      <c r="U51" s="575"/>
      <c r="V51" s="575"/>
      <c r="W51" s="575"/>
      <c r="X51" s="575"/>
      <c r="Y51" s="575"/>
      <c r="Z51" s="575"/>
      <c r="AA51" s="575"/>
      <c r="AB51" s="575"/>
      <c r="AC51" s="575"/>
      <c r="AD51" s="575"/>
      <c r="AE51" s="575"/>
    </row>
    <row r="52" spans="1:31" s="627" customFormat="1" x14ac:dyDescent="0.35">
      <c r="A52" s="570"/>
      <c r="B52" s="570" t="str">
        <f t="shared" si="8"/>
        <v>Ausgrid</v>
      </c>
      <c r="C52" s="570" t="str">
        <f t="shared" si="8"/>
        <v>Small business</v>
      </c>
      <c r="D52" s="570" t="str">
        <f t="shared" si="8"/>
        <v>time of use</v>
      </c>
      <c r="E52" s="570" t="s">
        <v>19</v>
      </c>
      <c r="F52" s="485">
        <f>+F51</f>
        <v>10000</v>
      </c>
      <c r="G52" s="570" t="s">
        <v>190</v>
      </c>
      <c r="H52" s="574" cm="1">
        <f t="array" ref="H52">IFERROR(_xlfn.XLOOKUP(1,($B52=DistributionZone)*($C52=CustomerType)*(H$5=Desc_FixedOrVar)*($G52=Description),valuesPY),0)</f>
        <v>1.944522213723721</v>
      </c>
      <c r="I52" s="574"/>
      <c r="J52" s="574">
        <f>IF(AND(H52="",I52=""),"",H52+I52*$F52/1000)</f>
        <v>1.944522213723721</v>
      </c>
      <c r="K52" s="575" t="str">
        <f>IFERROR(J52/J53,"")</f>
        <v/>
      </c>
      <c r="L52" s="654"/>
      <c r="M52" s="575">
        <f>IF(OR(J52=0,Q52=""),0,Q52/J52-1)</f>
        <v>-1.9231669188858769E-2</v>
      </c>
      <c r="N52" s="654"/>
      <c r="O52" s="574" cm="1">
        <f t="array" ref="O52">IFERROR(_xlfn.XLOOKUP(1,($B52=DistributionZone)*($C52=CustomerType)*(O$5=Desc_FixedOrVar)*($G52=Description),valuesFY),0)</f>
        <v>1.907125805778999</v>
      </c>
      <c r="P52" s="574"/>
      <c r="Q52" s="574">
        <f>IF(AND(O52="",P52=""),"",O52+P52*$F52/1000)</f>
        <v>1.907125805778999</v>
      </c>
      <c r="R52" s="575">
        <f>IFERROR(Q52/Q53,"")</f>
        <v>5.7139871535793977E-3</v>
      </c>
      <c r="S52" s="575"/>
      <c r="T52" s="612"/>
      <c r="U52" s="575"/>
      <c r="V52" s="575"/>
      <c r="W52" s="575"/>
      <c r="X52" s="575"/>
      <c r="Y52" s="575"/>
      <c r="Z52" s="575"/>
      <c r="AA52" s="575"/>
      <c r="AB52" s="575"/>
      <c r="AC52" s="575"/>
      <c r="AD52" s="575"/>
      <c r="AE52" s="575"/>
    </row>
    <row r="53" spans="1:31" s="627" customFormat="1" x14ac:dyDescent="0.35">
      <c r="A53" s="570"/>
      <c r="B53" s="570" t="str">
        <f t="shared" si="8"/>
        <v>Ausgrid</v>
      </c>
      <c r="C53" s="570" t="str">
        <f t="shared" si="8"/>
        <v>Small business</v>
      </c>
      <c r="D53" s="570" t="str">
        <f t="shared" si="8"/>
        <v>time of use</v>
      </c>
      <c r="E53" s="570" t="s">
        <v>272</v>
      </c>
      <c r="F53" s="485">
        <f>+F52</f>
        <v>10000</v>
      </c>
      <c r="G53" s="571" t="s">
        <v>55</v>
      </c>
      <c r="H53" s="577">
        <f>IF($H$3=PY,0,SUM(H49:H52))</f>
        <v>0</v>
      </c>
      <c r="I53" s="577">
        <f>SUM(I49:I52)</f>
        <v>0</v>
      </c>
      <c r="J53" s="577">
        <f>IF($H$3=PY,0,IF(AND(H53="",I53=""),"",H53+I53*$F53/1000))</f>
        <v>0</v>
      </c>
      <c r="K53" s="578"/>
      <c r="L53" s="577"/>
      <c r="M53" s="578" t="str">
        <f>IF(OR(J53=0,Q53=""),"",Q53/J53-1)</f>
        <v/>
      </c>
      <c r="N53" s="577"/>
      <c r="O53" s="577">
        <f>SUM(O49:O52)</f>
        <v>333.76445457780272</v>
      </c>
      <c r="P53" s="577">
        <f>SUM(P49:P52)</f>
        <v>0</v>
      </c>
      <c r="Q53" s="577">
        <f>IF(AND(O53="",P53=""),"",O53+P53*$F53/1000)</f>
        <v>333.76445457780272</v>
      </c>
      <c r="R53" s="575"/>
      <c r="S53" s="575"/>
      <c r="T53" s="612"/>
      <c r="U53" s="575"/>
      <c r="V53" s="575"/>
      <c r="W53" s="575"/>
      <c r="X53" s="575"/>
      <c r="Y53" s="575"/>
      <c r="Z53" s="575"/>
      <c r="AA53" s="575"/>
      <c r="AB53" s="575"/>
      <c r="AC53" s="575"/>
      <c r="AD53" s="575"/>
      <c r="AE53" s="575"/>
    </row>
    <row r="54" spans="1:31" s="627" customFormat="1" x14ac:dyDescent="0.35">
      <c r="A54" s="570"/>
      <c r="B54" s="570" t="str">
        <f t="shared" ref="B54:D55" si="9">B53</f>
        <v>Ausgrid</v>
      </c>
      <c r="C54" s="570" t="str">
        <f t="shared" si="9"/>
        <v>Small business</v>
      </c>
      <c r="D54" s="570" t="str">
        <f t="shared" si="9"/>
        <v>time of use</v>
      </c>
      <c r="E54" s="570" t="s">
        <v>272</v>
      </c>
      <c r="F54" s="485">
        <f>+F53</f>
        <v>10000</v>
      </c>
      <c r="G54" s="570" t="s">
        <v>161</v>
      </c>
      <c r="H54" s="574"/>
      <c r="I54" s="574"/>
      <c r="J54" s="574">
        <f>J53*CPIPY</f>
        <v>0</v>
      </c>
      <c r="K54" s="575"/>
      <c r="L54" s="574"/>
      <c r="M54" s="575" t="str">
        <f>IF(OR(J54=0,Q54=""),"",Q54/J54-1)</f>
        <v/>
      </c>
      <c r="N54" s="574"/>
      <c r="O54" s="574"/>
      <c r="P54" s="574"/>
      <c r="Q54" s="574">
        <f>Q53*CPI</f>
        <v>24.41553738127546</v>
      </c>
      <c r="R54" s="575"/>
      <c r="S54" s="575"/>
      <c r="T54" s="612"/>
      <c r="U54" s="575"/>
      <c r="V54" s="575"/>
      <c r="W54" s="575"/>
      <c r="X54" s="575"/>
      <c r="Y54" s="575"/>
      <c r="Z54" s="575"/>
      <c r="AA54" s="575"/>
      <c r="AB54" s="575"/>
      <c r="AC54" s="575"/>
      <c r="AD54" s="575"/>
      <c r="AE54" s="575"/>
    </row>
    <row r="55" spans="1:31" s="627" customFormat="1" x14ac:dyDescent="0.35">
      <c r="A55" s="570"/>
      <c r="B55" s="570" t="str">
        <f t="shared" ref="B55:C57" si="10">B54</f>
        <v>Ausgrid</v>
      </c>
      <c r="C55" s="570" t="str">
        <f t="shared" si="10"/>
        <v>Small business</v>
      </c>
      <c r="D55" s="570" t="str">
        <f t="shared" si="9"/>
        <v>time of use</v>
      </c>
      <c r="E55" s="570"/>
      <c r="F55" s="485"/>
      <c r="G55" s="570" t="s">
        <v>38</v>
      </c>
      <c r="H55" s="574"/>
      <c r="I55" s="574"/>
      <c r="J55" s="574">
        <f>SUM(J53,J54)*GST</f>
        <v>0</v>
      </c>
      <c r="K55" s="575"/>
      <c r="L55" s="574"/>
      <c r="M55" s="575" t="str">
        <f>IF(OR(J55=0,Q55=""),"",Q55/J55-1)</f>
        <v/>
      </c>
      <c r="N55" s="574"/>
      <c r="O55" s="574"/>
      <c r="P55" s="574"/>
      <c r="Q55" s="574">
        <f>SUM(Q53,Q54)*GST</f>
        <v>35.817999195907817</v>
      </c>
      <c r="R55" s="578"/>
      <c r="S55" s="578"/>
      <c r="T55" s="621"/>
      <c r="U55" s="578"/>
      <c r="V55" s="578"/>
      <c r="W55" s="578"/>
      <c r="X55" s="578"/>
      <c r="Y55" s="578"/>
      <c r="Z55" s="578"/>
      <c r="AA55" s="578"/>
      <c r="AB55" s="578"/>
      <c r="AC55" s="578"/>
      <c r="AD55" s="578"/>
      <c r="AE55" s="578"/>
    </row>
    <row r="56" spans="1:31" s="627" customFormat="1" x14ac:dyDescent="0.35">
      <c r="A56" s="570"/>
      <c r="B56" s="570" t="str">
        <f t="shared" si="10"/>
        <v>Ausgrid</v>
      </c>
      <c r="C56" s="570" t="str">
        <f t="shared" si="10"/>
        <v>Small business</v>
      </c>
      <c r="D56" s="570" t="str">
        <f>D55</f>
        <v>time of use</v>
      </c>
      <c r="E56" s="570" t="s">
        <v>272</v>
      </c>
      <c r="F56" s="485"/>
      <c r="G56" s="571" t="s">
        <v>79</v>
      </c>
      <c r="H56" s="577"/>
      <c r="I56" s="577"/>
      <c r="J56" s="577">
        <f>SUM(J53:J55)</f>
        <v>0</v>
      </c>
      <c r="K56" s="578"/>
      <c r="L56" s="577"/>
      <c r="M56" s="578" t="str">
        <f>IF(OR(J56=0,Q56=""),"",Q56/J56-1)</f>
        <v/>
      </c>
      <c r="N56" s="577"/>
      <c r="O56" s="577"/>
      <c r="P56" s="577"/>
      <c r="Q56" s="577">
        <f>SUM(Q53:Q55)</f>
        <v>393.99799115498598</v>
      </c>
      <c r="R56" s="578"/>
      <c r="S56" s="578"/>
      <c r="T56" s="621"/>
      <c r="U56" s="578"/>
      <c r="V56" s="578"/>
      <c r="W56" s="578"/>
      <c r="X56" s="578"/>
      <c r="Y56" s="578"/>
      <c r="Z56" s="578"/>
      <c r="AA56" s="578"/>
      <c r="AB56" s="578"/>
      <c r="AC56" s="578"/>
      <c r="AD56" s="578"/>
      <c r="AE56" s="578"/>
    </row>
    <row r="57" spans="1:31" s="570" customFormat="1" x14ac:dyDescent="0.35">
      <c r="B57" s="570" t="str">
        <f t="shared" si="10"/>
        <v>Ausgrid</v>
      </c>
      <c r="C57" s="570" t="str">
        <f t="shared" si="10"/>
        <v>Small business</v>
      </c>
      <c r="D57" s="570" t="str">
        <f>D56</f>
        <v>time of use</v>
      </c>
      <c r="F57" s="485"/>
      <c r="H57" s="574"/>
      <c r="I57" s="574"/>
      <c r="J57" s="574"/>
      <c r="K57" s="575"/>
      <c r="L57" s="574"/>
      <c r="M57" s="575"/>
      <c r="N57" s="574"/>
      <c r="O57" s="574"/>
      <c r="P57" s="574"/>
      <c r="Q57" s="574"/>
      <c r="R57" s="575"/>
      <c r="S57" s="575"/>
      <c r="T57" s="612"/>
      <c r="U57" s="575"/>
      <c r="V57" s="575"/>
      <c r="W57" s="575"/>
      <c r="X57" s="575"/>
      <c r="Y57" s="575"/>
      <c r="Z57" s="575"/>
      <c r="AA57" s="575"/>
      <c r="AB57" s="575"/>
      <c r="AC57" s="575"/>
      <c r="AD57" s="575"/>
      <c r="AE57" s="575"/>
    </row>
    <row r="58" spans="1:31" x14ac:dyDescent="0.35">
      <c r="B58" s="658" t="s">
        <v>4</v>
      </c>
      <c r="C58" s="658" t="s">
        <v>6</v>
      </c>
      <c r="D58" s="64" t="s">
        <v>276</v>
      </c>
      <c r="F58" s="258"/>
      <c r="H58" s="482"/>
      <c r="I58" s="482"/>
      <c r="J58" s="482"/>
      <c r="K58" s="484"/>
      <c r="L58" s="651"/>
      <c r="M58" s="484"/>
      <c r="N58" s="651"/>
      <c r="O58" s="482"/>
      <c r="P58" s="482"/>
      <c r="Q58" s="482"/>
      <c r="R58" s="484"/>
      <c r="S58" s="484"/>
      <c r="T58" s="607"/>
      <c r="U58" s="484"/>
      <c r="V58" s="484"/>
      <c r="W58" s="484"/>
      <c r="X58" s="484"/>
      <c r="Y58" s="484"/>
      <c r="Z58" s="484"/>
      <c r="AA58" s="484"/>
      <c r="AB58" s="484"/>
      <c r="AC58" s="484"/>
      <c r="AD58" s="484"/>
      <c r="AE58" s="484"/>
    </row>
    <row r="59" spans="1:31" x14ac:dyDescent="0.35">
      <c r="B59" s="66" t="str">
        <f>B58</f>
        <v>Endeavour</v>
      </c>
      <c r="C59" s="66" t="str">
        <f>C58</f>
        <v>Residential</v>
      </c>
      <c r="D59" s="66" t="str">
        <f>D58</f>
        <v>flat rate</v>
      </c>
      <c r="E59" s="30" t="s">
        <v>19</v>
      </c>
      <c r="F59" s="258" cm="1">
        <f t="array" ref="F59">IFERROR(_xlfn.XLOOKUP(1,($B59=DistributionZone)*($C59=CustomerType)*($E59=tariffType)*(F$5=Description),valuesFY),0)</f>
        <v>4900</v>
      </c>
      <c r="G59" s="30" t="s">
        <v>220</v>
      </c>
      <c r="H59" s="482" cm="1">
        <f t="array" ref="H59">IFERROR(_xlfn.XLOOKUP(1,($B59=DistributionZone)*($C59=CustomerType)*(H$5=Desc_FixedOrVar)*($G59=Description),valuesPY),0)</f>
        <v>186.09139457871049</v>
      </c>
      <c r="I59" s="482"/>
      <c r="J59" s="482">
        <f>IF(AND(H59="",I59=""),"",H59+I59*$F59/1000)</f>
        <v>186.09139457871049</v>
      </c>
      <c r="K59" s="484">
        <f>IFERROR(J59/J63,"")</f>
        <v>0.62828178075102892</v>
      </c>
      <c r="L59" s="651"/>
      <c r="M59" s="484">
        <f>IF(OR(J59=0,Q59=""),"",Q59/J59-1)</f>
        <v>-0.10996309394218884</v>
      </c>
      <c r="N59" s="651"/>
      <c r="O59" s="482" cm="1">
        <f t="array" ref="O59">IFERROR(_xlfn.XLOOKUP(1,($B59=DistributionZone)*($C59=CustomerType)*(O$5=Desc_FixedOrVar)*($G59=Description),valuesFY),0)</f>
        <v>165.62820907481881</v>
      </c>
      <c r="P59" s="482"/>
      <c r="Q59" s="482">
        <f>IF(AND(O59="",P59=""),"",O59+P59*$F59/1000)</f>
        <v>165.62820907481881</v>
      </c>
      <c r="R59" s="484">
        <f>IFERROR(Q59/Q63,"")</f>
        <v>0.57685493652157815</v>
      </c>
      <c r="S59" s="484"/>
      <c r="T59" s="607"/>
      <c r="U59" s="484"/>
      <c r="V59" s="484"/>
      <c r="W59" s="484"/>
      <c r="X59" s="484"/>
      <c r="Y59" s="484"/>
      <c r="Z59" s="484"/>
      <c r="AA59" s="484"/>
      <c r="AB59" s="484"/>
      <c r="AC59" s="484"/>
      <c r="AD59" s="484"/>
      <c r="AE59" s="484"/>
    </row>
    <row r="60" spans="1:31" x14ac:dyDescent="0.35">
      <c r="B60" s="66" t="str">
        <f t="shared" ref="B60:D61" si="11">B59</f>
        <v>Endeavour</v>
      </c>
      <c r="C60" s="66" t="str">
        <f t="shared" si="11"/>
        <v>Residential</v>
      </c>
      <c r="D60" s="66" t="str">
        <f t="shared" si="11"/>
        <v>flat rate</v>
      </c>
      <c r="E60" s="30" t="s">
        <v>19</v>
      </c>
      <c r="F60" s="258">
        <f>F59</f>
        <v>4900</v>
      </c>
      <c r="G60" s="379" t="s">
        <v>222</v>
      </c>
      <c r="H60" s="482" cm="1">
        <f t="array" ref="H60">IFERROR(_xlfn.XLOOKUP(1,($B60=DistributionZone)*($C60=CustomerType)*(H$5=Desc_FixedOrVar)*($G60=Description),valuesPY),0)</f>
        <v>72.359052830514813</v>
      </c>
      <c r="I60" s="482"/>
      <c r="J60" s="482">
        <f>IF(AND(H60="",I60=""),"",H60+I60*$F60/1000)</f>
        <v>72.359052830514813</v>
      </c>
      <c r="K60" s="484">
        <f>IFERROR(J60/J63,"")</f>
        <v>0.24429863975566457</v>
      </c>
      <c r="L60" s="651"/>
      <c r="M60" s="484">
        <f>IF(OR(J60=0,Q60=""),"",Q60/J60-1)</f>
        <v>0.17096386995489499</v>
      </c>
      <c r="N60" s="651"/>
      <c r="O60" s="482" cm="1">
        <f t="array" ref="O60">IFERROR(_xlfn.XLOOKUP(1,($B60=DistributionZone)*($C60=CustomerType)*(O$5=Desc_FixedOrVar)*($G60=Description),valuesFY),0)</f>
        <v>84.729836528690328</v>
      </c>
      <c r="P60" s="482"/>
      <c r="Q60" s="482">
        <f>IF(AND(O60="",P60=""),"",O60+P60*$F60/1000)</f>
        <v>84.729836528690328</v>
      </c>
      <c r="R60" s="484">
        <f>IFERROR(Q60/Q63,"")</f>
        <v>0.29509963758747371</v>
      </c>
      <c r="S60" s="484"/>
      <c r="T60" s="607"/>
      <c r="U60" s="484"/>
      <c r="V60" s="484"/>
      <c r="W60" s="484"/>
      <c r="X60" s="484"/>
      <c r="Y60" s="484"/>
      <c r="Z60" s="484"/>
      <c r="AA60" s="484"/>
      <c r="AB60" s="484"/>
      <c r="AC60" s="484"/>
      <c r="AD60" s="484"/>
      <c r="AE60" s="484"/>
    </row>
    <row r="61" spans="1:31" s="65" customFormat="1" x14ac:dyDescent="0.35">
      <c r="A61" s="30"/>
      <c r="B61" s="66" t="str">
        <f t="shared" si="11"/>
        <v>Endeavour</v>
      </c>
      <c r="C61" s="66" t="str">
        <f t="shared" si="11"/>
        <v>Residential</v>
      </c>
      <c r="D61" s="66" t="str">
        <f t="shared" si="11"/>
        <v>flat rate</v>
      </c>
      <c r="E61" s="30" t="s">
        <v>19</v>
      </c>
      <c r="F61" s="258">
        <f>F60</f>
        <v>4900</v>
      </c>
      <c r="G61" s="30" t="s">
        <v>158</v>
      </c>
      <c r="H61" s="482" cm="1">
        <f t="array" ref="H61">IFERROR(_xlfn.XLOOKUP(1,($B61=DistributionZone)*($C61=CustomerType)*(H$5=Desc_FixedOrVar)*($G61=Description),valuesPY),0)</f>
        <v>35.525753173047072</v>
      </c>
      <c r="I61" s="482"/>
      <c r="J61" s="482">
        <f>IF(AND(H61="",I61=""),"",H61+I61*$F61/1000)</f>
        <v>35.525753173047072</v>
      </c>
      <c r="K61" s="484">
        <f>IFERROR(J61/J63,"")</f>
        <v>0.1199420506069819</v>
      </c>
      <c r="L61" s="651"/>
      <c r="M61" s="484">
        <f>IF(OR(J61=0,Q61=""),"",Q61/J61-1)</f>
        <v>1.4379688046419314E-2</v>
      </c>
      <c r="N61" s="651"/>
      <c r="O61" s="482" cm="1">
        <f t="array" ref="O61">IFERROR(_xlfn.XLOOKUP(1,($B61=DistributionZone)*($C61=CustomerType)*(O$5=Desc_FixedOrVar)*($G61=Description),valuesFY),0)</f>
        <v>36.036602421289579</v>
      </c>
      <c r="P61" s="482"/>
      <c r="Q61" s="482">
        <f>IF(AND(O61="",P61=""),"",O61+P61*$F61/1000)</f>
        <v>36.036602421289579</v>
      </c>
      <c r="R61" s="484">
        <f>IFERROR(Q61/Q63,"")</f>
        <v>0.12550936895535644</v>
      </c>
      <c r="S61" s="484"/>
      <c r="T61" s="607"/>
      <c r="U61" s="484"/>
      <c r="V61" s="484"/>
      <c r="W61" s="484"/>
      <c r="X61" s="484"/>
      <c r="Y61" s="484"/>
      <c r="Z61" s="484"/>
      <c r="AA61" s="484"/>
      <c r="AB61" s="484"/>
      <c r="AC61" s="484"/>
      <c r="AD61" s="484"/>
      <c r="AE61" s="484"/>
    </row>
    <row r="62" spans="1:31" s="65" customFormat="1" x14ac:dyDescent="0.35">
      <c r="B62" s="66" t="str">
        <f t="shared" ref="B62:D63" si="12">B61</f>
        <v>Endeavour</v>
      </c>
      <c r="C62" s="66" t="str">
        <f t="shared" si="12"/>
        <v>Residential</v>
      </c>
      <c r="D62" s="66" t="str">
        <f t="shared" si="12"/>
        <v>flat rate</v>
      </c>
      <c r="E62" s="30" t="s">
        <v>19</v>
      </c>
      <c r="F62" s="258">
        <f>F61</f>
        <v>4900</v>
      </c>
      <c r="G62" s="30" t="s">
        <v>190</v>
      </c>
      <c r="H62" s="482" cm="1">
        <f t="array" ref="H62">IFERROR(_xlfn.XLOOKUP(1,($B62=DistributionZone)*($C62=CustomerType)*(H$5=Desc_FixedOrVar)*($G62=Description),valuesPY),0)</f>
        <v>2.2147765876568317</v>
      </c>
      <c r="I62" s="482"/>
      <c r="J62" s="482">
        <f>IF(AND(H62="",I62=""),"",H62+I62*$F62/1000)</f>
        <v>2.2147765876568317</v>
      </c>
      <c r="K62" s="484">
        <f>IFERROR(J62/J63,"")</f>
        <v>7.4775288863245179E-3</v>
      </c>
      <c r="L62" s="651"/>
      <c r="M62" s="484">
        <f>IF(OR(J62=0,Q62=""),0,Q62/J62-1)</f>
        <v>-0.6712265281389268</v>
      </c>
      <c r="N62" s="651"/>
      <c r="O62" s="482" cm="1">
        <f t="array" ref="O62">IFERROR(_xlfn.XLOOKUP(1,($B62=DistributionZone)*($C62=CustomerType)*(O$5=Desc_FixedOrVar)*($G62=Description),valuesFY),0)</f>
        <v>0.72815978812055704</v>
      </c>
      <c r="P62" s="482"/>
      <c r="Q62" s="482">
        <f>IF(AND(O62="",P62=""),"",O62+P62*$F62/1000)</f>
        <v>0.72815978812055704</v>
      </c>
      <c r="R62" s="484">
        <f>IFERROR(Q62/Q63,"")</f>
        <v>2.5360569355918411E-3</v>
      </c>
      <c r="S62" s="484"/>
      <c r="T62" s="607"/>
      <c r="U62" s="484"/>
      <c r="V62" s="484"/>
      <c r="W62" s="484"/>
      <c r="X62" s="484"/>
      <c r="Y62" s="484"/>
      <c r="Z62" s="484"/>
      <c r="AA62" s="484"/>
      <c r="AB62" s="484"/>
      <c r="AC62" s="484"/>
      <c r="AD62" s="484"/>
      <c r="AE62" s="484"/>
    </row>
    <row r="63" spans="1:31" s="65" customFormat="1" x14ac:dyDescent="0.35">
      <c r="A63" s="30"/>
      <c r="B63" s="66" t="str">
        <f t="shared" si="12"/>
        <v>Endeavour</v>
      </c>
      <c r="C63" s="66" t="str">
        <f t="shared" si="12"/>
        <v>Residential</v>
      </c>
      <c r="D63" s="66" t="str">
        <f t="shared" si="12"/>
        <v>flat rate</v>
      </c>
      <c r="E63" s="30" t="s">
        <v>19</v>
      </c>
      <c r="F63" s="258">
        <f>F62</f>
        <v>4900</v>
      </c>
      <c r="G63" s="64" t="s">
        <v>55</v>
      </c>
      <c r="H63" s="487">
        <f>SUM(H59:H62)</f>
        <v>296.19097716992923</v>
      </c>
      <c r="I63" s="487">
        <f>SUM(I59:I62)</f>
        <v>0</v>
      </c>
      <c r="J63" s="487">
        <f>IF(AND(H63="",I63=""),"",H63+I63*$F63/1000)</f>
        <v>296.19097716992923</v>
      </c>
      <c r="K63" s="564"/>
      <c r="L63" s="487"/>
      <c r="M63" s="564">
        <f>IF(OR(J63=0,Q63=""),"",Q63/J63-1)</f>
        <v>-3.0615954083596075E-2</v>
      </c>
      <c r="N63" s="487"/>
      <c r="O63" s="487">
        <f>SUM(O59:O62)</f>
        <v>287.12280781291923</v>
      </c>
      <c r="P63" s="487">
        <f>SUM(P59:P62)</f>
        <v>0</v>
      </c>
      <c r="Q63" s="487">
        <f>IF(AND(O63="",P63=""),"",O63+P63*$F63/1000)</f>
        <v>287.12280781291923</v>
      </c>
      <c r="R63" s="484"/>
      <c r="S63" s="484"/>
      <c r="T63" s="607"/>
      <c r="U63" s="484"/>
      <c r="V63" s="484"/>
      <c r="W63" s="484"/>
      <c r="X63" s="484"/>
      <c r="Y63" s="484"/>
      <c r="Z63" s="484"/>
      <c r="AA63" s="484"/>
      <c r="AB63" s="484"/>
      <c r="AC63" s="484"/>
      <c r="AD63" s="484"/>
      <c r="AE63" s="484"/>
    </row>
    <row r="64" spans="1:31" s="65" customFormat="1" x14ac:dyDescent="0.35">
      <c r="A64" s="30"/>
      <c r="B64" s="66" t="str">
        <f t="shared" ref="B64:D67" si="13">B63</f>
        <v>Endeavour</v>
      </c>
      <c r="C64" s="66" t="str">
        <f t="shared" si="13"/>
        <v>Residential</v>
      </c>
      <c r="D64" s="66" t="str">
        <f t="shared" si="13"/>
        <v>flat rate</v>
      </c>
      <c r="E64" s="30" t="s">
        <v>19</v>
      </c>
      <c r="F64" s="258">
        <f>F63</f>
        <v>4900</v>
      </c>
      <c r="G64" s="30" t="s">
        <v>161</v>
      </c>
      <c r="H64" s="482"/>
      <c r="I64" s="482"/>
      <c r="J64" s="482">
        <f>J63*CPIPY</f>
        <v>16.814169391982588</v>
      </c>
      <c r="K64" s="484"/>
      <c r="L64" s="482"/>
      <c r="M64" s="484">
        <f>IF(OR(J64=0,Q64=""),"",Q64/J64-1)</f>
        <v>0.24916117754503753</v>
      </c>
      <c r="N64" s="482"/>
      <c r="O64" s="482"/>
      <c r="P64" s="482"/>
      <c r="Q64" s="482">
        <f>Q63*CPI</f>
        <v>21.003607637130699</v>
      </c>
      <c r="R64" s="484"/>
      <c r="S64" s="484"/>
      <c r="T64" s="607"/>
      <c r="U64" s="484"/>
      <c r="V64" s="484"/>
      <c r="W64" s="484"/>
      <c r="X64" s="484"/>
      <c r="Y64" s="484"/>
      <c r="Z64" s="484"/>
      <c r="AA64" s="484"/>
      <c r="AB64" s="484"/>
      <c r="AC64" s="484"/>
      <c r="AD64" s="484"/>
      <c r="AE64" s="484"/>
    </row>
    <row r="65" spans="1:31" s="65" customFormat="1" x14ac:dyDescent="0.35">
      <c r="A65" s="30"/>
      <c r="B65" s="66" t="str">
        <f t="shared" si="13"/>
        <v>Endeavour</v>
      </c>
      <c r="C65" s="66" t="str">
        <f t="shared" si="13"/>
        <v>Residential</v>
      </c>
      <c r="D65" s="66" t="str">
        <f t="shared" si="13"/>
        <v>flat rate</v>
      </c>
      <c r="E65" s="30"/>
      <c r="F65" s="258"/>
      <c r="G65" s="30" t="s">
        <v>38</v>
      </c>
      <c r="H65" s="482"/>
      <c r="I65" s="482"/>
      <c r="J65" s="482">
        <f>SUM(J63,J64)*GST</f>
        <v>31.300514656191183</v>
      </c>
      <c r="K65" s="484"/>
      <c r="L65" s="482"/>
      <c r="M65" s="484">
        <f>IF(OR(J65=0,Q65=""),"",Q65/J65-1)</f>
        <v>-1.5586744069388314E-2</v>
      </c>
      <c r="N65" s="482"/>
      <c r="O65" s="482"/>
      <c r="P65" s="482"/>
      <c r="Q65" s="482">
        <f>SUM(Q63,Q64)*GST</f>
        <v>30.812641545004993</v>
      </c>
      <c r="R65" s="564"/>
      <c r="S65" s="564"/>
      <c r="T65" s="611"/>
      <c r="U65" s="564"/>
      <c r="V65" s="564"/>
      <c r="W65" s="564"/>
      <c r="X65" s="564"/>
      <c r="Y65" s="564"/>
      <c r="Z65" s="564"/>
      <c r="AA65" s="564"/>
      <c r="AB65" s="564"/>
      <c r="AC65" s="564"/>
      <c r="AD65" s="564"/>
      <c r="AE65" s="564"/>
    </row>
    <row r="66" spans="1:31" s="65" customFormat="1" x14ac:dyDescent="0.35">
      <c r="A66" s="30"/>
      <c r="B66" s="66" t="str">
        <f t="shared" si="13"/>
        <v>Endeavour</v>
      </c>
      <c r="C66" s="66" t="str">
        <f t="shared" si="13"/>
        <v>Residential</v>
      </c>
      <c r="D66" s="66" t="str">
        <f t="shared" si="13"/>
        <v>flat rate</v>
      </c>
      <c r="E66" s="30"/>
      <c r="F66" s="258"/>
      <c r="G66" s="64" t="s">
        <v>79</v>
      </c>
      <c r="H66" s="487"/>
      <c r="I66" s="487"/>
      <c r="J66" s="487">
        <f>SUM(J63:J65)</f>
        <v>344.30566121810301</v>
      </c>
      <c r="K66" s="564"/>
      <c r="L66" s="487"/>
      <c r="M66" s="564">
        <f>IF(OR(J66=0,Q66=""),"",Q66/J66-1)</f>
        <v>-1.5586744069388425E-2</v>
      </c>
      <c r="N66" s="487"/>
      <c r="O66" s="487"/>
      <c r="P66" s="487"/>
      <c r="Q66" s="487">
        <f>SUM(Q63:Q65)</f>
        <v>338.9390569950549</v>
      </c>
      <c r="R66" s="564"/>
      <c r="S66" s="564"/>
      <c r="T66" s="611"/>
      <c r="U66" s="564"/>
      <c r="V66" s="564"/>
      <c r="W66" s="564"/>
      <c r="X66" s="564"/>
      <c r="Y66" s="564"/>
      <c r="Z66" s="564"/>
      <c r="AA66" s="564"/>
      <c r="AB66" s="564"/>
      <c r="AC66" s="564"/>
      <c r="AD66" s="564"/>
      <c r="AE66" s="564"/>
    </row>
    <row r="67" spans="1:31" x14ac:dyDescent="0.35">
      <c r="B67" s="66" t="str">
        <f t="shared" si="13"/>
        <v>Endeavour</v>
      </c>
      <c r="C67" s="66" t="str">
        <f t="shared" si="13"/>
        <v>Residential</v>
      </c>
      <c r="D67" s="66" t="str">
        <f t="shared" si="13"/>
        <v>flat rate</v>
      </c>
      <c r="F67" s="258"/>
      <c r="H67" s="482"/>
      <c r="I67" s="482"/>
      <c r="J67" s="482"/>
      <c r="K67" s="484"/>
      <c r="L67" s="482"/>
      <c r="M67" s="484"/>
      <c r="N67" s="482"/>
      <c r="O67" s="482"/>
      <c r="P67" s="482"/>
      <c r="Q67" s="482"/>
      <c r="R67" s="484"/>
      <c r="S67" s="484"/>
      <c r="T67" s="607"/>
      <c r="U67" s="484"/>
      <c r="V67" s="484"/>
      <c r="W67" s="484"/>
      <c r="X67" s="484"/>
      <c r="Y67" s="484"/>
      <c r="Z67" s="484"/>
      <c r="AA67" s="484"/>
      <c r="AB67" s="484"/>
      <c r="AC67" s="484"/>
      <c r="AD67" s="484"/>
      <c r="AE67" s="484"/>
    </row>
    <row r="68" spans="1:31" s="570" customFormat="1" x14ac:dyDescent="0.35">
      <c r="B68" s="571" t="s">
        <v>4</v>
      </c>
      <c r="C68" s="571" t="s">
        <v>6</v>
      </c>
      <c r="D68" s="571" t="s">
        <v>272</v>
      </c>
      <c r="F68" s="485"/>
      <c r="H68" s="574"/>
      <c r="I68" s="574"/>
      <c r="J68" s="574"/>
      <c r="K68" s="575"/>
      <c r="L68" s="654"/>
      <c r="M68" s="575"/>
      <c r="N68" s="654"/>
      <c r="O68" s="574"/>
      <c r="P68" s="574"/>
      <c r="Q68" s="574"/>
      <c r="R68" s="575"/>
      <c r="S68" s="575"/>
      <c r="T68" s="612"/>
      <c r="U68" s="575"/>
      <c r="V68" s="575"/>
      <c r="W68" s="575"/>
      <c r="X68" s="575"/>
      <c r="Y68" s="575"/>
      <c r="Z68" s="575"/>
      <c r="AA68" s="575"/>
      <c r="AB68" s="575"/>
      <c r="AC68" s="575"/>
      <c r="AD68" s="575"/>
      <c r="AE68" s="575"/>
    </row>
    <row r="69" spans="1:31" s="570" customFormat="1" x14ac:dyDescent="0.35">
      <c r="B69" s="570" t="str">
        <f t="shared" ref="B69:B77" si="14">B68</f>
        <v>Endeavour</v>
      </c>
      <c r="C69" s="570" t="str">
        <f t="shared" ref="C69:C77" si="15">C68</f>
        <v>Residential</v>
      </c>
      <c r="D69" s="570" t="str">
        <f t="shared" ref="D69:D77" si="16">D68</f>
        <v>time of use</v>
      </c>
      <c r="E69" s="570" t="s">
        <v>19</v>
      </c>
      <c r="F69" s="485" cm="1">
        <f t="array" ref="F69">IFERROR(_xlfn.XLOOKUP(1,($B69=DistributionZone)*($C69=CustomerType)*($E69=tariffType)*(F$5=Description),valuesFY),0)</f>
        <v>4900</v>
      </c>
      <c r="G69" s="570" t="s">
        <v>220</v>
      </c>
      <c r="H69" s="574" cm="1">
        <f t="array" ref="H69">IFERROR(_xlfn.XLOOKUP(1,($B69=DistributionZone)*($C69=CustomerType)*(H$5=Desc_FixedOrVar)*($G69=Description),valuesPY),0)</f>
        <v>186.09139457871049</v>
      </c>
      <c r="I69" s="574"/>
      <c r="J69" s="574">
        <f>IF(AND(H69="",I69=""),"",H69+I69*$F69/1000)</f>
        <v>186.09139457871049</v>
      </c>
      <c r="K69" s="575" t="str">
        <f>IFERROR(J69/J73,"")</f>
        <v/>
      </c>
      <c r="L69" s="654"/>
      <c r="M69" s="575">
        <f>IF(OR(J69=0,Q69=""),"",Q69/J69-1)</f>
        <v>-0.10996309394218884</v>
      </c>
      <c r="N69" s="654"/>
      <c r="O69" s="574" cm="1">
        <f t="array" ref="O69">IFERROR(_xlfn.XLOOKUP(1,($B69=DistributionZone)*($C69=CustomerType)*(O$5=Desc_FixedOrVar)*($G69=Description),valuesFY),0)</f>
        <v>165.62820907481881</v>
      </c>
      <c r="P69" s="574"/>
      <c r="Q69" s="574">
        <f>IF(AND(O69="",P69=""),"",O69+P69*$F69/1000)</f>
        <v>165.62820907481881</v>
      </c>
      <c r="R69" s="575">
        <f>IFERROR(Q69/Q73,"")</f>
        <v>0.57685493652157815</v>
      </c>
      <c r="S69" s="575"/>
      <c r="T69" s="612"/>
      <c r="U69" s="575"/>
      <c r="V69" s="575"/>
      <c r="W69" s="575"/>
      <c r="X69" s="575"/>
      <c r="Y69" s="575"/>
      <c r="Z69" s="575"/>
      <c r="AA69" s="575"/>
      <c r="AB69" s="575"/>
      <c r="AC69" s="575"/>
      <c r="AD69" s="575"/>
      <c r="AE69" s="575"/>
    </row>
    <row r="70" spans="1:31" s="570" customFormat="1" x14ac:dyDescent="0.35">
      <c r="B70" s="570" t="str">
        <f t="shared" si="14"/>
        <v>Endeavour</v>
      </c>
      <c r="C70" s="570" t="str">
        <f t="shared" si="15"/>
        <v>Residential</v>
      </c>
      <c r="D70" s="570" t="str">
        <f t="shared" si="16"/>
        <v>time of use</v>
      </c>
      <c r="E70" s="570" t="s">
        <v>19</v>
      </c>
      <c r="F70" s="485">
        <f>F69</f>
        <v>4900</v>
      </c>
      <c r="G70" s="615" t="s">
        <v>222</v>
      </c>
      <c r="H70" s="574" cm="1">
        <f t="array" ref="H70">IFERROR(_xlfn.XLOOKUP(1,($B70=DistributionZone)*($C70=CustomerType)*(H$5=Desc_FixedOrVar)*($G70=Description),valuesPY),0)</f>
        <v>72.359052830514813</v>
      </c>
      <c r="I70" s="574"/>
      <c r="J70" s="574">
        <f>IF(AND(H70="",I70=""),"",H70+I70*$F70/1000)</f>
        <v>72.359052830514813</v>
      </c>
      <c r="K70" s="575" t="str">
        <f>IFERROR(J70/J73,"")</f>
        <v/>
      </c>
      <c r="L70" s="654"/>
      <c r="M70" s="575">
        <f>IF(OR(J70=0,Q70=""),"",Q70/J70-1)</f>
        <v>0.17096386995489499</v>
      </c>
      <c r="N70" s="654"/>
      <c r="O70" s="574" cm="1">
        <f t="array" ref="O70">IFERROR(_xlfn.XLOOKUP(1,($B70=DistributionZone)*($C70=CustomerType)*(O$5=Desc_FixedOrVar)*($G70=Description),valuesFY),0)</f>
        <v>84.729836528690328</v>
      </c>
      <c r="P70" s="574"/>
      <c r="Q70" s="574">
        <f>IF(AND(O70="",P70=""),"",O70+P70*$F70/1000)</f>
        <v>84.729836528690328</v>
      </c>
      <c r="R70" s="575">
        <f>IFERROR(Q70/Q73,"")</f>
        <v>0.29509963758747371</v>
      </c>
      <c r="S70" s="575"/>
      <c r="T70" s="612"/>
      <c r="U70" s="575"/>
      <c r="V70" s="575"/>
      <c r="W70" s="575"/>
      <c r="X70" s="575"/>
      <c r="Y70" s="575"/>
      <c r="Z70" s="575"/>
      <c r="AA70" s="575"/>
      <c r="AB70" s="575"/>
      <c r="AC70" s="575"/>
      <c r="AD70" s="575"/>
      <c r="AE70" s="575"/>
    </row>
    <row r="71" spans="1:31" s="627" customFormat="1" x14ac:dyDescent="0.35">
      <c r="A71" s="570"/>
      <c r="B71" s="570" t="str">
        <f t="shared" si="14"/>
        <v>Endeavour</v>
      </c>
      <c r="C71" s="570" t="str">
        <f t="shared" si="15"/>
        <v>Residential</v>
      </c>
      <c r="D71" s="570" t="str">
        <f t="shared" si="16"/>
        <v>time of use</v>
      </c>
      <c r="E71" s="570" t="s">
        <v>19</v>
      </c>
      <c r="F71" s="485">
        <f>F70</f>
        <v>4900</v>
      </c>
      <c r="G71" s="570" t="s">
        <v>158</v>
      </c>
      <c r="H71" s="574" cm="1">
        <f t="array" ref="H71">IFERROR(_xlfn.XLOOKUP(1,($B71=DistributionZone)*($C71=CustomerType)*(H$5=Desc_FixedOrVar)*($G71=Description),valuesPY),0)</f>
        <v>35.525753173047072</v>
      </c>
      <c r="I71" s="574"/>
      <c r="J71" s="574">
        <f>IF(AND(H71="",I71=""),"",H71+I71*$F71/1000)</f>
        <v>35.525753173047072</v>
      </c>
      <c r="K71" s="575" t="str">
        <f>IFERROR(J71/J73,"")</f>
        <v/>
      </c>
      <c r="L71" s="654"/>
      <c r="M71" s="575">
        <f>IF(OR(J71=0,Q71=""),"",Q71/J71-1)</f>
        <v>1.4379688046419314E-2</v>
      </c>
      <c r="N71" s="654"/>
      <c r="O71" s="574" cm="1">
        <f t="array" ref="O71">IFERROR(_xlfn.XLOOKUP(1,($B71=DistributionZone)*($C71=CustomerType)*(O$5=Desc_FixedOrVar)*($G71=Description),valuesFY),0)</f>
        <v>36.036602421289579</v>
      </c>
      <c r="P71" s="574"/>
      <c r="Q71" s="574">
        <f>IF(AND(O71="",P71=""),"",O71+P71*$F71/1000)</f>
        <v>36.036602421289579</v>
      </c>
      <c r="R71" s="575">
        <f>IFERROR(Q71/Q73,"")</f>
        <v>0.12550936895535644</v>
      </c>
      <c r="S71" s="575"/>
      <c r="T71" s="612"/>
      <c r="U71" s="575"/>
      <c r="V71" s="575"/>
      <c r="W71" s="575"/>
      <c r="X71" s="575"/>
      <c r="Y71" s="575"/>
      <c r="Z71" s="575"/>
      <c r="AA71" s="575"/>
      <c r="AB71" s="575"/>
      <c r="AC71" s="575"/>
      <c r="AD71" s="575"/>
      <c r="AE71" s="575"/>
    </row>
    <row r="72" spans="1:31" s="627" customFormat="1" x14ac:dyDescent="0.35">
      <c r="B72" s="570" t="str">
        <f t="shared" si="14"/>
        <v>Endeavour</v>
      </c>
      <c r="C72" s="570" t="str">
        <f t="shared" si="15"/>
        <v>Residential</v>
      </c>
      <c r="D72" s="570" t="str">
        <f t="shared" si="16"/>
        <v>time of use</v>
      </c>
      <c r="E72" s="570" t="s">
        <v>19</v>
      </c>
      <c r="F72" s="485">
        <f>F71</f>
        <v>4900</v>
      </c>
      <c r="G72" s="570" t="s">
        <v>190</v>
      </c>
      <c r="H72" s="574" cm="1">
        <f t="array" ref="H72">IFERROR(_xlfn.XLOOKUP(1,($B72=DistributionZone)*($C72=CustomerType)*(H$5=Desc_FixedOrVar)*($G72=Description),valuesPY),0)</f>
        <v>2.2147765876568317</v>
      </c>
      <c r="I72" s="574"/>
      <c r="J72" s="574">
        <f>IF(AND(H72="",I72=""),"",H72+I72*$F72/1000)</f>
        <v>2.2147765876568317</v>
      </c>
      <c r="K72" s="575" t="str">
        <f>IFERROR(J72/J73,"")</f>
        <v/>
      </c>
      <c r="L72" s="654"/>
      <c r="M72" s="575">
        <f>IF(OR(J72=0,Q72=""),0,Q72/J72-1)</f>
        <v>-0.6712265281389268</v>
      </c>
      <c r="N72" s="654"/>
      <c r="O72" s="574" cm="1">
        <f t="array" ref="O72">IFERROR(_xlfn.XLOOKUP(1,($B72=DistributionZone)*($C72=CustomerType)*(O$5=Desc_FixedOrVar)*($G72=Description),valuesFY),0)</f>
        <v>0.72815978812055704</v>
      </c>
      <c r="P72" s="574"/>
      <c r="Q72" s="574">
        <f>IF(AND(O72="",P72=""),"",O72+P72*$F72/1000)</f>
        <v>0.72815978812055704</v>
      </c>
      <c r="R72" s="575">
        <f>IFERROR(Q72/Q73,"")</f>
        <v>2.5360569355918411E-3</v>
      </c>
      <c r="S72" s="575"/>
      <c r="T72" s="612"/>
      <c r="U72" s="575"/>
      <c r="V72" s="575"/>
      <c r="W72" s="575"/>
      <c r="X72" s="575"/>
      <c r="Y72" s="575"/>
      <c r="Z72" s="575"/>
      <c r="AA72" s="575"/>
      <c r="AB72" s="575"/>
      <c r="AC72" s="575"/>
      <c r="AD72" s="575"/>
      <c r="AE72" s="575"/>
    </row>
    <row r="73" spans="1:31" s="627" customFormat="1" x14ac:dyDescent="0.35">
      <c r="A73" s="570"/>
      <c r="B73" s="570" t="str">
        <f t="shared" si="14"/>
        <v>Endeavour</v>
      </c>
      <c r="C73" s="570" t="str">
        <f t="shared" si="15"/>
        <v>Residential</v>
      </c>
      <c r="D73" s="570" t="str">
        <f t="shared" si="16"/>
        <v>time of use</v>
      </c>
      <c r="E73" s="570" t="s">
        <v>272</v>
      </c>
      <c r="F73" s="485">
        <f>F72</f>
        <v>4900</v>
      </c>
      <c r="G73" s="571" t="s">
        <v>55</v>
      </c>
      <c r="H73" s="577">
        <f>IF($H$3=PY,0,SUM(H69:H72))</f>
        <v>0</v>
      </c>
      <c r="I73" s="577">
        <f>SUM(I69:I72)</f>
        <v>0</v>
      </c>
      <c r="J73" s="577">
        <f>IF($H$3=PY,0,IF(AND(H73="",I73=""),"",H73+I73*$F73/1000))</f>
        <v>0</v>
      </c>
      <c r="K73" s="578"/>
      <c r="L73" s="577"/>
      <c r="M73" s="578" t="str">
        <f>IF(OR(J73=0,Q73=""),"",Q73/J73-1)</f>
        <v/>
      </c>
      <c r="N73" s="577"/>
      <c r="O73" s="577">
        <f>SUM(O69:O72)</f>
        <v>287.12280781291923</v>
      </c>
      <c r="P73" s="577">
        <f>SUM(P69:P72)</f>
        <v>0</v>
      </c>
      <c r="Q73" s="577">
        <f>IF(AND(O73="",P73=""),"",O73+P73*$F73/1000)</f>
        <v>287.12280781291923</v>
      </c>
      <c r="R73" s="575"/>
      <c r="S73" s="575"/>
      <c r="T73" s="612"/>
      <c r="U73" s="575"/>
      <c r="V73" s="575"/>
      <c r="W73" s="575"/>
      <c r="X73" s="575"/>
      <c r="Y73" s="575"/>
      <c r="Z73" s="575"/>
      <c r="AA73" s="575"/>
      <c r="AB73" s="575"/>
      <c r="AC73" s="575"/>
      <c r="AD73" s="575"/>
      <c r="AE73" s="575"/>
    </row>
    <row r="74" spans="1:31" s="627" customFormat="1" x14ac:dyDescent="0.35">
      <c r="A74" s="570"/>
      <c r="B74" s="570" t="str">
        <f t="shared" si="14"/>
        <v>Endeavour</v>
      </c>
      <c r="C74" s="570" t="str">
        <f t="shared" si="15"/>
        <v>Residential</v>
      </c>
      <c r="D74" s="570" t="str">
        <f t="shared" si="16"/>
        <v>time of use</v>
      </c>
      <c r="E74" s="570" t="s">
        <v>272</v>
      </c>
      <c r="F74" s="485">
        <f>F73</f>
        <v>4900</v>
      </c>
      <c r="G74" s="570" t="s">
        <v>161</v>
      </c>
      <c r="H74" s="574"/>
      <c r="I74" s="574"/>
      <c r="J74" s="574">
        <f>J73*CPIPY</f>
        <v>0</v>
      </c>
      <c r="K74" s="575"/>
      <c r="L74" s="574"/>
      <c r="M74" s="575" t="str">
        <f>IF(OR(J74=0,Q74=""),"",Q74/J74-1)</f>
        <v/>
      </c>
      <c r="N74" s="574"/>
      <c r="O74" s="574"/>
      <c r="P74" s="574"/>
      <c r="Q74" s="574">
        <f>Q73*CPI</f>
        <v>21.003607637130699</v>
      </c>
      <c r="R74" s="575"/>
      <c r="S74" s="575"/>
      <c r="T74" s="612"/>
      <c r="U74" s="575"/>
      <c r="V74" s="575"/>
      <c r="W74" s="575"/>
      <c r="X74" s="575"/>
      <c r="Y74" s="575"/>
      <c r="Z74" s="575"/>
      <c r="AA74" s="575"/>
      <c r="AB74" s="575"/>
      <c r="AC74" s="575"/>
      <c r="AD74" s="575"/>
      <c r="AE74" s="575"/>
    </row>
    <row r="75" spans="1:31" s="627" customFormat="1" x14ac:dyDescent="0.35">
      <c r="A75" s="570"/>
      <c r="B75" s="570" t="str">
        <f t="shared" si="14"/>
        <v>Endeavour</v>
      </c>
      <c r="C75" s="570" t="str">
        <f t="shared" si="15"/>
        <v>Residential</v>
      </c>
      <c r="D75" s="570" t="str">
        <f t="shared" si="16"/>
        <v>time of use</v>
      </c>
      <c r="E75" s="570"/>
      <c r="F75" s="485"/>
      <c r="G75" s="570" t="s">
        <v>38</v>
      </c>
      <c r="H75" s="574"/>
      <c r="I75" s="574"/>
      <c r="J75" s="574">
        <f>SUM(J73,J74)*GST</f>
        <v>0</v>
      </c>
      <c r="K75" s="575"/>
      <c r="L75" s="574"/>
      <c r="M75" s="575" t="str">
        <f>IF(OR(J75=0,Q75=""),"",Q75/J75-1)</f>
        <v/>
      </c>
      <c r="N75" s="574"/>
      <c r="O75" s="574"/>
      <c r="P75" s="574"/>
      <c r="Q75" s="574">
        <f>SUM(Q73,Q74)*GST</f>
        <v>30.812641545004993</v>
      </c>
      <c r="R75" s="578"/>
      <c r="S75" s="578"/>
      <c r="T75" s="621"/>
      <c r="U75" s="578"/>
      <c r="V75" s="578"/>
      <c r="W75" s="578"/>
      <c r="X75" s="578"/>
      <c r="Y75" s="578"/>
      <c r="Z75" s="578"/>
      <c r="AA75" s="578"/>
      <c r="AB75" s="578"/>
      <c r="AC75" s="578"/>
      <c r="AD75" s="578"/>
      <c r="AE75" s="578"/>
    </row>
    <row r="76" spans="1:31" s="627" customFormat="1" x14ac:dyDescent="0.35">
      <c r="A76" s="570"/>
      <c r="B76" s="570" t="str">
        <f t="shared" si="14"/>
        <v>Endeavour</v>
      </c>
      <c r="C76" s="570" t="str">
        <f t="shared" si="15"/>
        <v>Residential</v>
      </c>
      <c r="D76" s="570" t="str">
        <f t="shared" si="16"/>
        <v>time of use</v>
      </c>
      <c r="E76" s="570" t="s">
        <v>272</v>
      </c>
      <c r="F76" s="485"/>
      <c r="G76" s="571" t="s">
        <v>79</v>
      </c>
      <c r="H76" s="577"/>
      <c r="I76" s="577"/>
      <c r="J76" s="577">
        <f>SUM(J73:J75)</f>
        <v>0</v>
      </c>
      <c r="K76" s="578"/>
      <c r="L76" s="577"/>
      <c r="M76" s="578" t="str">
        <f>IF(OR(J76=0,Q76=""),"",Q76/J76-1)</f>
        <v/>
      </c>
      <c r="N76" s="577"/>
      <c r="O76" s="577"/>
      <c r="P76" s="577"/>
      <c r="Q76" s="577">
        <f>SUM(Q73:Q75)</f>
        <v>338.9390569950549</v>
      </c>
      <c r="R76" s="578"/>
      <c r="S76" s="578"/>
      <c r="T76" s="621"/>
      <c r="U76" s="578"/>
      <c r="V76" s="578"/>
      <c r="W76" s="578"/>
      <c r="X76" s="578"/>
      <c r="Y76" s="578"/>
      <c r="Z76" s="578"/>
      <c r="AA76" s="578"/>
      <c r="AB76" s="578"/>
      <c r="AC76" s="578"/>
      <c r="AD76" s="578"/>
      <c r="AE76" s="578"/>
    </row>
    <row r="77" spans="1:31" s="570" customFormat="1" x14ac:dyDescent="0.35">
      <c r="B77" s="570" t="str">
        <f t="shared" si="14"/>
        <v>Endeavour</v>
      </c>
      <c r="C77" s="570" t="str">
        <f t="shared" si="15"/>
        <v>Residential</v>
      </c>
      <c r="D77" s="570" t="str">
        <f t="shared" si="16"/>
        <v>time of use</v>
      </c>
      <c r="F77" s="485"/>
      <c r="H77" s="574"/>
      <c r="I77" s="574"/>
      <c r="J77" s="574"/>
      <c r="K77" s="575"/>
      <c r="L77" s="574"/>
      <c r="M77" s="575"/>
      <c r="N77" s="574"/>
      <c r="O77" s="574"/>
      <c r="P77" s="574"/>
      <c r="Q77" s="574"/>
      <c r="R77" s="575"/>
      <c r="S77" s="575"/>
      <c r="T77" s="612"/>
      <c r="U77" s="575"/>
      <c r="V77" s="575"/>
      <c r="W77" s="575"/>
      <c r="X77" s="575"/>
      <c r="Y77" s="575"/>
      <c r="Z77" s="575"/>
      <c r="AA77" s="575"/>
      <c r="AB77" s="575"/>
      <c r="AC77" s="575"/>
      <c r="AD77" s="575"/>
      <c r="AE77" s="575"/>
    </row>
    <row r="78" spans="1:31" hidden="1" x14ac:dyDescent="0.35">
      <c r="B78" s="165"/>
      <c r="C78" s="165"/>
      <c r="D78" s="165"/>
      <c r="E78" s="31"/>
      <c r="F78" s="588"/>
      <c r="G78" s="31"/>
      <c r="H78" s="589"/>
      <c r="I78" s="589"/>
      <c r="J78" s="589"/>
      <c r="K78" s="590"/>
      <c r="L78" s="589"/>
      <c r="M78" s="590"/>
      <c r="N78" s="589"/>
      <c r="O78" s="589"/>
      <c r="P78" s="589"/>
      <c r="Q78" s="589"/>
      <c r="R78" s="590"/>
      <c r="S78" s="484"/>
      <c r="T78" s="607"/>
      <c r="U78" s="484"/>
      <c r="V78" s="484"/>
      <c r="W78" s="484"/>
      <c r="X78" s="484"/>
      <c r="Y78" s="484"/>
      <c r="Z78" s="484"/>
      <c r="AA78" s="484"/>
      <c r="AB78" s="484"/>
      <c r="AC78" s="484"/>
      <c r="AD78" s="484"/>
      <c r="AE78" s="484"/>
    </row>
    <row r="79" spans="1:31" hidden="1" x14ac:dyDescent="0.35">
      <c r="B79" s="31"/>
      <c r="C79" s="31"/>
      <c r="D79" s="31"/>
      <c r="E79" s="31"/>
      <c r="F79" s="588"/>
      <c r="G79" s="31"/>
      <c r="H79" s="589"/>
      <c r="I79" s="589"/>
      <c r="J79" s="589"/>
      <c r="K79" s="590"/>
      <c r="L79" s="656"/>
      <c r="M79" s="590"/>
      <c r="N79" s="656"/>
      <c r="O79" s="589"/>
      <c r="P79" s="589"/>
      <c r="Q79" s="589"/>
      <c r="R79" s="590"/>
      <c r="S79" s="484"/>
      <c r="T79" s="607"/>
      <c r="U79" s="484"/>
      <c r="V79" s="484"/>
      <c r="W79" s="484"/>
      <c r="X79" s="484"/>
      <c r="Y79" s="484"/>
      <c r="Z79" s="484"/>
      <c r="AA79" s="484"/>
      <c r="AB79" s="484"/>
      <c r="AC79" s="484"/>
      <c r="AD79" s="484"/>
      <c r="AE79" s="484"/>
    </row>
    <row r="80" spans="1:31" s="65" customFormat="1" hidden="1" x14ac:dyDescent="0.35">
      <c r="A80" s="30"/>
      <c r="B80" s="31"/>
      <c r="C80" s="31"/>
      <c r="D80" s="31"/>
      <c r="E80" s="31"/>
      <c r="F80" s="588"/>
      <c r="G80" s="657"/>
      <c r="H80" s="589"/>
      <c r="I80" s="589"/>
      <c r="J80" s="589"/>
      <c r="K80" s="590"/>
      <c r="L80" s="656"/>
      <c r="M80" s="590"/>
      <c r="N80" s="656"/>
      <c r="O80" s="589"/>
      <c r="P80" s="589"/>
      <c r="Q80" s="589"/>
      <c r="R80" s="590"/>
      <c r="S80" s="484"/>
      <c r="T80" s="607"/>
      <c r="U80" s="484"/>
      <c r="V80" s="484"/>
      <c r="W80" s="484"/>
      <c r="X80" s="484"/>
      <c r="Y80" s="484"/>
      <c r="Z80" s="484"/>
      <c r="AA80" s="484"/>
      <c r="AB80" s="484"/>
      <c r="AC80" s="484"/>
      <c r="AD80" s="484"/>
      <c r="AE80" s="484"/>
    </row>
    <row r="81" spans="1:31" s="65" customFormat="1" hidden="1" x14ac:dyDescent="0.35">
      <c r="A81" s="30"/>
      <c r="B81" s="31"/>
      <c r="C81" s="31"/>
      <c r="D81" s="31"/>
      <c r="E81" s="31"/>
      <c r="F81" s="588"/>
      <c r="G81" s="31"/>
      <c r="H81" s="589"/>
      <c r="I81" s="589"/>
      <c r="J81" s="589"/>
      <c r="K81" s="590"/>
      <c r="L81" s="656"/>
      <c r="M81" s="590"/>
      <c r="N81" s="656"/>
      <c r="O81" s="589"/>
      <c r="P81" s="589"/>
      <c r="Q81" s="589"/>
      <c r="R81" s="590"/>
      <c r="S81" s="484"/>
      <c r="T81" s="607"/>
      <c r="U81" s="484"/>
      <c r="V81" s="484"/>
      <c r="W81" s="484"/>
      <c r="X81" s="484"/>
      <c r="Y81" s="484"/>
      <c r="Z81" s="484"/>
      <c r="AA81" s="484"/>
      <c r="AB81" s="484"/>
      <c r="AC81" s="484"/>
      <c r="AD81" s="484"/>
      <c r="AE81" s="484"/>
    </row>
    <row r="82" spans="1:31" s="65" customFormat="1" hidden="1" x14ac:dyDescent="0.35">
      <c r="B82" s="31"/>
      <c r="C82" s="31"/>
      <c r="D82" s="31"/>
      <c r="E82" s="31"/>
      <c r="F82" s="588"/>
      <c r="G82" s="31"/>
      <c r="H82" s="589"/>
      <c r="I82" s="589"/>
      <c r="J82" s="589"/>
      <c r="K82" s="590"/>
      <c r="L82" s="656"/>
      <c r="M82" s="590"/>
      <c r="N82" s="656"/>
      <c r="O82" s="589"/>
      <c r="P82" s="589"/>
      <c r="Q82" s="589"/>
      <c r="R82" s="590"/>
      <c r="S82" s="484"/>
      <c r="T82" s="607"/>
      <c r="U82" s="484"/>
      <c r="V82" s="484"/>
      <c r="W82" s="484"/>
      <c r="X82" s="484"/>
      <c r="Y82" s="484"/>
      <c r="Z82" s="484"/>
      <c r="AA82" s="484"/>
      <c r="AB82" s="484"/>
      <c r="AC82" s="484"/>
      <c r="AD82" s="484"/>
      <c r="AE82" s="484"/>
    </row>
    <row r="83" spans="1:31" s="65" customFormat="1" hidden="1" x14ac:dyDescent="0.35">
      <c r="A83" s="30"/>
      <c r="B83" s="31"/>
      <c r="C83" s="31"/>
      <c r="D83" s="31"/>
      <c r="E83" s="31"/>
      <c r="F83" s="588"/>
      <c r="G83" s="165"/>
      <c r="H83" s="618"/>
      <c r="I83" s="618"/>
      <c r="J83" s="618"/>
      <c r="K83" s="619"/>
      <c r="L83" s="618"/>
      <c r="M83" s="619"/>
      <c r="N83" s="618"/>
      <c r="O83" s="618"/>
      <c r="P83" s="618"/>
      <c r="Q83" s="618"/>
      <c r="R83" s="590"/>
      <c r="S83" s="484"/>
      <c r="T83" s="607"/>
      <c r="U83" s="484"/>
      <c r="V83" s="484"/>
      <c r="W83" s="484"/>
      <c r="X83" s="484"/>
      <c r="Y83" s="484"/>
      <c r="Z83" s="484"/>
      <c r="AA83" s="484"/>
      <c r="AB83" s="484"/>
      <c r="AC83" s="484"/>
      <c r="AD83" s="484"/>
      <c r="AE83" s="484"/>
    </row>
    <row r="84" spans="1:31" s="65" customFormat="1" hidden="1" x14ac:dyDescent="0.35">
      <c r="A84" s="30"/>
      <c r="B84" s="31"/>
      <c r="C84" s="31"/>
      <c r="D84" s="31"/>
      <c r="E84" s="31"/>
      <c r="F84" s="588"/>
      <c r="G84" s="31"/>
      <c r="H84" s="589"/>
      <c r="I84" s="589"/>
      <c r="J84" s="589"/>
      <c r="K84" s="590"/>
      <c r="L84" s="589"/>
      <c r="M84" s="590"/>
      <c r="N84" s="589"/>
      <c r="O84" s="589"/>
      <c r="P84" s="589"/>
      <c r="Q84" s="589"/>
      <c r="R84" s="590"/>
      <c r="S84" s="484"/>
      <c r="T84" s="607"/>
      <c r="U84" s="484"/>
      <c r="V84" s="484"/>
      <c r="W84" s="484"/>
      <c r="X84" s="484"/>
      <c r="Y84" s="484"/>
      <c r="Z84" s="484"/>
      <c r="AA84" s="484"/>
      <c r="AB84" s="484"/>
      <c r="AC84" s="484"/>
      <c r="AD84" s="484"/>
      <c r="AE84" s="484"/>
    </row>
    <row r="85" spans="1:31" s="65" customFormat="1" hidden="1" x14ac:dyDescent="0.35">
      <c r="A85" s="30"/>
      <c r="B85" s="31"/>
      <c r="C85" s="31"/>
      <c r="D85" s="31"/>
      <c r="E85" s="31"/>
      <c r="F85" s="588"/>
      <c r="G85" s="31"/>
      <c r="H85" s="589"/>
      <c r="I85" s="589"/>
      <c r="J85" s="589"/>
      <c r="K85" s="590"/>
      <c r="L85" s="589"/>
      <c r="M85" s="590"/>
      <c r="N85" s="589"/>
      <c r="O85" s="589"/>
      <c r="P85" s="589"/>
      <c r="Q85" s="589"/>
      <c r="R85" s="619"/>
      <c r="S85" s="564"/>
      <c r="T85" s="611"/>
      <c r="U85" s="564"/>
      <c r="V85" s="564"/>
      <c r="W85" s="564"/>
      <c r="X85" s="564"/>
      <c r="Y85" s="564"/>
      <c r="Z85" s="564"/>
      <c r="AA85" s="564"/>
      <c r="AB85" s="564"/>
      <c r="AC85" s="564"/>
      <c r="AD85" s="564"/>
      <c r="AE85" s="564"/>
    </row>
    <row r="86" spans="1:31" hidden="1" x14ac:dyDescent="0.35">
      <c r="B86" s="31"/>
      <c r="C86" s="31"/>
      <c r="D86" s="31"/>
      <c r="E86" s="31"/>
      <c r="F86" s="588"/>
      <c r="G86" s="165"/>
      <c r="H86" s="618"/>
      <c r="I86" s="618"/>
      <c r="J86" s="618"/>
      <c r="K86" s="619"/>
      <c r="L86" s="618"/>
      <c r="M86" s="619"/>
      <c r="N86" s="618"/>
      <c r="O86" s="618"/>
      <c r="P86" s="618"/>
      <c r="Q86" s="618"/>
      <c r="R86" s="619"/>
      <c r="S86" s="564"/>
      <c r="T86" s="611"/>
      <c r="U86" s="564"/>
      <c r="V86" s="564"/>
      <c r="W86" s="564"/>
      <c r="X86" s="564"/>
      <c r="Y86" s="564"/>
      <c r="Z86" s="564"/>
      <c r="AA86" s="564"/>
      <c r="AB86" s="564"/>
      <c r="AC86" s="564"/>
      <c r="AD86" s="564"/>
      <c r="AE86" s="564"/>
    </row>
    <row r="87" spans="1:31" hidden="1" x14ac:dyDescent="0.35">
      <c r="B87" s="30">
        <f t="shared" ref="B87" si="17">B86</f>
        <v>0</v>
      </c>
      <c r="D87" s="30">
        <f t="shared" ref="D87" si="18">D86</f>
        <v>0</v>
      </c>
      <c r="F87" s="258"/>
      <c r="H87" s="482"/>
      <c r="I87" s="482"/>
      <c r="J87" s="482"/>
      <c r="K87" s="484"/>
      <c r="L87" s="482"/>
      <c r="M87" s="484"/>
      <c r="N87" s="482"/>
      <c r="O87" s="482"/>
      <c r="P87" s="482"/>
      <c r="Q87" s="482"/>
      <c r="R87" s="484"/>
      <c r="S87" s="484"/>
      <c r="T87" s="607"/>
      <c r="U87" s="484"/>
      <c r="V87" s="484"/>
      <c r="W87" s="484"/>
      <c r="X87" s="484"/>
      <c r="Y87" s="484"/>
      <c r="Z87" s="484"/>
      <c r="AA87" s="484"/>
      <c r="AB87" s="484"/>
      <c r="AC87" s="484"/>
      <c r="AD87" s="484"/>
      <c r="AE87" s="484"/>
    </row>
    <row r="88" spans="1:31" x14ac:dyDescent="0.35">
      <c r="B88" s="64" t="s">
        <v>4</v>
      </c>
      <c r="C88" s="64" t="s">
        <v>13</v>
      </c>
      <c r="D88" s="64" t="s">
        <v>276</v>
      </c>
      <c r="F88" s="258"/>
      <c r="H88" s="482"/>
      <c r="I88" s="482"/>
      <c r="J88" s="482"/>
      <c r="K88" s="484"/>
      <c r="L88" s="482"/>
      <c r="M88" s="484"/>
      <c r="N88" s="482"/>
      <c r="O88" s="482"/>
      <c r="P88" s="482"/>
      <c r="Q88" s="482"/>
      <c r="R88" s="484"/>
      <c r="S88" s="484"/>
      <c r="T88" s="607"/>
      <c r="U88" s="484"/>
      <c r="V88" s="484"/>
      <c r="W88" s="484"/>
      <c r="X88" s="484"/>
      <c r="Y88" s="484"/>
      <c r="Z88" s="484"/>
      <c r="AA88" s="484"/>
      <c r="AB88" s="484"/>
      <c r="AC88" s="484"/>
      <c r="AD88" s="484"/>
      <c r="AE88" s="484"/>
    </row>
    <row r="89" spans="1:31" s="65" customFormat="1" x14ac:dyDescent="0.35">
      <c r="A89" s="30"/>
      <c r="B89" s="30" t="str">
        <f t="shared" ref="B89:D90" si="19">B88</f>
        <v>Endeavour</v>
      </c>
      <c r="C89" s="30" t="str">
        <f t="shared" si="19"/>
        <v>Small business</v>
      </c>
      <c r="D89" s="30" t="str">
        <f t="shared" si="19"/>
        <v>flat rate</v>
      </c>
      <c r="E89" s="30" t="s">
        <v>19</v>
      </c>
      <c r="F89" s="258" cm="1">
        <f t="array" ref="F89">IFERROR(_xlfn.XLOOKUP(1,($B89=DistributionZone)*($C89=CustomerType)*($E89=tariffType)*(F$5=Description),valuesFY),0)</f>
        <v>10000</v>
      </c>
      <c r="G89" s="30" t="s">
        <v>220</v>
      </c>
      <c r="H89" s="482" cm="1">
        <f t="array" ref="H89">IFERROR(_xlfn.XLOOKUP(1,($B89=DistributionZone)*($C89=CustomerType)*(H$5=Desc_FixedOrVar)*($G89=Description),valuesPY),0)</f>
        <v>252.45618972980961</v>
      </c>
      <c r="I89" s="482"/>
      <c r="J89" s="482">
        <f>IF(AND(H89="",I89=""),"",H89+I89*$F89/1000)</f>
        <v>252.45618972980961</v>
      </c>
      <c r="K89" s="484">
        <f>IFERROR(J89/J93,"")</f>
        <v>0.64898970739660644</v>
      </c>
      <c r="L89" s="651"/>
      <c r="M89" s="484">
        <f>IF(OR(J89=0,Q89=""),"",Q89/J89-1)</f>
        <v>-0.14754358409058188</v>
      </c>
      <c r="N89" s="651"/>
      <c r="O89" s="482" cm="1">
        <f t="array" ref="O89">IFERROR(_xlfn.XLOOKUP(1,($B89=DistributionZone)*($C89=CustomerType)*(O$5=Desc_FixedOrVar)*($G89=Description),valuesFY),0)</f>
        <v>215.20789867122156</v>
      </c>
      <c r="P89" s="482"/>
      <c r="Q89" s="482">
        <f>IF(AND(O89="",P89=""),"",O89+P89*$F89/1000)</f>
        <v>215.20789867122156</v>
      </c>
      <c r="R89" s="484">
        <f>IFERROR(Q89/Q93,"")</f>
        <v>0.59609134396371655</v>
      </c>
      <c r="S89" s="484"/>
      <c r="T89" s="607"/>
      <c r="U89" s="484"/>
      <c r="V89" s="484"/>
      <c r="W89" s="484"/>
      <c r="X89" s="484"/>
      <c r="Y89" s="484"/>
      <c r="Z89" s="484"/>
      <c r="AA89" s="484"/>
      <c r="AB89" s="484"/>
      <c r="AC89" s="484"/>
      <c r="AD89" s="484"/>
      <c r="AE89" s="484"/>
    </row>
    <row r="90" spans="1:31" s="65" customFormat="1" x14ac:dyDescent="0.35">
      <c r="A90" s="30"/>
      <c r="B90" s="30" t="str">
        <f t="shared" si="19"/>
        <v>Endeavour</v>
      </c>
      <c r="C90" s="30" t="str">
        <f t="shared" si="19"/>
        <v>Small business</v>
      </c>
      <c r="D90" s="30" t="str">
        <f t="shared" si="19"/>
        <v>flat rate</v>
      </c>
      <c r="E90" s="30" t="s">
        <v>19</v>
      </c>
      <c r="F90" s="258">
        <f>F89</f>
        <v>10000</v>
      </c>
      <c r="G90" s="379" t="s">
        <v>222</v>
      </c>
      <c r="H90" s="482" cm="1">
        <f t="array" ref="H90">IFERROR(_xlfn.XLOOKUP(1,($B90=DistributionZone)*($C90=CustomerType)*(H$5=Desc_FixedOrVar)*($G90=Description),valuesPY),0)</f>
        <v>52.298151831253932</v>
      </c>
      <c r="I90" s="482"/>
      <c r="J90" s="482">
        <f>IF(AND(H90="",I90=""),"",H90+I90*$F90/1000)</f>
        <v>52.298151831253932</v>
      </c>
      <c r="K90" s="484">
        <f>IFERROR(J90/J93,"")</f>
        <v>0.13444297915877598</v>
      </c>
      <c r="L90" s="651"/>
      <c r="M90" s="484">
        <f>IF(OR(J90=0,Q90=""),"",Q90/J90-1)</f>
        <v>0.37931029021301277</v>
      </c>
      <c r="N90" s="651"/>
      <c r="O90" s="482" cm="1">
        <f t="array" ref="O90">IFERROR(_xlfn.XLOOKUP(1,($B90=DistributionZone)*($C90=CustomerType)*(O$5=Desc_FixedOrVar)*($G90=Description),valuesFY),0)</f>
        <v>72.135378979971065</v>
      </c>
      <c r="P90" s="482"/>
      <c r="Q90" s="482">
        <f>IF(AND(O90="",P90=""),"",O90+P90*$F90/1000)</f>
        <v>72.135378979971065</v>
      </c>
      <c r="R90" s="484">
        <f>IFERROR(Q90/Q93,"")</f>
        <v>0.19980342389381367</v>
      </c>
      <c r="S90" s="484"/>
      <c r="T90" s="607"/>
      <c r="U90" s="484"/>
      <c r="V90" s="484"/>
      <c r="W90" s="484"/>
      <c r="X90" s="484"/>
      <c r="Y90" s="484"/>
      <c r="Z90" s="484"/>
      <c r="AA90" s="484"/>
      <c r="AB90" s="484"/>
      <c r="AC90" s="484"/>
      <c r="AD90" s="484"/>
      <c r="AE90" s="484"/>
    </row>
    <row r="91" spans="1:31" s="65" customFormat="1" x14ac:dyDescent="0.35">
      <c r="A91" s="30"/>
      <c r="B91" s="30" t="str">
        <f t="shared" ref="B91:D92" si="20">B90</f>
        <v>Endeavour</v>
      </c>
      <c r="C91" s="30" t="str">
        <f t="shared" si="20"/>
        <v>Small business</v>
      </c>
      <c r="D91" s="30" t="str">
        <f t="shared" si="20"/>
        <v>flat rate</v>
      </c>
      <c r="E91" s="30" t="s">
        <v>19</v>
      </c>
      <c r="F91" s="258">
        <f>F90</f>
        <v>10000</v>
      </c>
      <c r="G91" s="30" t="s">
        <v>158</v>
      </c>
      <c r="H91" s="482" cm="1">
        <f t="array" ref="H91">IFERROR(_xlfn.XLOOKUP(1,($B91=DistributionZone)*($C91=CustomerType)*(H$5=Desc_FixedOrVar)*($G91=Description),valuesPY),0)</f>
        <v>80.485123659685812</v>
      </c>
      <c r="I91" s="482"/>
      <c r="J91" s="482">
        <f>IF(AND(H91="",I91=""),"",H91+I91*$F91/1000)</f>
        <v>80.485123659685812</v>
      </c>
      <c r="K91" s="484">
        <f>IFERROR(J91/J93,"")</f>
        <v>0.20690329244682992</v>
      </c>
      <c r="L91" s="651"/>
      <c r="M91" s="484">
        <f>IF(OR(J91=0,Q91=""),"",Q91/J91-1)</f>
        <v>-9.5478159205532598E-2</v>
      </c>
      <c r="N91" s="651"/>
      <c r="O91" s="482" cm="1">
        <f t="array" ref="O91">IFERROR(_xlfn.XLOOKUP(1,($B91=DistributionZone)*($C91=CustomerType)*(O$5=Desc_FixedOrVar)*($G91=Description),valuesFY),0)</f>
        <v>72.800552209229352</v>
      </c>
      <c r="P91" s="482"/>
      <c r="Q91" s="482">
        <f>IF(AND(O91="",P91=""),"",O91+P91*$F91/1000)</f>
        <v>72.800552209229352</v>
      </c>
      <c r="R91" s="484">
        <f>IFERROR(Q91/Q93,"")</f>
        <v>0.20164584699559304</v>
      </c>
      <c r="S91" s="484"/>
      <c r="T91" s="607"/>
      <c r="U91" s="484"/>
      <c r="V91" s="484"/>
      <c r="W91" s="484"/>
      <c r="X91" s="484"/>
      <c r="Y91" s="484"/>
      <c r="Z91" s="484"/>
      <c r="AA91" s="484"/>
      <c r="AB91" s="484"/>
      <c r="AC91" s="484"/>
      <c r="AD91" s="484"/>
      <c r="AE91" s="484"/>
    </row>
    <row r="92" spans="1:31" s="65" customFormat="1" x14ac:dyDescent="0.35">
      <c r="B92" s="30" t="str">
        <f t="shared" si="20"/>
        <v>Endeavour</v>
      </c>
      <c r="C92" s="30" t="str">
        <f t="shared" si="20"/>
        <v>Small business</v>
      </c>
      <c r="D92" s="30" t="str">
        <f t="shared" si="20"/>
        <v>flat rate</v>
      </c>
      <c r="E92" s="30" t="s">
        <v>19</v>
      </c>
      <c r="F92" s="258">
        <f>F91</f>
        <v>10000</v>
      </c>
      <c r="G92" s="30" t="s">
        <v>190</v>
      </c>
      <c r="H92" s="482" cm="1">
        <f t="array" ref="H92">IFERROR(_xlfn.XLOOKUP(1,($B92=DistributionZone)*($C92=CustomerType)*(H$5=Desc_FixedOrVar)*($G92=Description),valuesPY),0)</f>
        <v>3.7592921594354225</v>
      </c>
      <c r="I92" s="482"/>
      <c r="J92" s="482">
        <f>IF(AND(H92="",I92=""),"",H92+I92*$F92/1000)</f>
        <v>3.7592921594354225</v>
      </c>
      <c r="K92" s="484">
        <f>IFERROR(J92/J93,"")</f>
        <v>9.6640209977876847E-3</v>
      </c>
      <c r="L92" s="651"/>
      <c r="M92" s="484">
        <f>IF(OR(J92=0,Q92=""),0,Q92/J92-1)</f>
        <v>-0.76380763294204423</v>
      </c>
      <c r="N92" s="651"/>
      <c r="O92" s="482" cm="1">
        <f t="array" ref="O92">IFERROR(_xlfn.XLOOKUP(1,($B92=DistributionZone)*($C92=CustomerType)*(O$5=Desc_FixedOrVar)*($G92=Description),valuesFY),0)</f>
        <v>0.88791611359946643</v>
      </c>
      <c r="P92" s="482"/>
      <c r="Q92" s="482">
        <f>IF(AND(O92="",P92=""),"",O92+P92*$F92/1000)</f>
        <v>0.88791611359946643</v>
      </c>
      <c r="R92" s="482"/>
      <c r="S92" s="482"/>
      <c r="T92" s="458"/>
      <c r="U92" s="482"/>
      <c r="V92" s="482"/>
      <c r="W92" s="482"/>
      <c r="X92" s="482"/>
      <c r="Y92" s="482"/>
      <c r="Z92" s="482"/>
      <c r="AA92" s="482"/>
      <c r="AB92" s="482"/>
      <c r="AC92" s="482"/>
      <c r="AD92" s="482"/>
      <c r="AE92" s="482"/>
    </row>
    <row r="93" spans="1:31" s="65" customFormat="1" x14ac:dyDescent="0.35">
      <c r="A93" s="30"/>
      <c r="B93" s="30" t="str">
        <f t="shared" ref="B93:D97" si="21">B92</f>
        <v>Endeavour</v>
      </c>
      <c r="C93" s="30" t="str">
        <f t="shared" si="21"/>
        <v>Small business</v>
      </c>
      <c r="D93" s="30" t="str">
        <f t="shared" si="21"/>
        <v>flat rate</v>
      </c>
      <c r="E93" s="30" t="s">
        <v>19</v>
      </c>
      <c r="F93" s="258">
        <f>F92</f>
        <v>10000</v>
      </c>
      <c r="G93" s="64" t="s">
        <v>55</v>
      </c>
      <c r="H93" s="487">
        <f>SUM(H89:H92)</f>
        <v>388.99875738018477</v>
      </c>
      <c r="I93" s="487">
        <f>SUM(I89:I92)</f>
        <v>0</v>
      </c>
      <c r="J93" s="487">
        <f>IF(AND(H93="",I93=""),"",H93+I93*$F93/1000)</f>
        <v>388.99875738018477</v>
      </c>
      <c r="K93" s="564"/>
      <c r="L93" s="487"/>
      <c r="M93" s="564">
        <f>IF(OR(J93=0,Q93=""),"",Q93/J93-1)</f>
        <v>-7.1894860524785553E-2</v>
      </c>
      <c r="N93" s="487"/>
      <c r="O93" s="487">
        <f>SUM(O89:O92)</f>
        <v>361.03174597402148</v>
      </c>
      <c r="P93" s="487">
        <f>SUM(P89:P92)</f>
        <v>0</v>
      </c>
      <c r="Q93" s="487">
        <f>IF(AND(O93="",P93=""),"",O93+P93*$F93/1000)</f>
        <v>361.03174597402148</v>
      </c>
      <c r="R93" s="484"/>
      <c r="S93" s="484"/>
      <c r="T93" s="607"/>
      <c r="U93" s="484"/>
      <c r="V93" s="484"/>
      <c r="W93" s="484"/>
      <c r="X93" s="484"/>
      <c r="Y93" s="484"/>
      <c r="Z93" s="484"/>
      <c r="AA93" s="484"/>
      <c r="AB93" s="484"/>
      <c r="AC93" s="484"/>
      <c r="AD93" s="484"/>
      <c r="AE93" s="484"/>
    </row>
    <row r="94" spans="1:31" x14ac:dyDescent="0.35">
      <c r="B94" s="30" t="str">
        <f t="shared" si="21"/>
        <v>Endeavour</v>
      </c>
      <c r="C94" s="30" t="str">
        <f t="shared" si="21"/>
        <v>Small business</v>
      </c>
      <c r="D94" s="30" t="str">
        <f t="shared" si="21"/>
        <v>flat rate</v>
      </c>
      <c r="E94" s="30" t="s">
        <v>19</v>
      </c>
      <c r="F94" s="258">
        <f>F93</f>
        <v>10000</v>
      </c>
      <c r="G94" s="30" t="s">
        <v>161</v>
      </c>
      <c r="H94" s="482"/>
      <c r="I94" s="482"/>
      <c r="J94" s="482">
        <f>J93*CPIPY</f>
        <v>22.082681458958387</v>
      </c>
      <c r="K94" s="484"/>
      <c r="L94" s="482"/>
      <c r="M94" s="484">
        <f>IF(OR(J94=0,Q94=""),"",Q94/J94-1)</f>
        <v>0.19596862956050587</v>
      </c>
      <c r="N94" s="482"/>
      <c r="O94" s="482"/>
      <c r="P94" s="482"/>
      <c r="Q94" s="482">
        <f>Q93*CPI</f>
        <v>26.410194281491655</v>
      </c>
      <c r="R94" s="484"/>
      <c r="S94" s="484"/>
      <c r="T94" s="607"/>
      <c r="U94" s="484"/>
      <c r="V94" s="484"/>
      <c r="W94" s="484"/>
      <c r="X94" s="484"/>
      <c r="Y94" s="484"/>
      <c r="Z94" s="484"/>
      <c r="AA94" s="484"/>
      <c r="AB94" s="484"/>
      <c r="AC94" s="484"/>
      <c r="AD94" s="484"/>
      <c r="AE94" s="484"/>
    </row>
    <row r="95" spans="1:31" x14ac:dyDescent="0.35">
      <c r="B95" s="30" t="str">
        <f t="shared" si="21"/>
        <v>Endeavour</v>
      </c>
      <c r="C95" s="30" t="str">
        <f t="shared" si="21"/>
        <v>Small business</v>
      </c>
      <c r="D95" s="30" t="str">
        <f t="shared" si="21"/>
        <v>flat rate</v>
      </c>
      <c r="F95" s="258"/>
      <c r="G95" s="30" t="s">
        <v>38</v>
      </c>
      <c r="H95" s="482"/>
      <c r="I95" s="482"/>
      <c r="J95" s="482">
        <f>SUM(J93,J94)*GST</f>
        <v>41.108143883914323</v>
      </c>
      <c r="K95" s="484"/>
      <c r="L95" s="482"/>
      <c r="M95" s="484">
        <f>IF(OR(J95=0,Q95=""),0,Q95/J95-1)</f>
        <v>-5.7505633556177771E-2</v>
      </c>
      <c r="N95" s="482"/>
      <c r="O95" s="482"/>
      <c r="P95" s="482"/>
      <c r="Q95" s="482">
        <f>SUM(Q93,Q94)*GST</f>
        <v>38.744194025551316</v>
      </c>
      <c r="R95" s="564"/>
      <c r="S95" s="564"/>
      <c r="T95" s="611"/>
      <c r="U95" s="564"/>
      <c r="V95" s="564"/>
      <c r="W95" s="564"/>
      <c r="X95" s="564"/>
      <c r="Y95" s="564"/>
      <c r="Z95" s="564"/>
      <c r="AA95" s="564"/>
      <c r="AB95" s="564"/>
      <c r="AC95" s="564"/>
      <c r="AD95" s="564"/>
      <c r="AE95" s="564"/>
    </row>
    <row r="96" spans="1:31" x14ac:dyDescent="0.35">
      <c r="B96" s="30" t="str">
        <f t="shared" si="21"/>
        <v>Endeavour</v>
      </c>
      <c r="C96" s="30" t="str">
        <f t="shared" si="21"/>
        <v>Small business</v>
      </c>
      <c r="D96" s="30" t="str">
        <f t="shared" si="21"/>
        <v>flat rate</v>
      </c>
      <c r="F96" s="258"/>
      <c r="G96" s="64" t="s">
        <v>79</v>
      </c>
      <c r="H96" s="487"/>
      <c r="I96" s="487"/>
      <c r="J96" s="487">
        <f>SUM(J93:J95)</f>
        <v>452.18958272305747</v>
      </c>
      <c r="K96" s="564"/>
      <c r="L96" s="487"/>
      <c r="M96" s="564">
        <f>IF(OR(J96=0,Q96=""),"",Q96/J96-1)</f>
        <v>-5.7505633556177549E-2</v>
      </c>
      <c r="N96" s="487"/>
      <c r="O96" s="487"/>
      <c r="P96" s="487"/>
      <c r="Q96" s="487">
        <f>SUM(Q93:Q95)</f>
        <v>426.18613428106448</v>
      </c>
      <c r="R96" s="564"/>
      <c r="S96" s="564"/>
      <c r="T96" s="611"/>
      <c r="U96" s="564"/>
      <c r="V96" s="564"/>
      <c r="W96" s="564"/>
      <c r="X96" s="564"/>
      <c r="Y96" s="564"/>
      <c r="Z96" s="564"/>
      <c r="AA96" s="564"/>
      <c r="AB96" s="564"/>
      <c r="AC96" s="564"/>
      <c r="AD96" s="564"/>
      <c r="AE96" s="564"/>
    </row>
    <row r="97" spans="1:31" x14ac:dyDescent="0.35">
      <c r="B97" s="30" t="str">
        <f t="shared" si="21"/>
        <v>Endeavour</v>
      </c>
      <c r="C97" s="30" t="str">
        <f t="shared" si="21"/>
        <v>Small business</v>
      </c>
      <c r="D97" s="30" t="str">
        <f t="shared" si="21"/>
        <v>flat rate</v>
      </c>
      <c r="F97" s="258"/>
      <c r="H97" s="482"/>
      <c r="I97" s="482"/>
      <c r="J97" s="482"/>
      <c r="K97" s="484"/>
      <c r="L97" s="482"/>
      <c r="M97" s="484"/>
      <c r="N97" s="482"/>
      <c r="O97" s="482"/>
      <c r="P97" s="482"/>
      <c r="Q97" s="482"/>
      <c r="R97" s="484"/>
      <c r="S97" s="484"/>
      <c r="T97" s="607"/>
      <c r="U97" s="484"/>
      <c r="V97" s="484"/>
      <c r="W97" s="484"/>
      <c r="X97" s="484"/>
      <c r="Y97" s="484"/>
      <c r="Z97" s="484"/>
      <c r="AA97" s="484"/>
      <c r="AB97" s="484"/>
      <c r="AC97" s="484"/>
      <c r="AD97" s="484"/>
      <c r="AE97" s="484"/>
    </row>
    <row r="98" spans="1:31" s="570" customFormat="1" x14ac:dyDescent="0.35">
      <c r="B98" s="571" t="s">
        <v>4</v>
      </c>
      <c r="C98" s="571" t="s">
        <v>13</v>
      </c>
      <c r="D98" s="571" t="s">
        <v>272</v>
      </c>
      <c r="F98" s="485"/>
      <c r="H98" s="574"/>
      <c r="I98" s="574"/>
      <c r="J98" s="574"/>
      <c r="K98" s="575"/>
      <c r="L98" s="574"/>
      <c r="M98" s="575"/>
      <c r="N98" s="574"/>
      <c r="O98" s="574"/>
      <c r="P98" s="574"/>
      <c r="Q98" s="574"/>
      <c r="R98" s="575"/>
      <c r="S98" s="575"/>
      <c r="T98" s="612"/>
      <c r="U98" s="575"/>
      <c r="V98" s="575"/>
      <c r="W98" s="575"/>
      <c r="X98" s="575"/>
      <c r="Y98" s="575"/>
      <c r="Z98" s="575"/>
      <c r="AA98" s="575"/>
      <c r="AB98" s="575"/>
      <c r="AC98" s="575"/>
      <c r="AD98" s="575"/>
      <c r="AE98" s="575"/>
    </row>
    <row r="99" spans="1:31" s="627" customFormat="1" x14ac:dyDescent="0.35">
      <c r="A99" s="570"/>
      <c r="B99" s="570" t="str">
        <f t="shared" ref="B99:B107" si="22">B98</f>
        <v>Endeavour</v>
      </c>
      <c r="C99" s="570" t="str">
        <f t="shared" ref="C99:C107" si="23">C98</f>
        <v>Small business</v>
      </c>
      <c r="D99" s="570" t="str">
        <f t="shared" ref="D99:D107" si="24">D98</f>
        <v>time of use</v>
      </c>
      <c r="E99" s="570" t="s">
        <v>19</v>
      </c>
      <c r="F99" s="485" cm="1">
        <f t="array" ref="F99">IFERROR(_xlfn.XLOOKUP(1,($B99=DistributionZone)*($C99=CustomerType)*($E99=tariffType)*(F$5=Description),valuesFY),0)</f>
        <v>10000</v>
      </c>
      <c r="G99" s="570" t="s">
        <v>220</v>
      </c>
      <c r="H99" s="574" cm="1">
        <f t="array" ref="H99">IFERROR(_xlfn.XLOOKUP(1,($B99=DistributionZone)*($C99=CustomerType)*(H$5=Desc_FixedOrVar)*($G99=Description),valuesPY),0)</f>
        <v>252.45618972980961</v>
      </c>
      <c r="I99" s="574"/>
      <c r="J99" s="574">
        <f>IF(AND(H99="",I99=""),"",H99+I99*$F99/1000)</f>
        <v>252.45618972980961</v>
      </c>
      <c r="K99" s="575" t="str">
        <f>IFERROR(J99/J103,"")</f>
        <v/>
      </c>
      <c r="L99" s="654"/>
      <c r="M99" s="575">
        <f>IF(OR(J99=0,Q99=""),"",Q99/J99-1)</f>
        <v>-0.14754358409058188</v>
      </c>
      <c r="N99" s="654"/>
      <c r="O99" s="574" cm="1">
        <f t="array" ref="O99">IFERROR(_xlfn.XLOOKUP(1,($B99=DistributionZone)*($C99=CustomerType)*(O$5=Desc_FixedOrVar)*($G99=Description),valuesFY),0)</f>
        <v>215.20789867122156</v>
      </c>
      <c r="P99" s="574"/>
      <c r="Q99" s="574">
        <f>IF(AND(O99="",P99=""),"",O99+P99*$F99/1000)</f>
        <v>215.20789867122156</v>
      </c>
      <c r="R99" s="575">
        <f>IFERROR(Q99/Q103,"")</f>
        <v>0.59609134396371655</v>
      </c>
      <c r="S99" s="575"/>
      <c r="T99" s="612"/>
      <c r="U99" s="575"/>
      <c r="V99" s="575"/>
      <c r="W99" s="575"/>
      <c r="X99" s="575"/>
      <c r="Y99" s="575"/>
      <c r="Z99" s="575"/>
      <c r="AA99" s="575"/>
      <c r="AB99" s="575"/>
      <c r="AC99" s="575"/>
      <c r="AD99" s="575"/>
      <c r="AE99" s="575"/>
    </row>
    <row r="100" spans="1:31" s="627" customFormat="1" x14ac:dyDescent="0.35">
      <c r="A100" s="570"/>
      <c r="B100" s="570" t="str">
        <f t="shared" si="22"/>
        <v>Endeavour</v>
      </c>
      <c r="C100" s="570" t="str">
        <f t="shared" si="23"/>
        <v>Small business</v>
      </c>
      <c r="D100" s="570" t="str">
        <f t="shared" si="24"/>
        <v>time of use</v>
      </c>
      <c r="E100" s="570" t="s">
        <v>19</v>
      </c>
      <c r="F100" s="485">
        <f>F99</f>
        <v>10000</v>
      </c>
      <c r="G100" s="615" t="s">
        <v>222</v>
      </c>
      <c r="H100" s="574" cm="1">
        <f t="array" ref="H100">IFERROR(_xlfn.XLOOKUP(1,($B100=DistributionZone)*($C100=CustomerType)*(H$5=Desc_FixedOrVar)*($G100=Description),valuesPY),0)</f>
        <v>52.298151831253932</v>
      </c>
      <c r="I100" s="574"/>
      <c r="J100" s="574">
        <f>IF(AND(H100="",I100=""),"",H100+I100*$F100/1000)</f>
        <v>52.298151831253932</v>
      </c>
      <c r="K100" s="575" t="str">
        <f>IFERROR(J100/J103,"")</f>
        <v/>
      </c>
      <c r="L100" s="654"/>
      <c r="M100" s="575">
        <f>IF(OR(J100=0,Q100=""),"",Q100/J100-1)</f>
        <v>0.37931029021301277</v>
      </c>
      <c r="N100" s="654"/>
      <c r="O100" s="574" cm="1">
        <f t="array" ref="O100">IFERROR(_xlfn.XLOOKUP(1,($B100=DistributionZone)*($C100=CustomerType)*(O$5=Desc_FixedOrVar)*($G100=Description),valuesFY),0)</f>
        <v>72.135378979971065</v>
      </c>
      <c r="P100" s="574"/>
      <c r="Q100" s="574">
        <f>IF(AND(O100="",P100=""),"",O100+P100*$F100/1000)</f>
        <v>72.135378979971065</v>
      </c>
      <c r="R100" s="575">
        <f>IFERROR(Q100/Q103,"")</f>
        <v>0.19980342389381367</v>
      </c>
      <c r="S100" s="575"/>
      <c r="T100" s="612"/>
      <c r="U100" s="575"/>
      <c r="V100" s="575"/>
      <c r="W100" s="575"/>
      <c r="X100" s="575"/>
      <c r="Y100" s="575"/>
      <c r="Z100" s="575"/>
      <c r="AA100" s="575"/>
      <c r="AB100" s="575"/>
      <c r="AC100" s="575"/>
      <c r="AD100" s="575"/>
      <c r="AE100" s="575"/>
    </row>
    <row r="101" spans="1:31" s="627" customFormat="1" x14ac:dyDescent="0.35">
      <c r="A101" s="570"/>
      <c r="B101" s="570" t="str">
        <f t="shared" si="22"/>
        <v>Endeavour</v>
      </c>
      <c r="C101" s="570" t="str">
        <f t="shared" si="23"/>
        <v>Small business</v>
      </c>
      <c r="D101" s="570" t="str">
        <f t="shared" si="24"/>
        <v>time of use</v>
      </c>
      <c r="E101" s="570" t="s">
        <v>19</v>
      </c>
      <c r="F101" s="485">
        <f>F100</f>
        <v>10000</v>
      </c>
      <c r="G101" s="570" t="s">
        <v>158</v>
      </c>
      <c r="H101" s="574" cm="1">
        <f t="array" ref="H101">IFERROR(_xlfn.XLOOKUP(1,($B101=DistributionZone)*($C101=CustomerType)*(H$5=Desc_FixedOrVar)*($G101=Description),valuesPY),0)</f>
        <v>80.485123659685812</v>
      </c>
      <c r="I101" s="574"/>
      <c r="J101" s="574">
        <f>IF(AND(H101="",I101=""),"",H101+I101*$F101/1000)</f>
        <v>80.485123659685812</v>
      </c>
      <c r="K101" s="575" t="str">
        <f>IFERROR(J101/J103,"")</f>
        <v/>
      </c>
      <c r="L101" s="654"/>
      <c r="M101" s="575">
        <f>IF(OR(J101=0,Q101=""),"",Q101/J101-1)</f>
        <v>-9.5478159205532598E-2</v>
      </c>
      <c r="N101" s="654"/>
      <c r="O101" s="574" cm="1">
        <f t="array" ref="O101">IFERROR(_xlfn.XLOOKUP(1,($B101=DistributionZone)*($C101=CustomerType)*(O$5=Desc_FixedOrVar)*($G101=Description),valuesFY),0)</f>
        <v>72.800552209229352</v>
      </c>
      <c r="P101" s="574"/>
      <c r="Q101" s="574">
        <f>IF(AND(O101="",P101=""),"",O101+P101*$F101/1000)</f>
        <v>72.800552209229352</v>
      </c>
      <c r="R101" s="575">
        <f>IFERROR(Q101/Q103,"")</f>
        <v>0.20164584699559304</v>
      </c>
      <c r="S101" s="575"/>
      <c r="T101" s="612"/>
      <c r="U101" s="575"/>
      <c r="V101" s="575"/>
      <c r="W101" s="575"/>
      <c r="X101" s="575"/>
      <c r="Y101" s="575"/>
      <c r="Z101" s="575"/>
      <c r="AA101" s="575"/>
      <c r="AB101" s="575"/>
      <c r="AC101" s="575"/>
      <c r="AD101" s="575"/>
      <c r="AE101" s="575"/>
    </row>
    <row r="102" spans="1:31" s="627" customFormat="1" x14ac:dyDescent="0.35">
      <c r="B102" s="570" t="str">
        <f t="shared" si="22"/>
        <v>Endeavour</v>
      </c>
      <c r="C102" s="570" t="str">
        <f t="shared" si="23"/>
        <v>Small business</v>
      </c>
      <c r="D102" s="570" t="str">
        <f t="shared" si="24"/>
        <v>time of use</v>
      </c>
      <c r="E102" s="570" t="s">
        <v>19</v>
      </c>
      <c r="F102" s="485">
        <f>F101</f>
        <v>10000</v>
      </c>
      <c r="G102" s="570" t="s">
        <v>190</v>
      </c>
      <c r="H102" s="574" cm="1">
        <f t="array" ref="H102">IFERROR(_xlfn.XLOOKUP(1,($B102=DistributionZone)*($C102=CustomerType)*(H$5=Desc_FixedOrVar)*($G102=Description),valuesPY),0)</f>
        <v>3.7592921594354225</v>
      </c>
      <c r="I102" s="574"/>
      <c r="J102" s="574">
        <f>IF(AND(H102="",I102=""),"",H102+I102*$F102/1000)</f>
        <v>3.7592921594354225</v>
      </c>
      <c r="K102" s="575" t="str">
        <f>IFERROR(J102/J103,"")</f>
        <v/>
      </c>
      <c r="L102" s="654"/>
      <c r="M102" s="575">
        <f>IF(OR(J102=0,Q102=""),0,Q102/J102-1)</f>
        <v>-0.76380763294204423</v>
      </c>
      <c r="N102" s="654"/>
      <c r="O102" s="574" cm="1">
        <f t="array" ref="O102">IFERROR(_xlfn.XLOOKUP(1,($B102=DistributionZone)*($C102=CustomerType)*(O$5=Desc_FixedOrVar)*($G102=Description),valuesFY),0)</f>
        <v>0.88791611359946643</v>
      </c>
      <c r="P102" s="574"/>
      <c r="Q102" s="574">
        <f>IF(AND(O102="",P102=""),"",O102+P102*$F102/1000)</f>
        <v>0.88791611359946643</v>
      </c>
      <c r="R102" s="575">
        <f>IFERROR(Q102/Q104,"")</f>
        <v>3.3620203779482258E-2</v>
      </c>
      <c r="S102" s="574"/>
      <c r="T102" s="652"/>
      <c r="U102" s="574"/>
      <c r="V102" s="574"/>
      <c r="W102" s="574"/>
      <c r="X102" s="574"/>
      <c r="Y102" s="574"/>
      <c r="Z102" s="574"/>
      <c r="AA102" s="574"/>
      <c r="AB102" s="574"/>
      <c r="AC102" s="574"/>
      <c r="AD102" s="574"/>
      <c r="AE102" s="574"/>
    </row>
    <row r="103" spans="1:31" s="627" customFormat="1" x14ac:dyDescent="0.35">
      <c r="A103" s="570"/>
      <c r="B103" s="570" t="str">
        <f t="shared" si="22"/>
        <v>Endeavour</v>
      </c>
      <c r="C103" s="570" t="str">
        <f t="shared" si="23"/>
        <v>Small business</v>
      </c>
      <c r="D103" s="570" t="str">
        <f t="shared" si="24"/>
        <v>time of use</v>
      </c>
      <c r="E103" s="570" t="s">
        <v>272</v>
      </c>
      <c r="F103" s="485">
        <f>F102</f>
        <v>10000</v>
      </c>
      <c r="G103" s="571" t="s">
        <v>55</v>
      </c>
      <c r="H103" s="577">
        <f>IF($H$3=PY,0,SUM(H99:H102))</f>
        <v>0</v>
      </c>
      <c r="I103" s="577">
        <f>SUM(I99:I102)</f>
        <v>0</v>
      </c>
      <c r="J103" s="577">
        <f>IF($H$3=PY,0,IF(AND(H103="",I103=""),"",H103+I103*$F103/1000))</f>
        <v>0</v>
      </c>
      <c r="K103" s="578"/>
      <c r="L103" s="577"/>
      <c r="M103" s="578" t="str">
        <f>IF(OR(J103=0,Q103=""),"",Q103/J103-1)</f>
        <v/>
      </c>
      <c r="N103" s="577"/>
      <c r="O103" s="577">
        <f>SUM(O99:O102)</f>
        <v>361.03174597402148</v>
      </c>
      <c r="P103" s="577">
        <f>SUM(P99:P102)</f>
        <v>0</v>
      </c>
      <c r="Q103" s="577">
        <f>IF(AND(O103="",P103=""),"",O103+P103*$F103/1000)</f>
        <v>361.03174597402148</v>
      </c>
      <c r="R103" s="575"/>
      <c r="S103" s="575"/>
      <c r="T103" s="612"/>
      <c r="U103" s="575"/>
      <c r="V103" s="575"/>
      <c r="W103" s="575"/>
      <c r="X103" s="575"/>
      <c r="Y103" s="575"/>
      <c r="Z103" s="575"/>
      <c r="AA103" s="575"/>
      <c r="AB103" s="575"/>
      <c r="AC103" s="575"/>
      <c r="AD103" s="575"/>
      <c r="AE103" s="575"/>
    </row>
    <row r="104" spans="1:31" s="570" customFormat="1" x14ac:dyDescent="0.35">
      <c r="B104" s="570" t="str">
        <f t="shared" si="22"/>
        <v>Endeavour</v>
      </c>
      <c r="C104" s="570" t="str">
        <f t="shared" si="23"/>
        <v>Small business</v>
      </c>
      <c r="D104" s="570" t="str">
        <f t="shared" si="24"/>
        <v>time of use</v>
      </c>
      <c r="E104" s="570" t="s">
        <v>272</v>
      </c>
      <c r="F104" s="485">
        <f>F103</f>
        <v>10000</v>
      </c>
      <c r="G104" s="570" t="s">
        <v>161</v>
      </c>
      <c r="H104" s="574"/>
      <c r="I104" s="574"/>
      <c r="J104" s="574">
        <f>J103*CPIPY</f>
        <v>0</v>
      </c>
      <c r="K104" s="575"/>
      <c r="L104" s="574"/>
      <c r="M104" s="575" t="str">
        <f>IF(OR(J104=0,Q104=""),"",Q104/J104-1)</f>
        <v/>
      </c>
      <c r="N104" s="574"/>
      <c r="O104" s="574"/>
      <c r="P104" s="574"/>
      <c r="Q104" s="574">
        <f>Q103*CPI</f>
        <v>26.410194281491655</v>
      </c>
      <c r="R104" s="575"/>
      <c r="S104" s="575"/>
      <c r="T104" s="612"/>
      <c r="U104" s="575"/>
      <c r="V104" s="575"/>
      <c r="W104" s="575"/>
      <c r="X104" s="575"/>
      <c r="Y104" s="575"/>
      <c r="Z104" s="575"/>
      <c r="AA104" s="575"/>
      <c r="AB104" s="575"/>
      <c r="AC104" s="575"/>
      <c r="AD104" s="575"/>
      <c r="AE104" s="575"/>
    </row>
    <row r="105" spans="1:31" s="570" customFormat="1" x14ac:dyDescent="0.35">
      <c r="B105" s="570" t="str">
        <f t="shared" si="22"/>
        <v>Endeavour</v>
      </c>
      <c r="C105" s="570" t="str">
        <f t="shared" si="23"/>
        <v>Small business</v>
      </c>
      <c r="D105" s="570" t="str">
        <f t="shared" si="24"/>
        <v>time of use</v>
      </c>
      <c r="F105" s="485"/>
      <c r="G105" s="570" t="s">
        <v>38</v>
      </c>
      <c r="H105" s="574"/>
      <c r="I105" s="574"/>
      <c r="J105" s="574">
        <f>SUM(J103,J104)*GST</f>
        <v>0</v>
      </c>
      <c r="K105" s="575"/>
      <c r="L105" s="574"/>
      <c r="M105" s="575">
        <f>IF(OR(J105=0,Q105=""),0,Q105/J105-1)</f>
        <v>0</v>
      </c>
      <c r="N105" s="574"/>
      <c r="O105" s="574"/>
      <c r="P105" s="574"/>
      <c r="Q105" s="574">
        <f>SUM(Q103,Q104)*GST</f>
        <v>38.744194025551316</v>
      </c>
      <c r="R105" s="578"/>
      <c r="S105" s="578"/>
      <c r="T105" s="621"/>
      <c r="U105" s="578"/>
      <c r="V105" s="578"/>
      <c r="W105" s="578"/>
      <c r="X105" s="578"/>
      <c r="Y105" s="578"/>
      <c r="Z105" s="578"/>
      <c r="AA105" s="578"/>
      <c r="AB105" s="578"/>
      <c r="AC105" s="578"/>
      <c r="AD105" s="578"/>
      <c r="AE105" s="578"/>
    </row>
    <row r="106" spans="1:31" s="570" customFormat="1" x14ac:dyDescent="0.35">
      <c r="B106" s="570" t="str">
        <f t="shared" si="22"/>
        <v>Endeavour</v>
      </c>
      <c r="C106" s="570" t="str">
        <f t="shared" si="23"/>
        <v>Small business</v>
      </c>
      <c r="D106" s="570" t="str">
        <f t="shared" si="24"/>
        <v>time of use</v>
      </c>
      <c r="E106" s="570" t="s">
        <v>272</v>
      </c>
      <c r="F106" s="485"/>
      <c r="G106" s="571" t="s">
        <v>79</v>
      </c>
      <c r="H106" s="577"/>
      <c r="I106" s="577"/>
      <c r="J106" s="577">
        <f>SUM(J103:J105)</f>
        <v>0</v>
      </c>
      <c r="K106" s="578"/>
      <c r="L106" s="577"/>
      <c r="M106" s="578" t="str">
        <f>IF(OR(J106=0,Q106=""),"",Q106/J106-1)</f>
        <v/>
      </c>
      <c r="N106" s="577"/>
      <c r="O106" s="577"/>
      <c r="P106" s="577"/>
      <c r="Q106" s="577">
        <f>SUM(Q103:Q105)</f>
        <v>426.18613428106448</v>
      </c>
      <c r="R106" s="578"/>
      <c r="S106" s="578"/>
      <c r="T106" s="621"/>
      <c r="U106" s="578"/>
      <c r="V106" s="578"/>
      <c r="W106" s="578"/>
      <c r="X106" s="578"/>
      <c r="Y106" s="578"/>
      <c r="Z106" s="578"/>
      <c r="AA106" s="578"/>
      <c r="AB106" s="578"/>
      <c r="AC106" s="578"/>
      <c r="AD106" s="578"/>
      <c r="AE106" s="578"/>
    </row>
    <row r="107" spans="1:31" s="570" customFormat="1" x14ac:dyDescent="0.35">
      <c r="B107" s="570" t="str">
        <f t="shared" si="22"/>
        <v>Endeavour</v>
      </c>
      <c r="C107" s="570" t="str">
        <f t="shared" si="23"/>
        <v>Small business</v>
      </c>
      <c r="D107" s="570" t="str">
        <f t="shared" si="24"/>
        <v>time of use</v>
      </c>
      <c r="F107" s="485"/>
      <c r="H107" s="574"/>
      <c r="I107" s="574"/>
      <c r="J107" s="574"/>
      <c r="K107" s="575"/>
      <c r="L107" s="574"/>
      <c r="M107" s="575"/>
      <c r="N107" s="574"/>
      <c r="O107" s="574"/>
      <c r="P107" s="574"/>
      <c r="Q107" s="574"/>
      <c r="R107" s="575"/>
      <c r="S107" s="575"/>
      <c r="T107" s="612"/>
      <c r="U107" s="575"/>
      <c r="V107" s="575"/>
      <c r="W107" s="575"/>
      <c r="X107" s="575"/>
      <c r="Y107" s="575"/>
      <c r="Z107" s="575"/>
      <c r="AA107" s="575"/>
      <c r="AB107" s="575"/>
      <c r="AC107" s="575"/>
      <c r="AD107" s="575"/>
      <c r="AE107" s="575"/>
    </row>
    <row r="108" spans="1:31" s="65" customFormat="1" x14ac:dyDescent="0.35">
      <c r="A108" s="30"/>
      <c r="B108" s="64" t="s">
        <v>3</v>
      </c>
      <c r="C108" s="64" t="s">
        <v>6</v>
      </c>
      <c r="D108" s="64" t="s">
        <v>276</v>
      </c>
      <c r="E108" s="30"/>
      <c r="F108" s="258"/>
      <c r="G108" s="30"/>
      <c r="H108" s="482"/>
      <c r="I108" s="482"/>
      <c r="J108" s="482"/>
      <c r="K108" s="484"/>
      <c r="L108" s="651"/>
      <c r="M108" s="484"/>
      <c r="N108" s="651"/>
      <c r="O108" s="482"/>
      <c r="P108" s="482"/>
      <c r="Q108" s="482"/>
      <c r="R108" s="484"/>
      <c r="S108" s="484"/>
      <c r="T108" s="607"/>
      <c r="U108" s="484"/>
      <c r="V108" s="484"/>
      <c r="W108" s="484"/>
      <c r="X108" s="484"/>
      <c r="Y108" s="484"/>
      <c r="Z108" s="484"/>
      <c r="AA108" s="484"/>
      <c r="AB108" s="484"/>
      <c r="AC108" s="484"/>
      <c r="AD108" s="484"/>
      <c r="AE108" s="484"/>
    </row>
    <row r="109" spans="1:31" s="65" customFormat="1" x14ac:dyDescent="0.35">
      <c r="A109" s="30"/>
      <c r="B109" s="30" t="str">
        <f t="shared" ref="B109:D110" si="25">B108</f>
        <v>Essential</v>
      </c>
      <c r="C109" s="30" t="str">
        <f t="shared" si="25"/>
        <v>Residential</v>
      </c>
      <c r="D109" s="30" t="str">
        <f t="shared" si="25"/>
        <v>flat rate</v>
      </c>
      <c r="E109" s="30" t="s">
        <v>19</v>
      </c>
      <c r="F109" s="258" cm="1">
        <f t="array" ref="F109">IFERROR(_xlfn.XLOOKUP(1,($B109=DistributionZone)*($C109=CustomerType)*($E109=tariffType)*(F$5=Description),valuesFY),0)</f>
        <v>4600</v>
      </c>
      <c r="G109" s="30" t="s">
        <v>220</v>
      </c>
      <c r="H109" s="482" cm="1">
        <f t="array" ref="H109">IFERROR(_xlfn.XLOOKUP(1,($B109=DistributionZone)*($C109=CustomerType)*(H$5=Desc_FixedOrVar)*($G109=Description),valuesPY),0)</f>
        <v>186.09139457871049</v>
      </c>
      <c r="I109" s="482"/>
      <c r="J109" s="482">
        <f>IF(AND(H109="",I109=""),"",H109+I109*$F109/1000)</f>
        <v>186.09139457871049</v>
      </c>
      <c r="K109" s="484">
        <f>IFERROR(J109/J113,"")</f>
        <v>0.62927632221919694</v>
      </c>
      <c r="L109" s="651"/>
      <c r="M109" s="484">
        <f>IF(OR(J109=0,Q109=""),"",Q109/J109-1)</f>
        <v>-0.10996309394218884</v>
      </c>
      <c r="N109" s="651"/>
      <c r="O109" s="482" cm="1">
        <f t="array" ref="O109">IFERROR(_xlfn.XLOOKUP(1,($B109=DistributionZone)*($C109=CustomerType)*(O$5=Desc_FixedOrVar)*($G109=Description),valuesFY),0)</f>
        <v>165.62820907481881</v>
      </c>
      <c r="P109" s="482"/>
      <c r="Q109" s="482">
        <f>IF(AND(O109="",P109=""),"",O109+P109*$F109/1000)</f>
        <v>165.62820907481881</v>
      </c>
      <c r="R109" s="484">
        <f>IFERROR(Q109/Q113,"")</f>
        <v>0.59396695334123262</v>
      </c>
      <c r="S109" s="484"/>
      <c r="T109" s="607"/>
      <c r="U109" s="484"/>
      <c r="V109" s="484"/>
      <c r="W109" s="484"/>
      <c r="X109" s="484"/>
      <c r="Y109" s="484"/>
      <c r="Z109" s="484"/>
      <c r="AA109" s="484"/>
      <c r="AB109" s="484"/>
      <c r="AC109" s="484"/>
      <c r="AD109" s="484"/>
      <c r="AE109" s="484"/>
    </row>
    <row r="110" spans="1:31" s="65" customFormat="1" x14ac:dyDescent="0.35">
      <c r="A110" s="30"/>
      <c r="B110" s="30" t="str">
        <f t="shared" si="25"/>
        <v>Essential</v>
      </c>
      <c r="C110" s="30" t="str">
        <f t="shared" si="25"/>
        <v>Residential</v>
      </c>
      <c r="D110" s="30" t="str">
        <f t="shared" si="25"/>
        <v>flat rate</v>
      </c>
      <c r="E110" s="30" t="s">
        <v>19</v>
      </c>
      <c r="F110" s="258">
        <f>F109</f>
        <v>4600</v>
      </c>
      <c r="G110" s="379" t="s">
        <v>222</v>
      </c>
      <c r="H110" s="482" cm="1">
        <f t="array" ref="H110">IFERROR(_xlfn.XLOOKUP(1,($B110=DistributionZone)*($C110=CustomerType)*(H$5=Desc_FixedOrVar)*($G110=Description),valuesPY),0)</f>
        <v>71.343035138405909</v>
      </c>
      <c r="I110" s="482"/>
      <c r="J110" s="482">
        <f>IF(AND(H110="",I110=""),"",H110+I110*$F110/1000)</f>
        <v>71.343035138405909</v>
      </c>
      <c r="K110" s="484">
        <f>IFERROR(J110/J113,"")</f>
        <v>0.24124964439912416</v>
      </c>
      <c r="L110" s="651"/>
      <c r="M110" s="484">
        <f>IF(OR(J110=0,Q110=""),"",Q110/J110-1)</f>
        <v>7.4076437440484311E-2</v>
      </c>
      <c r="N110" s="651"/>
      <c r="O110" s="482" cm="1">
        <f t="array" ref="O110">IFERROR(_xlfn.XLOOKUP(1,($B110=DistributionZone)*($C110=CustomerType)*(O$5=Desc_FixedOrVar)*($G110=Description),valuesFY),0)</f>
        <v>76.627873017650316</v>
      </c>
      <c r="P110" s="482"/>
      <c r="Q110" s="482">
        <f>IF(AND(O110="",P110=""),"",O110+P110*$F110/1000)</f>
        <v>76.627873017650316</v>
      </c>
      <c r="R110" s="484">
        <f>IFERROR(Q110/Q113,"")</f>
        <v>0.27479874673252364</v>
      </c>
      <c r="S110" s="484"/>
      <c r="T110" s="607"/>
      <c r="U110" s="484"/>
      <c r="V110" s="484"/>
      <c r="W110" s="484"/>
      <c r="X110" s="484"/>
      <c r="Y110" s="484"/>
      <c r="Z110" s="484"/>
      <c r="AA110" s="484"/>
      <c r="AB110" s="484"/>
      <c r="AC110" s="484"/>
      <c r="AD110" s="484"/>
      <c r="AE110" s="484"/>
    </row>
    <row r="111" spans="1:31" s="65" customFormat="1" x14ac:dyDescent="0.35">
      <c r="A111" s="30"/>
      <c r="B111" s="30" t="str">
        <f t="shared" ref="B111:D112" si="26">B110</f>
        <v>Essential</v>
      </c>
      <c r="C111" s="30" t="str">
        <f t="shared" si="26"/>
        <v>Residential</v>
      </c>
      <c r="D111" s="30" t="str">
        <f t="shared" si="26"/>
        <v>flat rate</v>
      </c>
      <c r="E111" s="30" t="s">
        <v>19</v>
      </c>
      <c r="F111" s="258">
        <f>F110</f>
        <v>4600</v>
      </c>
      <c r="G111" s="30" t="s">
        <v>158</v>
      </c>
      <c r="H111" s="482" cm="1">
        <f t="array" ref="H111">IFERROR(_xlfn.XLOOKUP(1,($B111=DistributionZone)*($C111=CustomerType)*(H$5=Desc_FixedOrVar)*($G111=Description),valuesPY),0)</f>
        <v>35.525753173047072</v>
      </c>
      <c r="I111" s="482"/>
      <c r="J111" s="482">
        <f>IF(AND(H111="",I111=""),"",H111+I111*$F111/1000)</f>
        <v>35.525753173047072</v>
      </c>
      <c r="K111" s="484">
        <f>IFERROR(J111/J113,"")</f>
        <v>0.12013191341497731</v>
      </c>
      <c r="L111" s="651"/>
      <c r="M111" s="484">
        <f>IF(OR(J111=0,Q111=""),"",Q111/J111-1)</f>
        <v>1.4379688046419314E-2</v>
      </c>
      <c r="N111" s="651"/>
      <c r="O111" s="482" cm="1">
        <f t="array" ref="O111">IFERROR(_xlfn.XLOOKUP(1,($B111=DistributionZone)*($C111=CustomerType)*(O$5=Desc_FixedOrVar)*($G111=Description),valuesFY),0)</f>
        <v>36.036602421289579</v>
      </c>
      <c r="P111" s="482"/>
      <c r="Q111" s="482">
        <f>IF(AND(O111="",P111=""),"",O111+P111*$F111/1000)</f>
        <v>36.036602421289579</v>
      </c>
      <c r="R111" s="484">
        <f>IFERROR(Q111/Q113,"")</f>
        <v>0.12923252064673135</v>
      </c>
      <c r="S111" s="484"/>
      <c r="T111" s="607"/>
      <c r="U111" s="484"/>
      <c r="V111" s="484"/>
      <c r="W111" s="484"/>
      <c r="X111" s="484"/>
      <c r="Y111" s="484"/>
      <c r="Z111" s="484"/>
      <c r="AA111" s="484"/>
      <c r="AB111" s="484"/>
      <c r="AC111" s="484"/>
      <c r="AD111" s="484"/>
      <c r="AE111" s="484"/>
    </row>
    <row r="112" spans="1:31" s="65" customFormat="1" x14ac:dyDescent="0.35">
      <c r="A112" s="30"/>
      <c r="B112" s="30" t="str">
        <f t="shared" si="26"/>
        <v>Essential</v>
      </c>
      <c r="C112" s="30" t="str">
        <f t="shared" si="26"/>
        <v>Residential</v>
      </c>
      <c r="D112" s="30" t="str">
        <f t="shared" si="26"/>
        <v>flat rate</v>
      </c>
      <c r="E112" s="30" t="s">
        <v>19</v>
      </c>
      <c r="F112" s="258">
        <f>F111</f>
        <v>4600</v>
      </c>
      <c r="G112" s="30" t="s">
        <v>190</v>
      </c>
      <c r="H112" s="482" cm="1">
        <f t="array" ref="H112">IFERROR(_xlfn.XLOOKUP(1,($B112=DistributionZone)*($C112=CustomerType)*(H$5=Desc_FixedOrVar)*($G112=Description),valuesPY),0)</f>
        <v>2.7626784475128106</v>
      </c>
      <c r="I112" s="482"/>
      <c r="J112" s="482">
        <f>IF(AND(H112="",I112=""),"",H112+I112*$F112/1000)</f>
        <v>2.7626784475128106</v>
      </c>
      <c r="K112" s="484">
        <f>IFERROR(J112/J113,"")</f>
        <v>9.3421199667015186E-3</v>
      </c>
      <c r="L112" s="651"/>
      <c r="M112" s="484">
        <f>IF(OR(J112=0,Q112=""),0,Q112/J112-1)</f>
        <v>-0.79795045672823572</v>
      </c>
      <c r="N112" s="651"/>
      <c r="O112" s="482" cm="1">
        <f t="array" ref="O112">IFERROR(_xlfn.XLOOKUP(1,($B112=DistributionZone)*($C112=CustomerType)*(O$5=Desc_FixedOrVar)*($G112=Description),valuesFY),0)</f>
        <v>0.55819791852671019</v>
      </c>
      <c r="P112" s="482"/>
      <c r="Q112" s="482">
        <f>IF(AND(O112="",P112=""),"",O112+P112*$F112/1000)</f>
        <v>0.55819791852671019</v>
      </c>
      <c r="R112" s="484">
        <f>IFERROR(Q112/Q113,"")</f>
        <v>2.0017792795124466E-3</v>
      </c>
      <c r="S112" s="484"/>
      <c r="T112" s="607"/>
      <c r="U112" s="484"/>
      <c r="V112" s="484"/>
      <c r="W112" s="484"/>
      <c r="X112" s="484"/>
      <c r="Y112" s="484"/>
      <c r="Z112" s="484"/>
      <c r="AA112" s="484"/>
      <c r="AB112" s="484"/>
      <c r="AC112" s="484"/>
      <c r="AD112" s="484"/>
      <c r="AE112" s="484"/>
    </row>
    <row r="113" spans="1:31" s="65" customFormat="1" x14ac:dyDescent="0.35">
      <c r="A113" s="30"/>
      <c r="B113" s="30" t="str">
        <f t="shared" ref="B113:D117" si="27">B112</f>
        <v>Essential</v>
      </c>
      <c r="C113" s="30" t="str">
        <f t="shared" si="27"/>
        <v>Residential</v>
      </c>
      <c r="D113" s="30" t="str">
        <f t="shared" si="27"/>
        <v>flat rate</v>
      </c>
      <c r="E113" s="30" t="s">
        <v>19</v>
      </c>
      <c r="F113" s="258">
        <f>F112</f>
        <v>4600</v>
      </c>
      <c r="G113" s="64" t="s">
        <v>55</v>
      </c>
      <c r="H113" s="487">
        <f>SUM(H109:H112)</f>
        <v>295.72286133767631</v>
      </c>
      <c r="I113" s="487">
        <f>SUM(I109:I112)</f>
        <v>0</v>
      </c>
      <c r="J113" s="487">
        <f>IF(AND(H113="",I113=""),"",H113+I113*$F113/1000)</f>
        <v>295.72286133767631</v>
      </c>
      <c r="K113" s="564"/>
      <c r="L113" s="487"/>
      <c r="M113" s="564">
        <f>IF(OR(J113=0,Q113=""),"",Q113/J113-1)</f>
        <v>-5.7053346599826638E-2</v>
      </c>
      <c r="N113" s="487"/>
      <c r="O113" s="487">
        <f>SUM(O109:O112)</f>
        <v>278.8508824322854</v>
      </c>
      <c r="P113" s="487">
        <f>SUM(P109:P112)</f>
        <v>0</v>
      </c>
      <c r="Q113" s="487">
        <f>IF(AND(O113="",P113=""),"",O113+P113*$F113/1000)</f>
        <v>278.8508824322854</v>
      </c>
      <c r="R113" s="564"/>
      <c r="S113" s="564"/>
      <c r="T113" s="611"/>
      <c r="U113" s="564"/>
      <c r="V113" s="564"/>
      <c r="W113" s="564"/>
      <c r="X113" s="564"/>
      <c r="Y113" s="564"/>
      <c r="Z113" s="564"/>
      <c r="AA113" s="564"/>
      <c r="AB113" s="564"/>
      <c r="AC113" s="564"/>
      <c r="AD113" s="564"/>
      <c r="AE113" s="564"/>
    </row>
    <row r="114" spans="1:31" x14ac:dyDescent="0.35">
      <c r="B114" s="30" t="str">
        <f t="shared" si="27"/>
        <v>Essential</v>
      </c>
      <c r="C114" s="30" t="str">
        <f t="shared" si="27"/>
        <v>Residential</v>
      </c>
      <c r="D114" s="30" t="str">
        <f t="shared" si="27"/>
        <v>flat rate</v>
      </c>
      <c r="E114" s="30" t="s">
        <v>19</v>
      </c>
      <c r="F114" s="258">
        <f>F113</f>
        <v>4600</v>
      </c>
      <c r="G114" s="30" t="s">
        <v>161</v>
      </c>
      <c r="H114" s="482"/>
      <c r="I114" s="482"/>
      <c r="J114" s="482">
        <f>J113*CPIPY</f>
        <v>16.787595392417252</v>
      </c>
      <c r="K114" s="484"/>
      <c r="L114" s="482"/>
      <c r="M114" s="484">
        <f>IF(OR(J114=0,Q114=""),"",Q114/J114-1)</f>
        <v>0.21509360184486703</v>
      </c>
      <c r="N114" s="482"/>
      <c r="O114" s="482"/>
      <c r="P114" s="482"/>
      <c r="Q114" s="482">
        <f>Q113*CPI</f>
        <v>20.398499751686572</v>
      </c>
      <c r="R114" s="484"/>
      <c r="S114" s="484"/>
      <c r="T114" s="607"/>
      <c r="U114" s="484"/>
      <c r="V114" s="484"/>
      <c r="W114" s="484"/>
      <c r="X114" s="484"/>
      <c r="Y114" s="484"/>
      <c r="Z114" s="484"/>
      <c r="AA114" s="484"/>
      <c r="AB114" s="484"/>
      <c r="AC114" s="484"/>
      <c r="AD114" s="484"/>
      <c r="AE114" s="484"/>
    </row>
    <row r="115" spans="1:31" x14ac:dyDescent="0.35">
      <c r="B115" s="30" t="str">
        <f t="shared" si="27"/>
        <v>Essential</v>
      </c>
      <c r="C115" s="30" t="str">
        <f t="shared" si="27"/>
        <v>Residential</v>
      </c>
      <c r="D115" s="30" t="str">
        <f t="shared" si="27"/>
        <v>flat rate</v>
      </c>
      <c r="F115" s="258"/>
      <c r="G115" s="30" t="s">
        <v>38</v>
      </c>
      <c r="H115" s="482"/>
      <c r="I115" s="482"/>
      <c r="J115" s="482">
        <f>SUM(J113,J114)*GST</f>
        <v>31.251045673009358</v>
      </c>
      <c r="K115" s="484"/>
      <c r="L115" s="482"/>
      <c r="M115" s="484">
        <f>IF(OR(J115=0,Q115=""),0,Q115/J115-1)</f>
        <v>-4.2434018640133964E-2</v>
      </c>
      <c r="N115" s="482"/>
      <c r="O115" s="482"/>
      <c r="P115" s="482"/>
      <c r="Q115" s="482">
        <f>SUM(Q113,Q114)*GST</f>
        <v>29.924938218397202</v>
      </c>
      <c r="R115" s="564"/>
      <c r="S115" s="564"/>
      <c r="T115" s="611"/>
      <c r="U115" s="564"/>
      <c r="V115" s="564"/>
      <c r="W115" s="564"/>
      <c r="X115" s="564"/>
      <c r="Y115" s="564"/>
      <c r="Z115" s="564"/>
      <c r="AA115" s="564"/>
      <c r="AB115" s="564"/>
      <c r="AC115" s="564"/>
      <c r="AD115" s="564"/>
      <c r="AE115" s="564"/>
    </row>
    <row r="116" spans="1:31" x14ac:dyDescent="0.35">
      <c r="B116" s="30" t="str">
        <f t="shared" si="27"/>
        <v>Essential</v>
      </c>
      <c r="C116" s="30" t="str">
        <f t="shared" si="27"/>
        <v>Residential</v>
      </c>
      <c r="D116" s="30" t="str">
        <f t="shared" si="27"/>
        <v>flat rate</v>
      </c>
      <c r="E116" s="570"/>
      <c r="F116" s="258"/>
      <c r="G116" s="64" t="s">
        <v>79</v>
      </c>
      <c r="H116" s="487"/>
      <c r="I116" s="487"/>
      <c r="J116" s="487">
        <f>SUM(J113:J115)</f>
        <v>343.7615024031029</v>
      </c>
      <c r="K116" s="564"/>
      <c r="L116" s="487"/>
      <c r="M116" s="564">
        <f>IF(OR(J116=0,Q116=""),"",Q116/J116-1)</f>
        <v>-4.2434018640133964E-2</v>
      </c>
      <c r="N116" s="487"/>
      <c r="O116" s="487"/>
      <c r="P116" s="487"/>
      <c r="Q116" s="487">
        <f>SUM(Q113:Q115)</f>
        <v>329.17432040236918</v>
      </c>
      <c r="R116" s="564"/>
      <c r="S116" s="564"/>
      <c r="T116" s="611"/>
      <c r="U116" s="564"/>
      <c r="V116" s="564"/>
      <c r="W116" s="564"/>
      <c r="X116" s="564"/>
      <c r="Y116" s="564"/>
      <c r="Z116" s="564"/>
      <c r="AA116" s="564"/>
      <c r="AB116" s="564"/>
      <c r="AC116" s="564"/>
      <c r="AD116" s="564"/>
      <c r="AE116" s="564"/>
    </row>
    <row r="117" spans="1:31" s="65" customFormat="1" x14ac:dyDescent="0.35">
      <c r="A117" s="30"/>
      <c r="B117" s="30" t="str">
        <f t="shared" si="27"/>
        <v>Essential</v>
      </c>
      <c r="C117" s="30" t="str">
        <f t="shared" si="27"/>
        <v>Residential</v>
      </c>
      <c r="D117" s="30" t="str">
        <f t="shared" si="27"/>
        <v>flat rate</v>
      </c>
      <c r="E117" s="30"/>
      <c r="F117" s="258"/>
      <c r="G117" s="30"/>
      <c r="H117" s="482"/>
      <c r="I117" s="482"/>
      <c r="J117" s="482"/>
      <c r="K117" s="484"/>
      <c r="L117" s="482"/>
      <c r="M117" s="484"/>
      <c r="N117" s="482"/>
      <c r="O117" s="482"/>
      <c r="P117" s="482"/>
      <c r="Q117" s="482"/>
      <c r="R117" s="484"/>
      <c r="S117" s="484"/>
      <c r="T117" s="607"/>
      <c r="U117" s="484"/>
      <c r="V117" s="484"/>
      <c r="W117" s="484"/>
      <c r="X117" s="484"/>
      <c r="Y117" s="484"/>
      <c r="Z117" s="484"/>
      <c r="AA117" s="484"/>
      <c r="AB117" s="484"/>
      <c r="AC117" s="484"/>
      <c r="AD117" s="484"/>
      <c r="AE117" s="484"/>
    </row>
    <row r="118" spans="1:31" s="627" customFormat="1" x14ac:dyDescent="0.35">
      <c r="A118" s="570"/>
      <c r="B118" s="571" t="s">
        <v>3</v>
      </c>
      <c r="C118" s="571" t="s">
        <v>6</v>
      </c>
      <c r="D118" s="571" t="s">
        <v>272</v>
      </c>
      <c r="E118" s="570"/>
      <c r="F118" s="485"/>
      <c r="G118" s="570"/>
      <c r="H118" s="574"/>
      <c r="I118" s="574"/>
      <c r="J118" s="574"/>
      <c r="K118" s="575"/>
      <c r="L118" s="654"/>
      <c r="M118" s="575"/>
      <c r="N118" s="654"/>
      <c r="O118" s="574"/>
      <c r="P118" s="574"/>
      <c r="Q118" s="574"/>
      <c r="R118" s="575"/>
      <c r="S118" s="575"/>
      <c r="T118" s="612"/>
      <c r="U118" s="575"/>
      <c r="V118" s="575"/>
      <c r="W118" s="575"/>
      <c r="X118" s="575"/>
      <c r="Y118" s="575"/>
      <c r="Z118" s="575"/>
      <c r="AA118" s="575"/>
      <c r="AB118" s="575"/>
      <c r="AC118" s="575"/>
      <c r="AD118" s="575"/>
      <c r="AE118" s="575"/>
    </row>
    <row r="119" spans="1:31" s="627" customFormat="1" x14ac:dyDescent="0.35">
      <c r="A119" s="570"/>
      <c r="B119" s="570" t="str">
        <f t="shared" ref="B119:B127" si="28">B118</f>
        <v>Essential</v>
      </c>
      <c r="C119" s="570" t="str">
        <f t="shared" ref="C119:C127" si="29">C118</f>
        <v>Residential</v>
      </c>
      <c r="D119" s="570" t="str">
        <f t="shared" ref="D119:D127" si="30">D118</f>
        <v>time of use</v>
      </c>
      <c r="E119" s="570" t="s">
        <v>19</v>
      </c>
      <c r="F119" s="485" cm="1">
        <f t="array" ref="F119">IFERROR(_xlfn.XLOOKUP(1,($B119=DistributionZone)*($C119=CustomerType)*($E119=tariffType)*(F$5=Description),valuesFY),0)</f>
        <v>4600</v>
      </c>
      <c r="G119" s="570" t="s">
        <v>220</v>
      </c>
      <c r="H119" s="574" cm="1">
        <f t="array" ref="H119">IFERROR(_xlfn.XLOOKUP(1,($B119=DistributionZone)*($C119=CustomerType)*(H$5=Desc_FixedOrVar)*($G119=Description),valuesPY),0)</f>
        <v>186.09139457871049</v>
      </c>
      <c r="I119" s="574"/>
      <c r="J119" s="574">
        <f>IF(AND(H119="",I119=""),"",H119+I119*$F119/1000)</f>
        <v>186.09139457871049</v>
      </c>
      <c r="K119" s="575" t="str">
        <f>IFERROR(J119/J123,"")</f>
        <v/>
      </c>
      <c r="L119" s="654"/>
      <c r="M119" s="575">
        <f>IF(OR(J119=0,Q119=""),"",Q119/J119-1)</f>
        <v>-0.10996309394218884</v>
      </c>
      <c r="N119" s="654"/>
      <c r="O119" s="574" cm="1">
        <f t="array" ref="O119">IFERROR(_xlfn.XLOOKUP(1,($B119=DistributionZone)*($C119=CustomerType)*(O$5=Desc_FixedOrVar)*($G119=Description),valuesFY),0)</f>
        <v>165.62820907481881</v>
      </c>
      <c r="P119" s="574"/>
      <c r="Q119" s="574">
        <f>IF(AND(O119="",P119=""),"",O119+P119*$F119/1000)</f>
        <v>165.62820907481881</v>
      </c>
      <c r="R119" s="575">
        <f>IFERROR(Q119/Q123,"")</f>
        <v>0.59396695334123262</v>
      </c>
      <c r="S119" s="575"/>
      <c r="T119" s="612"/>
      <c r="U119" s="575"/>
      <c r="V119" s="575"/>
      <c r="W119" s="575"/>
      <c r="X119" s="575"/>
      <c r="Y119" s="575"/>
      <c r="Z119" s="575"/>
      <c r="AA119" s="575"/>
      <c r="AB119" s="575"/>
      <c r="AC119" s="575"/>
      <c r="AD119" s="575"/>
      <c r="AE119" s="575"/>
    </row>
    <row r="120" spans="1:31" s="627" customFormat="1" x14ac:dyDescent="0.35">
      <c r="A120" s="570"/>
      <c r="B120" s="570" t="str">
        <f t="shared" si="28"/>
        <v>Essential</v>
      </c>
      <c r="C120" s="570" t="str">
        <f t="shared" si="29"/>
        <v>Residential</v>
      </c>
      <c r="D120" s="570" t="str">
        <f t="shared" si="30"/>
        <v>time of use</v>
      </c>
      <c r="E120" s="570" t="s">
        <v>19</v>
      </c>
      <c r="F120" s="485">
        <f>F119</f>
        <v>4600</v>
      </c>
      <c r="G120" s="615" t="s">
        <v>222</v>
      </c>
      <c r="H120" s="574" cm="1">
        <f t="array" ref="H120">IFERROR(_xlfn.XLOOKUP(1,($B120=DistributionZone)*($C120=CustomerType)*(H$5=Desc_FixedOrVar)*($G120=Description),valuesPY),0)</f>
        <v>71.343035138405909</v>
      </c>
      <c r="I120" s="574"/>
      <c r="J120" s="574">
        <f>IF(AND(H120="",I120=""),"",H120+I120*$F120/1000)</f>
        <v>71.343035138405909</v>
      </c>
      <c r="K120" s="575" t="str">
        <f>IFERROR(J120/J123,"")</f>
        <v/>
      </c>
      <c r="L120" s="654"/>
      <c r="M120" s="575">
        <f>IF(OR(J120=0,Q120=""),"",Q120/J120-1)</f>
        <v>7.4076437440484311E-2</v>
      </c>
      <c r="N120" s="654"/>
      <c r="O120" s="574" cm="1">
        <f t="array" ref="O120">IFERROR(_xlfn.XLOOKUP(1,($B120=DistributionZone)*($C120=CustomerType)*(O$5=Desc_FixedOrVar)*($G120=Description),valuesFY),0)</f>
        <v>76.627873017650316</v>
      </c>
      <c r="P120" s="574"/>
      <c r="Q120" s="574">
        <f>IF(AND(O120="",P120=""),"",O120+P120*$F120/1000)</f>
        <v>76.627873017650316</v>
      </c>
      <c r="R120" s="575">
        <f>IFERROR(Q120/Q123,"")</f>
        <v>0.27479874673252364</v>
      </c>
      <c r="S120" s="575"/>
      <c r="T120" s="612"/>
      <c r="U120" s="575"/>
      <c r="V120" s="575"/>
      <c r="W120" s="575"/>
      <c r="X120" s="575"/>
      <c r="Y120" s="575"/>
      <c r="Z120" s="575"/>
      <c r="AA120" s="575"/>
      <c r="AB120" s="575"/>
      <c r="AC120" s="575"/>
      <c r="AD120" s="575"/>
      <c r="AE120" s="575"/>
    </row>
    <row r="121" spans="1:31" s="627" customFormat="1" x14ac:dyDescent="0.35">
      <c r="A121" s="570"/>
      <c r="B121" s="570" t="str">
        <f t="shared" si="28"/>
        <v>Essential</v>
      </c>
      <c r="C121" s="570" t="str">
        <f t="shared" si="29"/>
        <v>Residential</v>
      </c>
      <c r="D121" s="570" t="str">
        <f t="shared" si="30"/>
        <v>time of use</v>
      </c>
      <c r="E121" s="570" t="s">
        <v>19</v>
      </c>
      <c r="F121" s="485">
        <f>F120</f>
        <v>4600</v>
      </c>
      <c r="G121" s="570" t="s">
        <v>158</v>
      </c>
      <c r="H121" s="574" cm="1">
        <f t="array" ref="H121">IFERROR(_xlfn.XLOOKUP(1,($B121=DistributionZone)*($C121=CustomerType)*(H$5=Desc_FixedOrVar)*($G121=Description),valuesPY),0)</f>
        <v>35.525753173047072</v>
      </c>
      <c r="I121" s="574"/>
      <c r="J121" s="574">
        <f>IF(AND(H121="",I121=""),"",H121+I121*$F121/1000)</f>
        <v>35.525753173047072</v>
      </c>
      <c r="K121" s="575" t="str">
        <f>IFERROR(J121/J123,"")</f>
        <v/>
      </c>
      <c r="L121" s="654"/>
      <c r="M121" s="575">
        <f>IF(OR(J121=0,Q121=""),"",Q121/J121-1)</f>
        <v>1.4379688046419314E-2</v>
      </c>
      <c r="N121" s="654"/>
      <c r="O121" s="574" cm="1">
        <f t="array" ref="O121">IFERROR(_xlfn.XLOOKUP(1,($B121=DistributionZone)*($C121=CustomerType)*(O$5=Desc_FixedOrVar)*($G121=Description),valuesFY),0)</f>
        <v>36.036602421289579</v>
      </c>
      <c r="P121" s="574"/>
      <c r="Q121" s="574">
        <f>IF(AND(O121="",P121=""),"",O121+P121*$F121/1000)</f>
        <v>36.036602421289579</v>
      </c>
      <c r="R121" s="575">
        <f>IFERROR(Q121/Q123,"")</f>
        <v>0.12923252064673135</v>
      </c>
      <c r="S121" s="575"/>
      <c r="T121" s="612"/>
      <c r="U121" s="575"/>
      <c r="V121" s="575"/>
      <c r="W121" s="575"/>
      <c r="X121" s="575"/>
      <c r="Y121" s="575"/>
      <c r="Z121" s="575"/>
      <c r="AA121" s="575"/>
      <c r="AB121" s="575"/>
      <c r="AC121" s="575"/>
      <c r="AD121" s="575"/>
      <c r="AE121" s="575"/>
    </row>
    <row r="122" spans="1:31" s="627" customFormat="1" x14ac:dyDescent="0.35">
      <c r="A122" s="570"/>
      <c r="B122" s="570" t="str">
        <f t="shared" si="28"/>
        <v>Essential</v>
      </c>
      <c r="C122" s="570" t="str">
        <f t="shared" si="29"/>
        <v>Residential</v>
      </c>
      <c r="D122" s="570" t="str">
        <f t="shared" si="30"/>
        <v>time of use</v>
      </c>
      <c r="E122" s="570" t="s">
        <v>19</v>
      </c>
      <c r="F122" s="485">
        <f>F121</f>
        <v>4600</v>
      </c>
      <c r="G122" s="570" t="s">
        <v>190</v>
      </c>
      <c r="H122" s="574" cm="1">
        <f t="array" ref="H122">IFERROR(_xlfn.XLOOKUP(1,($B122=DistributionZone)*($C122=CustomerType)*(H$5=Desc_FixedOrVar)*($G122=Description),valuesPY),0)</f>
        <v>2.7626784475128106</v>
      </c>
      <c r="I122" s="574"/>
      <c r="J122" s="574">
        <f>IF(AND(H122="",I122=""),"",H122+I122*$F122/1000)</f>
        <v>2.7626784475128106</v>
      </c>
      <c r="K122" s="575" t="str">
        <f>IFERROR(J122/J123,"")</f>
        <v/>
      </c>
      <c r="L122" s="654"/>
      <c r="M122" s="575">
        <f>IF(OR(J122=0,Q122=""),0,Q122/J122-1)</f>
        <v>-0.79795045672823572</v>
      </c>
      <c r="N122" s="654"/>
      <c r="O122" s="574" cm="1">
        <f t="array" ref="O122">IFERROR(_xlfn.XLOOKUP(1,($B122=DistributionZone)*($C122=CustomerType)*(O$5=Desc_FixedOrVar)*($G122=Description),valuesFY),0)</f>
        <v>0.55819791852671019</v>
      </c>
      <c r="P122" s="574"/>
      <c r="Q122" s="574">
        <f>IF(AND(O122="",P122=""),"",O122+P122*$F122/1000)</f>
        <v>0.55819791852671019</v>
      </c>
      <c r="R122" s="575">
        <f>IFERROR(Q122/Q123,"")</f>
        <v>2.0017792795124466E-3</v>
      </c>
      <c r="S122" s="575"/>
      <c r="T122" s="612"/>
      <c r="U122" s="575"/>
      <c r="V122" s="575"/>
      <c r="W122" s="575"/>
      <c r="X122" s="575"/>
      <c r="Y122" s="575"/>
      <c r="Z122" s="575"/>
      <c r="AA122" s="575"/>
      <c r="AB122" s="575"/>
      <c r="AC122" s="575"/>
      <c r="AD122" s="575"/>
      <c r="AE122" s="575"/>
    </row>
    <row r="123" spans="1:31" s="627" customFormat="1" x14ac:dyDescent="0.35">
      <c r="A123" s="570"/>
      <c r="B123" s="570" t="str">
        <f t="shared" si="28"/>
        <v>Essential</v>
      </c>
      <c r="C123" s="570" t="str">
        <f t="shared" si="29"/>
        <v>Residential</v>
      </c>
      <c r="D123" s="570" t="str">
        <f t="shared" si="30"/>
        <v>time of use</v>
      </c>
      <c r="E123" s="570" t="s">
        <v>272</v>
      </c>
      <c r="F123" s="485">
        <f>F122</f>
        <v>4600</v>
      </c>
      <c r="G123" s="571" t="s">
        <v>55</v>
      </c>
      <c r="H123" s="577">
        <f>IF($H$3=PY,0,SUM(H119:H122))</f>
        <v>0</v>
      </c>
      <c r="I123" s="577">
        <f>SUM(I119:I122)</f>
        <v>0</v>
      </c>
      <c r="J123" s="577">
        <f>IF($H$3=PY,0,IF(AND(H123="",I123=""),"",H123+I123*$F123/1000))</f>
        <v>0</v>
      </c>
      <c r="K123" s="578"/>
      <c r="L123" s="577"/>
      <c r="M123" s="578" t="str">
        <f>IF(OR(J123=0,Q123=""),"",Q123/J123-1)</f>
        <v/>
      </c>
      <c r="N123" s="577"/>
      <c r="O123" s="577">
        <f>SUM(O119:O122)</f>
        <v>278.8508824322854</v>
      </c>
      <c r="P123" s="577">
        <f>SUM(P119:P122)</f>
        <v>0</v>
      </c>
      <c r="Q123" s="577">
        <f>IF(AND(O123="",P123=""),"",O123+P123*$F123/1000)</f>
        <v>278.8508824322854</v>
      </c>
      <c r="R123" s="578"/>
      <c r="S123" s="578"/>
      <c r="T123" s="621"/>
      <c r="U123" s="578"/>
      <c r="V123" s="578"/>
      <c r="W123" s="578"/>
      <c r="X123" s="578"/>
      <c r="Y123" s="578"/>
      <c r="Z123" s="578"/>
      <c r="AA123" s="578"/>
      <c r="AB123" s="578"/>
      <c r="AC123" s="578"/>
      <c r="AD123" s="578"/>
      <c r="AE123" s="578"/>
    </row>
    <row r="124" spans="1:31" s="570" customFormat="1" x14ac:dyDescent="0.35">
      <c r="B124" s="570" t="str">
        <f t="shared" si="28"/>
        <v>Essential</v>
      </c>
      <c r="C124" s="570" t="str">
        <f t="shared" si="29"/>
        <v>Residential</v>
      </c>
      <c r="D124" s="570" t="str">
        <f t="shared" si="30"/>
        <v>time of use</v>
      </c>
      <c r="E124" s="570" t="s">
        <v>272</v>
      </c>
      <c r="F124" s="485">
        <f>F123</f>
        <v>4600</v>
      </c>
      <c r="G124" s="570" t="s">
        <v>161</v>
      </c>
      <c r="H124" s="574"/>
      <c r="I124" s="574"/>
      <c r="J124" s="574">
        <f>J123*CPIPY</f>
        <v>0</v>
      </c>
      <c r="K124" s="575"/>
      <c r="L124" s="574"/>
      <c r="M124" s="575" t="str">
        <f>IF(OR(J124=0,Q124=""),"",Q124/J124-1)</f>
        <v/>
      </c>
      <c r="N124" s="574"/>
      <c r="O124" s="574"/>
      <c r="P124" s="574"/>
      <c r="Q124" s="574">
        <f>Q123*CPI</f>
        <v>20.398499751686572</v>
      </c>
      <c r="R124" s="575"/>
      <c r="S124" s="575"/>
      <c r="T124" s="612"/>
      <c r="U124" s="575"/>
      <c r="V124" s="575"/>
      <c r="W124" s="575"/>
      <c r="X124" s="575"/>
      <c r="Y124" s="575"/>
      <c r="Z124" s="575"/>
      <c r="AA124" s="575"/>
      <c r="AB124" s="575"/>
      <c r="AC124" s="575"/>
      <c r="AD124" s="575"/>
      <c r="AE124" s="575"/>
    </row>
    <row r="125" spans="1:31" s="570" customFormat="1" x14ac:dyDescent="0.35">
      <c r="B125" s="570" t="str">
        <f t="shared" si="28"/>
        <v>Essential</v>
      </c>
      <c r="C125" s="570" t="str">
        <f t="shared" si="29"/>
        <v>Residential</v>
      </c>
      <c r="D125" s="570" t="str">
        <f t="shared" si="30"/>
        <v>time of use</v>
      </c>
      <c r="F125" s="485"/>
      <c r="G125" s="570" t="s">
        <v>38</v>
      </c>
      <c r="H125" s="574"/>
      <c r="I125" s="574"/>
      <c r="J125" s="574">
        <f>SUM(J123,J124)*GST</f>
        <v>0</v>
      </c>
      <c r="K125" s="575"/>
      <c r="L125" s="574"/>
      <c r="M125" s="575">
        <f>IF(OR(J125=0,Q125=""),0,Q125/J125-1)</f>
        <v>0</v>
      </c>
      <c r="N125" s="574"/>
      <c r="O125" s="574"/>
      <c r="P125" s="574"/>
      <c r="Q125" s="574">
        <f>SUM(Q123,Q124)*GST</f>
        <v>29.924938218397202</v>
      </c>
      <c r="R125" s="578"/>
      <c r="S125" s="578"/>
      <c r="T125" s="621"/>
      <c r="U125" s="578"/>
      <c r="V125" s="578"/>
      <c r="W125" s="578"/>
      <c r="X125" s="578"/>
      <c r="Y125" s="578"/>
      <c r="Z125" s="578"/>
      <c r="AA125" s="578"/>
      <c r="AB125" s="578"/>
      <c r="AC125" s="578"/>
      <c r="AD125" s="578"/>
      <c r="AE125" s="578"/>
    </row>
    <row r="126" spans="1:31" s="570" customFormat="1" x14ac:dyDescent="0.35">
      <c r="B126" s="570" t="str">
        <f t="shared" si="28"/>
        <v>Essential</v>
      </c>
      <c r="C126" s="570" t="str">
        <f t="shared" si="29"/>
        <v>Residential</v>
      </c>
      <c r="D126" s="570" t="str">
        <f t="shared" si="30"/>
        <v>time of use</v>
      </c>
      <c r="E126" s="570" t="s">
        <v>272</v>
      </c>
      <c r="F126" s="485"/>
      <c r="G126" s="571" t="s">
        <v>79</v>
      </c>
      <c r="H126" s="577"/>
      <c r="I126" s="577"/>
      <c r="J126" s="577">
        <f>SUM(J123:J125)</f>
        <v>0</v>
      </c>
      <c r="K126" s="578"/>
      <c r="L126" s="577"/>
      <c r="M126" s="578" t="str">
        <f>IF(OR(J126=0,Q126=""),"",Q126/J126-1)</f>
        <v/>
      </c>
      <c r="N126" s="577"/>
      <c r="O126" s="577"/>
      <c r="P126" s="577"/>
      <c r="Q126" s="577">
        <f>SUM(Q123:Q125)</f>
        <v>329.17432040236918</v>
      </c>
      <c r="R126" s="578"/>
      <c r="S126" s="578"/>
      <c r="T126" s="621"/>
      <c r="U126" s="578"/>
      <c r="V126" s="578"/>
      <c r="W126" s="578"/>
      <c r="X126" s="578"/>
      <c r="Y126" s="578"/>
      <c r="Z126" s="578"/>
      <c r="AA126" s="578"/>
      <c r="AB126" s="578"/>
      <c r="AC126" s="578"/>
      <c r="AD126" s="578"/>
      <c r="AE126" s="578"/>
    </row>
    <row r="127" spans="1:31" s="627" customFormat="1" x14ac:dyDescent="0.35">
      <c r="A127" s="570"/>
      <c r="B127" s="570" t="str">
        <f t="shared" si="28"/>
        <v>Essential</v>
      </c>
      <c r="C127" s="570" t="str">
        <f t="shared" si="29"/>
        <v>Residential</v>
      </c>
      <c r="D127" s="570" t="str">
        <f t="shared" si="30"/>
        <v>time of use</v>
      </c>
      <c r="E127" s="570"/>
      <c r="F127" s="485"/>
      <c r="G127" s="570"/>
      <c r="H127" s="574"/>
      <c r="I127" s="574"/>
      <c r="J127" s="574"/>
      <c r="K127" s="575"/>
      <c r="L127" s="574"/>
      <c r="M127" s="575"/>
      <c r="N127" s="574"/>
      <c r="O127" s="574"/>
      <c r="P127" s="574"/>
      <c r="Q127" s="574"/>
      <c r="R127" s="575"/>
      <c r="S127" s="575"/>
      <c r="T127" s="612"/>
      <c r="U127" s="575"/>
      <c r="V127" s="575"/>
      <c r="W127" s="575"/>
      <c r="X127" s="575"/>
      <c r="Y127" s="575"/>
      <c r="Z127" s="575"/>
      <c r="AA127" s="575"/>
      <c r="AB127" s="575"/>
      <c r="AC127" s="575"/>
      <c r="AD127" s="575"/>
      <c r="AE127" s="575"/>
    </row>
    <row r="128" spans="1:31" s="65" customFormat="1" hidden="1" x14ac:dyDescent="0.35">
      <c r="A128" s="30"/>
      <c r="B128" s="165"/>
      <c r="C128" s="165"/>
      <c r="D128" s="165"/>
      <c r="E128" s="31"/>
      <c r="F128" s="588"/>
      <c r="G128" s="31"/>
      <c r="H128" s="589"/>
      <c r="I128" s="589"/>
      <c r="J128" s="589"/>
      <c r="K128" s="590"/>
      <c r="L128" s="589"/>
      <c r="M128" s="590"/>
      <c r="N128" s="589"/>
      <c r="O128" s="589"/>
      <c r="P128" s="589"/>
      <c r="Q128" s="589"/>
      <c r="R128" s="590"/>
      <c r="S128" s="484"/>
      <c r="T128" s="607"/>
      <c r="U128" s="484"/>
      <c r="V128" s="484"/>
      <c r="W128" s="484"/>
      <c r="X128" s="484"/>
      <c r="Y128" s="484"/>
      <c r="Z128" s="484"/>
      <c r="AA128" s="484"/>
      <c r="AB128" s="484"/>
      <c r="AC128" s="484"/>
      <c r="AD128" s="484"/>
      <c r="AE128" s="484"/>
    </row>
    <row r="129" spans="1:31" s="65" customFormat="1" hidden="1" x14ac:dyDescent="0.35">
      <c r="A129" s="30"/>
      <c r="B129" s="31"/>
      <c r="C129" s="31"/>
      <c r="D129" s="31"/>
      <c r="E129" s="31"/>
      <c r="F129" s="588"/>
      <c r="G129" s="31"/>
      <c r="H129" s="589"/>
      <c r="I129" s="589"/>
      <c r="J129" s="589"/>
      <c r="K129" s="590"/>
      <c r="L129" s="656"/>
      <c r="M129" s="590"/>
      <c r="N129" s="656"/>
      <c r="O129" s="589"/>
      <c r="P129" s="589"/>
      <c r="Q129" s="589"/>
      <c r="R129" s="590"/>
      <c r="S129" s="484"/>
      <c r="T129" s="607"/>
      <c r="U129" s="484"/>
      <c r="V129" s="484"/>
      <c r="W129" s="484"/>
      <c r="X129" s="484"/>
      <c r="Y129" s="484"/>
      <c r="Z129" s="484"/>
      <c r="AA129" s="484"/>
      <c r="AB129" s="484"/>
      <c r="AC129" s="484"/>
      <c r="AD129" s="484"/>
      <c r="AE129" s="484"/>
    </row>
    <row r="130" spans="1:31" s="65" customFormat="1" hidden="1" x14ac:dyDescent="0.35">
      <c r="A130" s="30"/>
      <c r="B130" s="31"/>
      <c r="C130" s="31"/>
      <c r="D130" s="31"/>
      <c r="E130" s="31"/>
      <c r="F130" s="588"/>
      <c r="G130" s="657"/>
      <c r="H130" s="589"/>
      <c r="I130" s="589"/>
      <c r="J130" s="589"/>
      <c r="K130" s="590"/>
      <c r="L130" s="656"/>
      <c r="M130" s="590"/>
      <c r="N130" s="656"/>
      <c r="O130" s="589"/>
      <c r="P130" s="589"/>
      <c r="Q130" s="589"/>
      <c r="R130" s="590"/>
      <c r="S130" s="484"/>
      <c r="T130" s="607"/>
      <c r="U130" s="484"/>
      <c r="V130" s="484"/>
      <c r="W130" s="484"/>
      <c r="X130" s="484"/>
      <c r="Y130" s="484"/>
      <c r="Z130" s="484"/>
      <c r="AA130" s="484"/>
      <c r="AB130" s="484"/>
      <c r="AC130" s="484"/>
      <c r="AD130" s="484"/>
      <c r="AE130" s="484"/>
    </row>
    <row r="131" spans="1:31" s="65" customFormat="1" hidden="1" x14ac:dyDescent="0.35">
      <c r="A131" s="30"/>
      <c r="B131" s="31"/>
      <c r="C131" s="31"/>
      <c r="D131" s="31"/>
      <c r="E131" s="31"/>
      <c r="F131" s="588"/>
      <c r="G131" s="31"/>
      <c r="H131" s="589"/>
      <c r="I131" s="589"/>
      <c r="J131" s="589"/>
      <c r="K131" s="590"/>
      <c r="L131" s="656"/>
      <c r="M131" s="590"/>
      <c r="N131" s="656"/>
      <c r="O131" s="589"/>
      <c r="P131" s="589"/>
      <c r="Q131" s="589"/>
      <c r="R131" s="590"/>
      <c r="S131" s="484"/>
      <c r="T131" s="607"/>
      <c r="U131" s="484"/>
      <c r="V131" s="484"/>
      <c r="W131" s="484"/>
      <c r="X131" s="484"/>
      <c r="Y131" s="484"/>
      <c r="Z131" s="484"/>
      <c r="AA131" s="484"/>
      <c r="AB131" s="484"/>
      <c r="AC131" s="484"/>
      <c r="AD131" s="484"/>
      <c r="AE131" s="484"/>
    </row>
    <row r="132" spans="1:31" s="65" customFormat="1" hidden="1" x14ac:dyDescent="0.35">
      <c r="A132" s="30"/>
      <c r="B132" s="31"/>
      <c r="C132" s="31"/>
      <c r="D132" s="31"/>
      <c r="E132" s="31"/>
      <c r="F132" s="588"/>
      <c r="G132" s="31"/>
      <c r="H132" s="589"/>
      <c r="I132" s="589"/>
      <c r="J132" s="589"/>
      <c r="K132" s="590"/>
      <c r="L132" s="656"/>
      <c r="M132" s="590"/>
      <c r="N132" s="656"/>
      <c r="O132" s="589"/>
      <c r="P132" s="589"/>
      <c r="Q132" s="589"/>
      <c r="R132" s="590"/>
      <c r="S132" s="484"/>
      <c r="T132" s="607"/>
      <c r="U132" s="484"/>
      <c r="V132" s="484"/>
      <c r="W132" s="484"/>
      <c r="X132" s="484"/>
      <c r="Y132" s="484"/>
      <c r="Z132" s="484"/>
      <c r="AA132" s="484"/>
      <c r="AB132" s="484"/>
      <c r="AC132" s="484"/>
      <c r="AD132" s="484"/>
      <c r="AE132" s="484"/>
    </row>
    <row r="133" spans="1:31" hidden="1" x14ac:dyDescent="0.35">
      <c r="B133" s="31"/>
      <c r="C133" s="31"/>
      <c r="D133" s="31"/>
      <c r="E133" s="31"/>
      <c r="F133" s="588"/>
      <c r="G133" s="165"/>
      <c r="H133" s="618"/>
      <c r="I133" s="618"/>
      <c r="J133" s="618"/>
      <c r="K133" s="619"/>
      <c r="L133" s="618"/>
      <c r="M133" s="619"/>
      <c r="N133" s="618"/>
      <c r="O133" s="618"/>
      <c r="P133" s="618"/>
      <c r="Q133" s="618"/>
      <c r="R133" s="619"/>
      <c r="S133" s="564"/>
      <c r="T133" s="611"/>
      <c r="U133" s="564"/>
      <c r="V133" s="564"/>
      <c r="W133" s="564"/>
      <c r="X133" s="564"/>
      <c r="Y133" s="564"/>
      <c r="Z133" s="564"/>
      <c r="AA133" s="564"/>
      <c r="AB133" s="564"/>
      <c r="AC133" s="564"/>
      <c r="AD133" s="564"/>
      <c r="AE133" s="564"/>
    </row>
    <row r="134" spans="1:31" hidden="1" x14ac:dyDescent="0.35">
      <c r="B134" s="31"/>
      <c r="C134" s="31"/>
      <c r="D134" s="31"/>
      <c r="E134" s="31"/>
      <c r="F134" s="588"/>
      <c r="G134" s="31"/>
      <c r="H134" s="589"/>
      <c r="I134" s="589"/>
      <c r="J134" s="589"/>
      <c r="K134" s="590"/>
      <c r="L134" s="589"/>
      <c r="M134" s="590"/>
      <c r="N134" s="589"/>
      <c r="O134" s="589"/>
      <c r="P134" s="589"/>
      <c r="Q134" s="589"/>
      <c r="R134" s="590"/>
      <c r="S134" s="484"/>
      <c r="T134" s="607"/>
      <c r="U134" s="484"/>
      <c r="V134" s="484"/>
      <c r="W134" s="484"/>
      <c r="X134" s="484"/>
      <c r="Y134" s="484"/>
      <c r="Z134" s="484"/>
      <c r="AA134" s="484"/>
      <c r="AB134" s="484"/>
      <c r="AC134" s="484"/>
      <c r="AD134" s="484"/>
      <c r="AE134" s="484"/>
    </row>
    <row r="135" spans="1:31" hidden="1" x14ac:dyDescent="0.35">
      <c r="B135" s="31"/>
      <c r="C135" s="31"/>
      <c r="D135" s="31"/>
      <c r="E135" s="31"/>
      <c r="F135" s="588"/>
      <c r="G135" s="31"/>
      <c r="H135" s="589"/>
      <c r="I135" s="589"/>
      <c r="J135" s="589"/>
      <c r="K135" s="590"/>
      <c r="L135" s="589"/>
      <c r="M135" s="590"/>
      <c r="N135" s="589"/>
      <c r="O135" s="589"/>
      <c r="P135" s="589"/>
      <c r="Q135" s="589"/>
      <c r="R135" s="619"/>
      <c r="S135" s="564"/>
      <c r="T135" s="611"/>
      <c r="U135" s="564"/>
      <c r="V135" s="564"/>
      <c r="W135" s="564"/>
      <c r="X135" s="564"/>
      <c r="Y135" s="564"/>
      <c r="Z135" s="564"/>
      <c r="AA135" s="564"/>
      <c r="AB135" s="564"/>
      <c r="AC135" s="564"/>
      <c r="AD135" s="564"/>
      <c r="AE135" s="564"/>
    </row>
    <row r="136" spans="1:31" s="65" customFormat="1" hidden="1" x14ac:dyDescent="0.35">
      <c r="A136" s="30"/>
      <c r="B136" s="31"/>
      <c r="C136" s="31"/>
      <c r="D136" s="31"/>
      <c r="E136" s="31"/>
      <c r="F136" s="588"/>
      <c r="G136" s="165"/>
      <c r="H136" s="618"/>
      <c r="I136" s="618"/>
      <c r="J136" s="618"/>
      <c r="K136" s="619"/>
      <c r="L136" s="618"/>
      <c r="M136" s="619"/>
      <c r="N136" s="618"/>
      <c r="O136" s="618"/>
      <c r="P136" s="618"/>
      <c r="Q136" s="618"/>
      <c r="R136" s="619"/>
      <c r="S136" s="564"/>
      <c r="T136" s="611"/>
      <c r="U136" s="564"/>
      <c r="V136" s="564"/>
      <c r="W136" s="564"/>
      <c r="X136" s="564"/>
      <c r="Y136" s="564"/>
      <c r="Z136" s="564"/>
      <c r="AA136" s="564"/>
      <c r="AB136" s="564"/>
      <c r="AC136" s="564"/>
      <c r="AD136" s="564"/>
      <c r="AE136" s="564"/>
    </row>
    <row r="137" spans="1:31" s="65" customFormat="1" hidden="1" x14ac:dyDescent="0.35">
      <c r="A137" s="30"/>
      <c r="B137" s="30">
        <f t="shared" ref="B137:D137" si="31">B136</f>
        <v>0</v>
      </c>
      <c r="C137" s="30"/>
      <c r="D137" s="30">
        <f t="shared" si="31"/>
        <v>0</v>
      </c>
      <c r="E137" s="30"/>
      <c r="F137" s="258"/>
      <c r="G137" s="30"/>
      <c r="H137" s="482"/>
      <c r="I137" s="482"/>
      <c r="J137" s="482"/>
      <c r="K137" s="484"/>
      <c r="L137" s="482"/>
      <c r="M137" s="484"/>
      <c r="N137" s="482"/>
      <c r="O137" s="482"/>
      <c r="P137" s="482"/>
      <c r="Q137" s="482"/>
      <c r="R137" s="484"/>
      <c r="S137" s="484"/>
      <c r="T137" s="607"/>
      <c r="U137" s="484"/>
      <c r="V137" s="484"/>
      <c r="W137" s="484"/>
      <c r="X137" s="484"/>
      <c r="Y137" s="484"/>
      <c r="Z137" s="484"/>
      <c r="AA137" s="484"/>
      <c r="AB137" s="484"/>
      <c r="AC137" s="484"/>
      <c r="AD137" s="484"/>
      <c r="AE137" s="484"/>
    </row>
    <row r="138" spans="1:31" s="65" customFormat="1" x14ac:dyDescent="0.35">
      <c r="A138" s="30"/>
      <c r="B138" s="64" t="s">
        <v>3</v>
      </c>
      <c r="C138" s="64" t="s">
        <v>13</v>
      </c>
      <c r="D138" s="64" t="s">
        <v>276</v>
      </c>
      <c r="E138" s="30"/>
      <c r="F138" s="258"/>
      <c r="G138" s="30"/>
      <c r="H138" s="482"/>
      <c r="I138" s="482"/>
      <c r="J138" s="482"/>
      <c r="K138" s="484"/>
      <c r="L138" s="482"/>
      <c r="M138" s="484"/>
      <c r="N138" s="482"/>
      <c r="O138" s="482"/>
      <c r="P138" s="482"/>
      <c r="Q138" s="482"/>
      <c r="R138" s="484"/>
      <c r="S138" s="484"/>
      <c r="T138" s="607"/>
      <c r="U138" s="484"/>
      <c r="V138" s="484"/>
      <c r="W138" s="484"/>
      <c r="X138" s="484"/>
      <c r="Y138" s="484"/>
      <c r="Z138" s="484"/>
      <c r="AA138" s="484"/>
      <c r="AB138" s="484"/>
      <c r="AC138" s="484"/>
      <c r="AD138" s="484"/>
      <c r="AE138" s="484"/>
    </row>
    <row r="139" spans="1:31" s="65" customFormat="1" x14ac:dyDescent="0.35">
      <c r="A139" s="30"/>
      <c r="B139" s="30" t="str">
        <f t="shared" ref="B139:D140" si="32">B138</f>
        <v>Essential</v>
      </c>
      <c r="C139" s="30" t="str">
        <f t="shared" si="32"/>
        <v>Small business</v>
      </c>
      <c r="D139" s="30" t="str">
        <f t="shared" si="32"/>
        <v>flat rate</v>
      </c>
      <c r="E139" s="30" t="s">
        <v>19</v>
      </c>
      <c r="F139" s="258" cm="1">
        <f t="array" ref="F139">IFERROR(_xlfn.XLOOKUP(1,($B139=DistributionZone)*($C139=CustomerType)*($E139=tariffType)*(F$5=Description),valuesFY),0)</f>
        <v>10000</v>
      </c>
      <c r="G139" s="30" t="s">
        <v>220</v>
      </c>
      <c r="H139" s="482" cm="1">
        <f t="array" ref="H139">IFERROR(_xlfn.XLOOKUP(1,($B139=DistributionZone)*($C139=CustomerType)*(H$5=Desc_FixedOrVar)*($G139=Description),valuesPY),0)</f>
        <v>252.45618972980961</v>
      </c>
      <c r="I139" s="482"/>
      <c r="J139" s="482">
        <f>IF(AND(H139="",I139=""),"",H139+I139*$F139/1000)</f>
        <v>252.45618972980961</v>
      </c>
      <c r="K139" s="484">
        <f>IFERROR(J139/J143,"")</f>
        <v>0.64069210218656958</v>
      </c>
      <c r="L139" s="651"/>
      <c r="M139" s="484">
        <f>IF(OR(J139=0,Q139=""),"",Q139/J139-1)</f>
        <v>-0.14754358409058188</v>
      </c>
      <c r="N139" s="651"/>
      <c r="O139" s="482" cm="1">
        <f t="array" ref="O139">IFERROR(_xlfn.XLOOKUP(1,($B139=DistributionZone)*($C139=CustomerType)*(O$5=Desc_FixedOrVar)*($G139=Description),valuesFY),0)</f>
        <v>215.20789867122156</v>
      </c>
      <c r="P139" s="482"/>
      <c r="Q139" s="482">
        <f>IF(AND(O139="",P139=""),"",O139+P139*$F139/1000)</f>
        <v>215.20789867122156</v>
      </c>
      <c r="R139" s="484">
        <f>IFERROR(Q139/Q143,"")</f>
        <v>0.60137478260186239</v>
      </c>
      <c r="S139" s="484"/>
      <c r="T139" s="607"/>
      <c r="U139" s="484"/>
      <c r="V139" s="484"/>
      <c r="W139" s="484"/>
      <c r="X139" s="484"/>
      <c r="Y139" s="484"/>
      <c r="Z139" s="484"/>
      <c r="AA139" s="484"/>
      <c r="AB139" s="484"/>
      <c r="AC139" s="484"/>
      <c r="AD139" s="484"/>
      <c r="AE139" s="484"/>
    </row>
    <row r="140" spans="1:31" s="65" customFormat="1" x14ac:dyDescent="0.35">
      <c r="A140" s="30"/>
      <c r="B140" s="30" t="str">
        <f t="shared" si="32"/>
        <v>Essential</v>
      </c>
      <c r="C140" s="30" t="str">
        <f t="shared" si="32"/>
        <v>Small business</v>
      </c>
      <c r="D140" s="30" t="str">
        <f t="shared" si="32"/>
        <v>flat rate</v>
      </c>
      <c r="E140" s="30" t="s">
        <v>19</v>
      </c>
      <c r="F140" s="258">
        <f>F139</f>
        <v>10000</v>
      </c>
      <c r="G140" s="379" t="s">
        <v>222</v>
      </c>
      <c r="H140" s="482" cm="1">
        <f t="array" ref="H140">IFERROR(_xlfn.XLOOKUP(1,($B140=DistributionZone)*($C140=CustomerType)*(H$5=Desc_FixedOrVar)*($G140=Description),valuesPY),0)</f>
        <v>56.74882841442281</v>
      </c>
      <c r="I140" s="482"/>
      <c r="J140" s="482">
        <f>IF(AND(H140="",I140=""),"",H140+I140*$F140/1000)</f>
        <v>56.74882841442281</v>
      </c>
      <c r="K140" s="484">
        <f>IFERROR(J140/J143,"")</f>
        <v>0.14401915125303155</v>
      </c>
      <c r="L140" s="651"/>
      <c r="M140" s="484">
        <f>IF(OR(J140=0,Q140=""),"",Q140/J140-1)</f>
        <v>0.21461354365189855</v>
      </c>
      <c r="N140" s="651"/>
      <c r="O140" s="482" cm="1">
        <f t="array" ref="O140">IFERROR(_xlfn.XLOOKUP(1,($B140=DistributionZone)*($C140=CustomerType)*(O$5=Desc_FixedOrVar)*($G140=Description),valuesFY),0)</f>
        <v>68.92789557853564</v>
      </c>
      <c r="P140" s="482"/>
      <c r="Q140" s="482">
        <f>IF(AND(O140="",P140=""),"",O140+P140*$F140/1000)</f>
        <v>68.92789557853564</v>
      </c>
      <c r="R140" s="484">
        <f>IFERROR(Q140/Q143,"")</f>
        <v>0.19261141656362821</v>
      </c>
      <c r="S140" s="484"/>
      <c r="T140" s="607"/>
      <c r="U140" s="484"/>
      <c r="V140" s="484"/>
      <c r="W140" s="484"/>
      <c r="X140" s="484"/>
      <c r="Y140" s="484"/>
      <c r="Z140" s="484"/>
      <c r="AA140" s="484"/>
      <c r="AB140" s="484"/>
      <c r="AC140" s="484"/>
      <c r="AD140" s="484"/>
      <c r="AE140" s="484"/>
    </row>
    <row r="141" spans="1:31" x14ac:dyDescent="0.35">
      <c r="B141" s="30" t="str">
        <f t="shared" ref="B141:D142" si="33">B140</f>
        <v>Essential</v>
      </c>
      <c r="C141" s="30" t="str">
        <f t="shared" si="33"/>
        <v>Small business</v>
      </c>
      <c r="D141" s="30" t="str">
        <f t="shared" si="33"/>
        <v>flat rate</v>
      </c>
      <c r="E141" s="30" t="s">
        <v>19</v>
      </c>
      <c r="F141" s="258">
        <f>F140</f>
        <v>10000</v>
      </c>
      <c r="G141" s="30" t="s">
        <v>158</v>
      </c>
      <c r="H141" s="482" cm="1">
        <f t="array" ref="H141">IFERROR(_xlfn.XLOOKUP(1,($B141=DistributionZone)*($C141=CustomerType)*(H$5=Desc_FixedOrVar)*($G141=Description),valuesPY),0)</f>
        <v>80.485123659685812</v>
      </c>
      <c r="I141" s="482"/>
      <c r="J141" s="482">
        <f>IF(AND(H141="",I141=""),"",H141+I141*$F141/1000)</f>
        <v>80.485123659685812</v>
      </c>
      <c r="K141" s="484">
        <f>IFERROR(J141/J143,"")</f>
        <v>0.204257947200497</v>
      </c>
      <c r="L141" s="651"/>
      <c r="M141" s="484">
        <f>IF(OR(J141=0,Q141=""),0,Q141/J141-1)</f>
        <v>-9.5478159205532598E-2</v>
      </c>
      <c r="N141" s="651"/>
      <c r="O141" s="482" cm="1">
        <f t="array" ref="O141">IFERROR(_xlfn.XLOOKUP(1,($B141=DistributionZone)*($C141=CustomerType)*(O$5=Desc_FixedOrVar)*($G141=Description),valuesFY),0)</f>
        <v>72.800552209229352</v>
      </c>
      <c r="P141" s="482"/>
      <c r="Q141" s="482">
        <f>IF(AND(O141="",P141=""),"",O141+P141*$F141/1000)</f>
        <v>72.800552209229352</v>
      </c>
      <c r="R141" s="484">
        <f>IFERROR(Q141/Q143,"")</f>
        <v>0.20343312921337178</v>
      </c>
      <c r="S141" s="484"/>
      <c r="T141" s="607"/>
      <c r="U141" s="484"/>
      <c r="V141" s="484"/>
      <c r="W141" s="484"/>
      <c r="X141" s="484"/>
      <c r="Y141" s="484"/>
      <c r="Z141" s="484"/>
      <c r="AA141" s="484"/>
      <c r="AB141" s="484"/>
      <c r="AC141" s="484"/>
      <c r="AD141" s="484"/>
      <c r="AE141" s="484"/>
    </row>
    <row r="142" spans="1:31" x14ac:dyDescent="0.35">
      <c r="B142" s="30" t="str">
        <f t="shared" si="33"/>
        <v>Essential</v>
      </c>
      <c r="C142" s="30" t="str">
        <f t="shared" si="33"/>
        <v>Small business</v>
      </c>
      <c r="D142" s="30" t="str">
        <f t="shared" si="33"/>
        <v>flat rate</v>
      </c>
      <c r="E142" s="30" t="s">
        <v>19</v>
      </c>
      <c r="F142" s="258">
        <f>F141</f>
        <v>10000</v>
      </c>
      <c r="G142" s="30" t="s">
        <v>190</v>
      </c>
      <c r="H142" s="482" cm="1">
        <f t="array" ref="H142">IFERROR(_xlfn.XLOOKUP(1,($B142=DistributionZone)*($C142=CustomerType)*(H$5=Desc_FixedOrVar)*($G142=Description),valuesPY),0)</f>
        <v>4.346539572707119</v>
      </c>
      <c r="I142" s="482"/>
      <c r="J142" s="482">
        <f>IF(AND(H142="",I142=""),"",H142+I142*$F142/1000)</f>
        <v>4.346539572707119</v>
      </c>
      <c r="K142" s="484">
        <f>IFERROR(J142/J143,"")</f>
        <v>1.1030799359901826E-2</v>
      </c>
      <c r="L142" s="651"/>
      <c r="M142" s="484">
        <f>IF(OR(J142=0,Q142=""),0,Q142/J142-1)</f>
        <v>-0.78752780616252605</v>
      </c>
      <c r="N142" s="651"/>
      <c r="O142" s="482" cm="1">
        <f t="array" ref="O142">IFERROR(_xlfn.XLOOKUP(1,($B142=DistributionZone)*($C142=CustomerType)*(O$5=Desc_FixedOrVar)*($G142=Description),valuesFY),0)</f>
        <v>0.92351879861447805</v>
      </c>
      <c r="P142" s="482"/>
      <c r="Q142" s="482">
        <f>IF(AND(O142="",P142=""),"",O142+P142*$F142/1000)</f>
        <v>0.92351879861447805</v>
      </c>
      <c r="R142" s="484">
        <f>IFERROR(Q142/Q143,"")</f>
        <v>2.5806716211377728E-3</v>
      </c>
      <c r="S142" s="484"/>
      <c r="T142" s="607"/>
      <c r="U142" s="484"/>
      <c r="V142" s="484"/>
      <c r="W142" s="484"/>
      <c r="X142" s="484"/>
      <c r="Y142" s="484"/>
      <c r="Z142" s="484"/>
      <c r="AA142" s="484"/>
      <c r="AB142" s="484"/>
      <c r="AC142" s="484"/>
      <c r="AD142" s="484"/>
      <c r="AE142" s="484"/>
    </row>
    <row r="143" spans="1:31" x14ac:dyDescent="0.35">
      <c r="B143" s="30" t="str">
        <f t="shared" ref="B143:D147" si="34">B142</f>
        <v>Essential</v>
      </c>
      <c r="C143" s="30" t="str">
        <f t="shared" si="34"/>
        <v>Small business</v>
      </c>
      <c r="D143" s="30" t="str">
        <f t="shared" si="34"/>
        <v>flat rate</v>
      </c>
      <c r="E143" s="30" t="s">
        <v>19</v>
      </c>
      <c r="F143" s="258">
        <f>F142</f>
        <v>10000</v>
      </c>
      <c r="G143" s="64" t="s">
        <v>55</v>
      </c>
      <c r="H143" s="487">
        <f>SUM(H139:H142)</f>
        <v>394.03668137662538</v>
      </c>
      <c r="I143" s="487">
        <f>SUM(I139:I142)</f>
        <v>0</v>
      </c>
      <c r="J143" s="487">
        <f>IF(AND(H143="",I143=""),"",H143+I143*$F143/1000)</f>
        <v>394.03668137662538</v>
      </c>
      <c r="K143" s="564"/>
      <c r="L143" s="487"/>
      <c r="M143" s="564">
        <f>IF(OR(J143=0,Q143=""),"",Q143/J143-1)</f>
        <v>-9.1810782672910984E-2</v>
      </c>
      <c r="N143" s="487"/>
      <c r="O143" s="487">
        <f>SUM(O139:O142)</f>
        <v>357.85986525760097</v>
      </c>
      <c r="P143" s="487">
        <f>SUM(P139:P142)</f>
        <v>0</v>
      </c>
      <c r="Q143" s="487">
        <f>IF(AND(O143="",P143=""),"",O143+P143*$F143/1000)</f>
        <v>357.85986525760097</v>
      </c>
      <c r="R143" s="564"/>
      <c r="S143" s="564"/>
      <c r="T143" s="611"/>
      <c r="U143" s="564"/>
      <c r="V143" s="564"/>
      <c r="W143" s="564"/>
      <c r="X143" s="564"/>
      <c r="Y143" s="564"/>
      <c r="Z143" s="564"/>
      <c r="AA143" s="564"/>
      <c r="AB143" s="564"/>
      <c r="AC143" s="564"/>
      <c r="AD143" s="564"/>
      <c r="AE143" s="564"/>
    </row>
    <row r="144" spans="1:31" x14ac:dyDescent="0.35">
      <c r="B144" s="30" t="str">
        <f t="shared" si="34"/>
        <v>Essential</v>
      </c>
      <c r="C144" s="30" t="str">
        <f t="shared" si="34"/>
        <v>Small business</v>
      </c>
      <c r="D144" s="30" t="str">
        <f t="shared" si="34"/>
        <v>flat rate</v>
      </c>
      <c r="E144" s="30" t="s">
        <v>19</v>
      </c>
      <c r="F144" s="258">
        <f>F143</f>
        <v>10000</v>
      </c>
      <c r="G144" s="30" t="s">
        <v>161</v>
      </c>
      <c r="H144" s="482"/>
      <c r="I144" s="482"/>
      <c r="J144" s="482">
        <f>J143*CPIPY</f>
        <v>22.36867432838833</v>
      </c>
      <c r="K144" s="484"/>
      <c r="L144" s="482"/>
      <c r="M144" s="484">
        <f>IF(OR(J144=0,Q144=""),"",Q144/J144-1)</f>
        <v>0.17030470733355285</v>
      </c>
      <c r="N144" s="482"/>
      <c r="O144" s="482"/>
      <c r="P144" s="482"/>
      <c r="Q144" s="482">
        <f>Q143*CPI</f>
        <v>26.178164863324064</v>
      </c>
      <c r="R144" s="484"/>
      <c r="S144" s="484"/>
      <c r="T144" s="607"/>
      <c r="U144" s="484"/>
      <c r="V144" s="484"/>
      <c r="W144" s="484"/>
      <c r="X144" s="484"/>
      <c r="Y144" s="484"/>
      <c r="Z144" s="484"/>
      <c r="AA144" s="484"/>
      <c r="AB144" s="484"/>
      <c r="AC144" s="484"/>
      <c r="AD144" s="484"/>
      <c r="AE144" s="484"/>
    </row>
    <row r="145" spans="1:31" s="65" customFormat="1" x14ac:dyDescent="0.35">
      <c r="A145" s="30"/>
      <c r="B145" s="30" t="str">
        <f t="shared" si="34"/>
        <v>Essential</v>
      </c>
      <c r="C145" s="30" t="str">
        <f t="shared" si="34"/>
        <v>Small business</v>
      </c>
      <c r="D145" s="30" t="str">
        <f t="shared" si="34"/>
        <v>flat rate</v>
      </c>
      <c r="E145" s="30"/>
      <c r="F145" s="258"/>
      <c r="G145" s="30" t="s">
        <v>38</v>
      </c>
      <c r="H145" s="482"/>
      <c r="I145" s="482"/>
      <c r="J145" s="482">
        <f>SUM(J143,J144)*GST</f>
        <v>41.640535570501378</v>
      </c>
      <c r="K145" s="484"/>
      <c r="L145" s="482"/>
      <c r="M145" s="484">
        <f>IF(OR(J145=0,Q145=""),0,Q145/J145-1)</f>
        <v>-7.7730329691095612E-2</v>
      </c>
      <c r="N145" s="482"/>
      <c r="O145" s="482"/>
      <c r="P145" s="482"/>
      <c r="Q145" s="482">
        <f>SUM(Q143,Q144)*GST</f>
        <v>38.40380301209251</v>
      </c>
      <c r="R145" s="564"/>
      <c r="S145" s="564"/>
      <c r="T145" s="611"/>
      <c r="U145" s="564"/>
      <c r="V145" s="564"/>
      <c r="W145" s="564"/>
      <c r="X145" s="564"/>
      <c r="Y145" s="564"/>
      <c r="Z145" s="564"/>
      <c r="AA145" s="564"/>
      <c r="AB145" s="564"/>
      <c r="AC145" s="564"/>
      <c r="AD145" s="564"/>
      <c r="AE145" s="564"/>
    </row>
    <row r="146" spans="1:31" s="65" customFormat="1" x14ac:dyDescent="0.35">
      <c r="A146" s="30"/>
      <c r="B146" s="30" t="str">
        <f t="shared" si="34"/>
        <v>Essential</v>
      </c>
      <c r="C146" s="30" t="str">
        <f t="shared" si="34"/>
        <v>Small business</v>
      </c>
      <c r="D146" s="30" t="str">
        <f t="shared" si="34"/>
        <v>flat rate</v>
      </c>
      <c r="E146" s="30"/>
      <c r="F146" s="258"/>
      <c r="G146" s="64" t="s">
        <v>79</v>
      </c>
      <c r="H146" s="487"/>
      <c r="I146" s="487"/>
      <c r="J146" s="487">
        <f>SUM(J143:J145)</f>
        <v>458.04589127551509</v>
      </c>
      <c r="K146" s="564"/>
      <c r="L146" s="487"/>
      <c r="M146" s="564">
        <f>IF(OR(J146=0,Q146=""),"",Q146/J146-1)</f>
        <v>-7.7730329691095612E-2</v>
      </c>
      <c r="N146" s="487"/>
      <c r="O146" s="487"/>
      <c r="P146" s="487"/>
      <c r="Q146" s="487">
        <f>SUM(Q143:Q145)</f>
        <v>422.44183313301755</v>
      </c>
      <c r="R146" s="564"/>
      <c r="S146" s="564"/>
      <c r="T146" s="611"/>
      <c r="U146" s="564"/>
      <c r="V146" s="564"/>
      <c r="W146" s="564"/>
      <c r="X146" s="564"/>
      <c r="Y146" s="564"/>
      <c r="Z146" s="564"/>
      <c r="AA146" s="564"/>
      <c r="AB146" s="564"/>
      <c r="AC146" s="564"/>
      <c r="AD146" s="564"/>
      <c r="AE146" s="564"/>
    </row>
    <row r="147" spans="1:31" s="65" customFormat="1" x14ac:dyDescent="0.35">
      <c r="A147" s="30"/>
      <c r="B147" s="30" t="str">
        <f t="shared" si="34"/>
        <v>Essential</v>
      </c>
      <c r="C147" s="30" t="str">
        <f t="shared" si="34"/>
        <v>Small business</v>
      </c>
      <c r="D147" s="30" t="str">
        <f t="shared" si="34"/>
        <v>flat rate</v>
      </c>
      <c r="E147" s="30"/>
      <c r="F147" s="258"/>
      <c r="G147" s="30"/>
      <c r="H147" s="482"/>
      <c r="I147" s="482"/>
      <c r="J147" s="482"/>
      <c r="K147" s="484"/>
      <c r="L147" s="482"/>
      <c r="M147" s="484"/>
      <c r="N147" s="482"/>
      <c r="O147" s="482"/>
      <c r="P147" s="482"/>
      <c r="Q147" s="482"/>
      <c r="R147" s="484"/>
      <c r="S147" s="484"/>
      <c r="T147" s="607"/>
      <c r="U147" s="484"/>
      <c r="V147" s="484"/>
      <c r="W147" s="484"/>
      <c r="X147" s="484"/>
      <c r="Y147" s="484"/>
      <c r="Z147" s="484"/>
      <c r="AA147" s="484"/>
      <c r="AB147" s="484"/>
      <c r="AC147" s="484"/>
      <c r="AD147" s="484"/>
      <c r="AE147" s="484"/>
    </row>
    <row r="148" spans="1:31" s="627" customFormat="1" x14ac:dyDescent="0.35">
      <c r="A148" s="570"/>
      <c r="B148" s="571" t="s">
        <v>3</v>
      </c>
      <c r="C148" s="571" t="s">
        <v>13</v>
      </c>
      <c r="D148" s="571" t="s">
        <v>272</v>
      </c>
      <c r="E148" s="570"/>
      <c r="F148" s="485"/>
      <c r="G148" s="570"/>
      <c r="H148" s="574"/>
      <c r="I148" s="574"/>
      <c r="J148" s="574"/>
      <c r="K148" s="575"/>
      <c r="L148" s="574"/>
      <c r="M148" s="575"/>
      <c r="N148" s="574"/>
      <c r="O148" s="574"/>
      <c r="P148" s="574"/>
      <c r="Q148" s="574"/>
      <c r="R148" s="575"/>
      <c r="S148" s="575"/>
      <c r="T148" s="612"/>
      <c r="U148" s="575"/>
      <c r="V148" s="575"/>
      <c r="W148" s="575"/>
      <c r="X148" s="575"/>
      <c r="Y148" s="575"/>
      <c r="Z148" s="575"/>
      <c r="AA148" s="575"/>
      <c r="AB148" s="575"/>
      <c r="AC148" s="575"/>
      <c r="AD148" s="575"/>
      <c r="AE148" s="575"/>
    </row>
    <row r="149" spans="1:31" s="627" customFormat="1" x14ac:dyDescent="0.35">
      <c r="A149" s="570"/>
      <c r="B149" s="570" t="str">
        <f t="shared" ref="B149:B157" si="35">B148</f>
        <v>Essential</v>
      </c>
      <c r="C149" s="570" t="str">
        <f t="shared" ref="C149:C157" si="36">C148</f>
        <v>Small business</v>
      </c>
      <c r="D149" s="570" t="str">
        <f t="shared" ref="D149:D157" si="37">D148</f>
        <v>time of use</v>
      </c>
      <c r="E149" s="570" t="s">
        <v>19</v>
      </c>
      <c r="F149" s="485" cm="1">
        <f t="array" ref="F149">IFERROR(_xlfn.XLOOKUP(1,($B149=DistributionZone)*($C149=CustomerType)*($E149=tariffType)*(F$5=Description),valuesFY),0)</f>
        <v>10000</v>
      </c>
      <c r="G149" s="570" t="s">
        <v>220</v>
      </c>
      <c r="H149" s="574" cm="1">
        <f t="array" ref="H149">IFERROR(_xlfn.XLOOKUP(1,($B149=DistributionZone)*($C149=CustomerType)*(H$5=Desc_FixedOrVar)*($G149=Description),valuesPY),0)</f>
        <v>252.45618972980961</v>
      </c>
      <c r="I149" s="574"/>
      <c r="J149" s="574">
        <f>IF(AND(H149="",I149=""),"",H149+I149*$F149/1000)</f>
        <v>252.45618972980961</v>
      </c>
      <c r="K149" s="575" t="str">
        <f>IFERROR(J149/J153,"")</f>
        <v/>
      </c>
      <c r="L149" s="654"/>
      <c r="M149" s="575">
        <f>IF(OR(J149=0,Q149=""),"",Q149/J149-1)</f>
        <v>-0.14754358409058188</v>
      </c>
      <c r="N149" s="654"/>
      <c r="O149" s="574" cm="1">
        <f t="array" ref="O149">IFERROR(_xlfn.XLOOKUP(1,($B149=DistributionZone)*($C149=CustomerType)*(O$5=Desc_FixedOrVar)*($G149=Description),valuesFY),0)</f>
        <v>215.20789867122156</v>
      </c>
      <c r="P149" s="574"/>
      <c r="Q149" s="574">
        <f>IF(AND(O149="",P149=""),"",O149+P149*$F149/1000)</f>
        <v>215.20789867122156</v>
      </c>
      <c r="R149" s="575">
        <f>IFERROR(Q149/Q153,"")</f>
        <v>0.60137478260186239</v>
      </c>
      <c r="S149" s="575"/>
      <c r="T149" s="612"/>
      <c r="U149" s="575"/>
      <c r="V149" s="575"/>
      <c r="W149" s="575"/>
      <c r="X149" s="575"/>
      <c r="Y149" s="575"/>
      <c r="Z149" s="575"/>
      <c r="AA149" s="575"/>
      <c r="AB149" s="575"/>
      <c r="AC149" s="575"/>
      <c r="AD149" s="575"/>
      <c r="AE149" s="575"/>
    </row>
    <row r="150" spans="1:31" s="627" customFormat="1" x14ac:dyDescent="0.35">
      <c r="A150" s="570"/>
      <c r="B150" s="570" t="str">
        <f t="shared" si="35"/>
        <v>Essential</v>
      </c>
      <c r="C150" s="570" t="str">
        <f t="shared" si="36"/>
        <v>Small business</v>
      </c>
      <c r="D150" s="570" t="str">
        <f t="shared" si="37"/>
        <v>time of use</v>
      </c>
      <c r="E150" s="570" t="s">
        <v>19</v>
      </c>
      <c r="F150" s="485">
        <f>F149</f>
        <v>10000</v>
      </c>
      <c r="G150" s="615" t="s">
        <v>222</v>
      </c>
      <c r="H150" s="574" cm="1">
        <f t="array" ref="H150">IFERROR(_xlfn.XLOOKUP(1,($B150=DistributionZone)*($C150=CustomerType)*(H$5=Desc_FixedOrVar)*($G150=Description),valuesPY),0)</f>
        <v>56.74882841442281</v>
      </c>
      <c r="I150" s="574"/>
      <c r="J150" s="574">
        <f>IF(AND(H150="",I150=""),"",H150+I150*$F150/1000)</f>
        <v>56.74882841442281</v>
      </c>
      <c r="K150" s="575" t="str">
        <f>IFERROR(J150/J153,"")</f>
        <v/>
      </c>
      <c r="L150" s="654"/>
      <c r="M150" s="575">
        <f>IF(OR(J150=0,Q150=""),"",Q150/J150-1)</f>
        <v>0.21461354365189855</v>
      </c>
      <c r="N150" s="654"/>
      <c r="O150" s="574" cm="1">
        <f t="array" ref="O150">IFERROR(_xlfn.XLOOKUP(1,($B150=DistributionZone)*($C150=CustomerType)*(O$5=Desc_FixedOrVar)*($G150=Description),valuesFY),0)</f>
        <v>68.92789557853564</v>
      </c>
      <c r="P150" s="574"/>
      <c r="Q150" s="574">
        <f>IF(AND(O150="",P150=""),"",O150+P150*$F150/1000)</f>
        <v>68.92789557853564</v>
      </c>
      <c r="R150" s="575">
        <f>IFERROR(Q150/Q153,"")</f>
        <v>0.19261141656362821</v>
      </c>
      <c r="S150" s="575"/>
      <c r="T150" s="612"/>
      <c r="U150" s="575"/>
      <c r="V150" s="575"/>
      <c r="W150" s="575"/>
      <c r="X150" s="575"/>
      <c r="Y150" s="575"/>
      <c r="Z150" s="575"/>
      <c r="AA150" s="575"/>
      <c r="AB150" s="575"/>
      <c r="AC150" s="575"/>
      <c r="AD150" s="575"/>
      <c r="AE150" s="575"/>
    </row>
    <row r="151" spans="1:31" s="570" customFormat="1" x14ac:dyDescent="0.35">
      <c r="B151" s="570" t="str">
        <f t="shared" si="35"/>
        <v>Essential</v>
      </c>
      <c r="C151" s="570" t="str">
        <f t="shared" si="36"/>
        <v>Small business</v>
      </c>
      <c r="D151" s="570" t="str">
        <f t="shared" si="37"/>
        <v>time of use</v>
      </c>
      <c r="E151" s="570" t="s">
        <v>19</v>
      </c>
      <c r="F151" s="485">
        <f>F150</f>
        <v>10000</v>
      </c>
      <c r="G151" s="570" t="s">
        <v>158</v>
      </c>
      <c r="H151" s="574" cm="1">
        <f t="array" ref="H151">IFERROR(_xlfn.XLOOKUP(1,($B151=DistributionZone)*($C151=CustomerType)*(H$5=Desc_FixedOrVar)*($G151=Description),valuesPY),0)</f>
        <v>80.485123659685812</v>
      </c>
      <c r="I151" s="574"/>
      <c r="J151" s="574">
        <f>IF(AND(H151="",I151=""),"",H151+I151*$F151/1000)</f>
        <v>80.485123659685812</v>
      </c>
      <c r="K151" s="575" t="str">
        <f>IFERROR(J151/J153,"")</f>
        <v/>
      </c>
      <c r="L151" s="654"/>
      <c r="M151" s="575">
        <f>IF(OR(J151=0,Q151=""),0,Q151/J151-1)</f>
        <v>-9.5478159205532598E-2</v>
      </c>
      <c r="N151" s="654"/>
      <c r="O151" s="574" cm="1">
        <f t="array" ref="O151">IFERROR(_xlfn.XLOOKUP(1,($B151=DistributionZone)*($C151=CustomerType)*(O$5=Desc_FixedOrVar)*($G151=Description),valuesFY),0)</f>
        <v>72.800552209229352</v>
      </c>
      <c r="P151" s="574"/>
      <c r="Q151" s="574">
        <f>IF(AND(O151="",P151=""),"",O151+P151*$F151/1000)</f>
        <v>72.800552209229352</v>
      </c>
      <c r="R151" s="575">
        <f>IFERROR(Q151/Q153,"")</f>
        <v>0.20343312921337178</v>
      </c>
      <c r="S151" s="575"/>
      <c r="T151" s="612"/>
      <c r="U151" s="575"/>
      <c r="V151" s="575"/>
      <c r="W151" s="575"/>
      <c r="X151" s="575"/>
      <c r="Y151" s="575"/>
      <c r="Z151" s="575"/>
      <c r="AA151" s="575"/>
      <c r="AB151" s="575"/>
      <c r="AC151" s="575"/>
      <c r="AD151" s="575"/>
      <c r="AE151" s="575"/>
    </row>
    <row r="152" spans="1:31" s="570" customFormat="1" x14ac:dyDescent="0.35">
      <c r="B152" s="570" t="str">
        <f t="shared" si="35"/>
        <v>Essential</v>
      </c>
      <c r="C152" s="570" t="str">
        <f t="shared" si="36"/>
        <v>Small business</v>
      </c>
      <c r="D152" s="570" t="str">
        <f t="shared" si="37"/>
        <v>time of use</v>
      </c>
      <c r="E152" s="570" t="s">
        <v>19</v>
      </c>
      <c r="F152" s="485">
        <f>F151</f>
        <v>10000</v>
      </c>
      <c r="G152" s="570" t="s">
        <v>190</v>
      </c>
      <c r="H152" s="574" cm="1">
        <f t="array" ref="H152">IFERROR(_xlfn.XLOOKUP(1,($B152=DistributionZone)*($C152=CustomerType)*(H$5=Desc_FixedOrVar)*($G152=Description),valuesPY),0)</f>
        <v>4.346539572707119</v>
      </c>
      <c r="I152" s="574"/>
      <c r="J152" s="574">
        <f>IF(AND(H152="",I152=""),"",H152+I152*$F152/1000)</f>
        <v>4.346539572707119</v>
      </c>
      <c r="K152" s="575" t="str">
        <f>IFERROR(J152/J153,"")</f>
        <v/>
      </c>
      <c r="L152" s="654"/>
      <c r="M152" s="575">
        <f>IF(OR(J152=0,Q152=""),0,Q152/J152-1)</f>
        <v>-0.78752780616252605</v>
      </c>
      <c r="N152" s="654"/>
      <c r="O152" s="574" cm="1">
        <f t="array" ref="O152">IFERROR(_xlfn.XLOOKUP(1,($B152=DistributionZone)*($C152=CustomerType)*(O$5=Desc_FixedOrVar)*($G152=Description),valuesFY),0)</f>
        <v>0.92351879861447805</v>
      </c>
      <c r="P152" s="574"/>
      <c r="Q152" s="574">
        <f>IF(AND(O152="",P152=""),"",O152+P152*$F152/1000)</f>
        <v>0.92351879861447805</v>
      </c>
      <c r="R152" s="575">
        <f>IFERROR(Q152/Q153,"")</f>
        <v>2.5806716211377728E-3</v>
      </c>
      <c r="S152" s="575"/>
      <c r="T152" s="612"/>
      <c r="U152" s="575"/>
      <c r="V152" s="575"/>
      <c r="W152" s="575"/>
      <c r="X152" s="575"/>
      <c r="Y152" s="575"/>
      <c r="Z152" s="575"/>
      <c r="AA152" s="575"/>
      <c r="AB152" s="575"/>
      <c r="AC152" s="575"/>
      <c r="AD152" s="575"/>
      <c r="AE152" s="575"/>
    </row>
    <row r="153" spans="1:31" s="570" customFormat="1" x14ac:dyDescent="0.35">
      <c r="B153" s="570" t="str">
        <f t="shared" si="35"/>
        <v>Essential</v>
      </c>
      <c r="C153" s="570" t="str">
        <f t="shared" si="36"/>
        <v>Small business</v>
      </c>
      <c r="D153" s="570" t="str">
        <f t="shared" si="37"/>
        <v>time of use</v>
      </c>
      <c r="E153" s="570" t="s">
        <v>272</v>
      </c>
      <c r="F153" s="485">
        <f>F152</f>
        <v>10000</v>
      </c>
      <c r="G153" s="571" t="s">
        <v>55</v>
      </c>
      <c r="H153" s="577">
        <f>IF($H$3=PY,0,SUM(H149:H152))</f>
        <v>0</v>
      </c>
      <c r="I153" s="577">
        <f>SUM(I149:I152)</f>
        <v>0</v>
      </c>
      <c r="J153" s="577">
        <f>IF($H$3=PY,0,IF(AND(H153="",I153=""),"",H153+I153*$F153/1000))</f>
        <v>0</v>
      </c>
      <c r="K153" s="578"/>
      <c r="L153" s="577"/>
      <c r="M153" s="578" t="str">
        <f>IF(OR(J153=0,Q153=""),"",Q153/J153-1)</f>
        <v/>
      </c>
      <c r="N153" s="577"/>
      <c r="O153" s="577">
        <f>SUM(O149:O152)</f>
        <v>357.85986525760097</v>
      </c>
      <c r="P153" s="577">
        <f>SUM(P149:P152)</f>
        <v>0</v>
      </c>
      <c r="Q153" s="577">
        <f>IF(AND(O153="",P153=""),"",O153+P153*$F153/1000)</f>
        <v>357.85986525760097</v>
      </c>
      <c r="R153" s="578"/>
      <c r="S153" s="578"/>
      <c r="T153" s="621"/>
      <c r="U153" s="578"/>
      <c r="V153" s="578"/>
      <c r="W153" s="578"/>
      <c r="X153" s="578"/>
      <c r="Y153" s="578"/>
      <c r="Z153" s="578"/>
      <c r="AA153" s="578"/>
      <c r="AB153" s="578"/>
      <c r="AC153" s="578"/>
      <c r="AD153" s="578"/>
      <c r="AE153" s="578"/>
    </row>
    <row r="154" spans="1:31" s="570" customFormat="1" x14ac:dyDescent="0.35">
      <c r="B154" s="570" t="str">
        <f t="shared" si="35"/>
        <v>Essential</v>
      </c>
      <c r="C154" s="570" t="str">
        <f t="shared" si="36"/>
        <v>Small business</v>
      </c>
      <c r="D154" s="570" t="str">
        <f t="shared" si="37"/>
        <v>time of use</v>
      </c>
      <c r="E154" s="570" t="s">
        <v>272</v>
      </c>
      <c r="F154" s="485">
        <f>F153</f>
        <v>10000</v>
      </c>
      <c r="G154" s="570" t="s">
        <v>161</v>
      </c>
      <c r="H154" s="574"/>
      <c r="I154" s="574"/>
      <c r="J154" s="574">
        <f>J153*CPIPY</f>
        <v>0</v>
      </c>
      <c r="K154" s="575"/>
      <c r="L154" s="574"/>
      <c r="M154" s="575" t="str">
        <f>IF(OR(J154=0,Q154=""),"",Q154/J154-1)</f>
        <v/>
      </c>
      <c r="N154" s="574"/>
      <c r="O154" s="574"/>
      <c r="P154" s="574"/>
      <c r="Q154" s="574">
        <f>Q153*CPI</f>
        <v>26.178164863324064</v>
      </c>
      <c r="R154" s="575"/>
      <c r="S154" s="575"/>
      <c r="T154" s="612"/>
      <c r="U154" s="575"/>
      <c r="V154" s="575"/>
      <c r="W154" s="575"/>
      <c r="X154" s="575"/>
      <c r="Y154" s="575"/>
      <c r="Z154" s="575"/>
      <c r="AA154" s="575"/>
      <c r="AB154" s="575"/>
      <c r="AC154" s="575"/>
      <c r="AD154" s="575"/>
      <c r="AE154" s="575"/>
    </row>
    <row r="155" spans="1:31" s="627" customFormat="1" x14ac:dyDescent="0.35">
      <c r="A155" s="570"/>
      <c r="B155" s="570" t="str">
        <f t="shared" si="35"/>
        <v>Essential</v>
      </c>
      <c r="C155" s="570" t="str">
        <f t="shared" si="36"/>
        <v>Small business</v>
      </c>
      <c r="D155" s="570" t="str">
        <f t="shared" si="37"/>
        <v>time of use</v>
      </c>
      <c r="E155" s="570"/>
      <c r="F155" s="485"/>
      <c r="G155" s="570" t="s">
        <v>38</v>
      </c>
      <c r="H155" s="574"/>
      <c r="I155" s="574"/>
      <c r="J155" s="574">
        <f>SUM(J153,J154)*GST</f>
        <v>0</v>
      </c>
      <c r="K155" s="575"/>
      <c r="L155" s="574"/>
      <c r="M155" s="575">
        <f>IF(OR(J155=0,Q155=""),0,Q155/J155-1)</f>
        <v>0</v>
      </c>
      <c r="N155" s="574"/>
      <c r="O155" s="574"/>
      <c r="P155" s="574"/>
      <c r="Q155" s="574">
        <f>SUM(Q153,Q154)*GST</f>
        <v>38.40380301209251</v>
      </c>
      <c r="R155" s="578"/>
      <c r="S155" s="578"/>
      <c r="T155" s="621"/>
      <c r="U155" s="578"/>
      <c r="V155" s="578"/>
      <c r="W155" s="578"/>
      <c r="X155" s="578"/>
      <c r="Y155" s="578"/>
      <c r="Z155" s="578"/>
      <c r="AA155" s="578"/>
      <c r="AB155" s="578"/>
      <c r="AC155" s="578"/>
      <c r="AD155" s="578"/>
      <c r="AE155" s="578"/>
    </row>
    <row r="156" spans="1:31" s="627" customFormat="1" x14ac:dyDescent="0.35">
      <c r="A156" s="570"/>
      <c r="B156" s="570" t="str">
        <f t="shared" si="35"/>
        <v>Essential</v>
      </c>
      <c r="C156" s="570" t="str">
        <f t="shared" si="36"/>
        <v>Small business</v>
      </c>
      <c r="D156" s="570" t="str">
        <f t="shared" si="37"/>
        <v>time of use</v>
      </c>
      <c r="E156" s="570" t="s">
        <v>272</v>
      </c>
      <c r="F156" s="485"/>
      <c r="G156" s="571" t="s">
        <v>79</v>
      </c>
      <c r="H156" s="577"/>
      <c r="I156" s="577"/>
      <c r="J156" s="577">
        <f>SUM(J153:J155)</f>
        <v>0</v>
      </c>
      <c r="K156" s="578"/>
      <c r="L156" s="577"/>
      <c r="M156" s="578" t="str">
        <f>IF(OR(J156=0,Q156=""),"",Q156/J156-1)</f>
        <v/>
      </c>
      <c r="N156" s="577"/>
      <c r="O156" s="577"/>
      <c r="P156" s="577"/>
      <c r="Q156" s="577">
        <f>SUM(Q153:Q155)</f>
        <v>422.44183313301755</v>
      </c>
      <c r="R156" s="578"/>
      <c r="S156" s="578"/>
      <c r="T156" s="621"/>
      <c r="U156" s="578"/>
      <c r="V156" s="578"/>
      <c r="W156" s="578"/>
      <c r="X156" s="578"/>
      <c r="Y156" s="578"/>
      <c r="Z156" s="578"/>
      <c r="AA156" s="578"/>
      <c r="AB156" s="578"/>
      <c r="AC156" s="578"/>
      <c r="AD156" s="578"/>
      <c r="AE156" s="578"/>
    </row>
    <row r="157" spans="1:31" s="627" customFormat="1" x14ac:dyDescent="0.35">
      <c r="A157" s="570"/>
      <c r="B157" s="570" t="str">
        <f t="shared" si="35"/>
        <v>Essential</v>
      </c>
      <c r="C157" s="570" t="str">
        <f t="shared" si="36"/>
        <v>Small business</v>
      </c>
      <c r="D157" s="570" t="str">
        <f t="shared" si="37"/>
        <v>time of use</v>
      </c>
      <c r="E157" s="570"/>
      <c r="F157" s="485"/>
      <c r="G157" s="570"/>
      <c r="H157" s="574"/>
      <c r="I157" s="574"/>
      <c r="J157" s="574"/>
      <c r="K157" s="575"/>
      <c r="L157" s="574"/>
      <c r="M157" s="575"/>
      <c r="N157" s="574"/>
      <c r="O157" s="574"/>
      <c r="P157" s="574"/>
      <c r="Q157" s="574"/>
      <c r="R157" s="575"/>
      <c r="S157" s="575"/>
      <c r="T157" s="612"/>
      <c r="U157" s="575"/>
      <c r="V157" s="575"/>
      <c r="W157" s="575"/>
      <c r="X157" s="575"/>
      <c r="Y157" s="575"/>
      <c r="Z157" s="575"/>
      <c r="AA157" s="575"/>
      <c r="AB157" s="575"/>
      <c r="AC157" s="575"/>
      <c r="AD157" s="575"/>
      <c r="AE157" s="575"/>
    </row>
    <row r="158" spans="1:31" s="65" customFormat="1" x14ac:dyDescent="0.35">
      <c r="A158" s="30"/>
      <c r="B158" s="64" t="s">
        <v>0</v>
      </c>
      <c r="C158" s="64" t="s">
        <v>6</v>
      </c>
      <c r="D158" s="64" t="s">
        <v>276</v>
      </c>
      <c r="E158" s="30"/>
      <c r="F158" s="258"/>
      <c r="G158" s="30"/>
      <c r="H158" s="482"/>
      <c r="I158" s="482"/>
      <c r="J158" s="482"/>
      <c r="K158" s="484"/>
      <c r="L158" s="651"/>
      <c r="M158" s="484"/>
      <c r="N158" s="651"/>
      <c r="O158" s="482"/>
      <c r="P158" s="482"/>
      <c r="Q158" s="482"/>
      <c r="R158" s="484"/>
      <c r="S158" s="484"/>
      <c r="T158" s="607"/>
      <c r="U158" s="484"/>
      <c r="V158" s="484"/>
      <c r="W158" s="484"/>
      <c r="X158" s="484"/>
      <c r="Y158" s="484"/>
      <c r="Z158" s="484"/>
      <c r="AA158" s="484"/>
      <c r="AB158" s="484"/>
      <c r="AC158" s="484"/>
      <c r="AD158" s="484"/>
      <c r="AE158" s="484"/>
    </row>
    <row r="159" spans="1:31" s="65" customFormat="1" x14ac:dyDescent="0.35">
      <c r="A159" s="30"/>
      <c r="B159" s="30" t="str">
        <f t="shared" ref="B159:D160" si="38">B158</f>
        <v>Energex</v>
      </c>
      <c r="C159" s="30" t="str">
        <f t="shared" si="38"/>
        <v>Residential</v>
      </c>
      <c r="D159" s="30" t="str">
        <f t="shared" si="38"/>
        <v>flat rate</v>
      </c>
      <c r="E159" s="30" t="s">
        <v>19</v>
      </c>
      <c r="F159" s="258" cm="1">
        <f t="array" ref="F159">IFERROR(_xlfn.XLOOKUP(1,($B159=DistributionZone)*($C159=CustomerType)*($E159=tariffType)*(F$5=Description),valuesFY),0)</f>
        <v>4600</v>
      </c>
      <c r="G159" s="30" t="s">
        <v>220</v>
      </c>
      <c r="H159" s="482" cm="1">
        <f t="array" ref="H159">IFERROR(_xlfn.XLOOKUP(1,($B159=DistributionZone)*($C159=CustomerType)*(H$5=Desc_FixedOrVar)*($G159=Description),valuesPY),0)</f>
        <v>181.98637191671125</v>
      </c>
      <c r="I159" s="482"/>
      <c r="J159" s="482">
        <f>IF(AND(H159="",I159=""),"",H159+I159*$F159/1000)</f>
        <v>181.98637191671125</v>
      </c>
      <c r="K159" s="484">
        <f>IFERROR(J159/J163,"")</f>
        <v>0.64456707247066181</v>
      </c>
      <c r="L159" s="651"/>
      <c r="M159" s="484">
        <f>IF(OR(J159=0,Q159=""),"",Q159/J159-1)</f>
        <v>-0.19128865361986747</v>
      </c>
      <c r="N159" s="651"/>
      <c r="O159" s="482" cm="1">
        <f t="array" ref="O159">IFERROR(_xlfn.XLOOKUP(1,($B159=DistributionZone)*($C159=CustomerType)*(O$5=Desc_FixedOrVar)*($G159=Description),valuesFY),0)</f>
        <v>147.17444385559909</v>
      </c>
      <c r="P159" s="482"/>
      <c r="Q159" s="482">
        <f>IF(AND(O159="",P159=""),"",O159+P159*$F159/1000)</f>
        <v>147.17444385559909</v>
      </c>
      <c r="R159" s="484">
        <f>IFERROR(Q159/Q163,"")</f>
        <v>0.60956303651273347</v>
      </c>
      <c r="S159" s="484"/>
      <c r="T159" s="607"/>
      <c r="U159" s="484"/>
      <c r="V159" s="484"/>
      <c r="W159" s="484"/>
      <c r="X159" s="484"/>
      <c r="Y159" s="484"/>
      <c r="Z159" s="484"/>
      <c r="AA159" s="484"/>
      <c r="AB159" s="484"/>
      <c r="AC159" s="484"/>
      <c r="AD159" s="484"/>
      <c r="AE159" s="484"/>
    </row>
    <row r="160" spans="1:31" s="65" customFormat="1" x14ac:dyDescent="0.35">
      <c r="A160" s="30"/>
      <c r="B160" s="30" t="str">
        <f t="shared" si="38"/>
        <v>Energex</v>
      </c>
      <c r="C160" s="30" t="str">
        <f t="shared" si="38"/>
        <v>Residential</v>
      </c>
      <c r="D160" s="30" t="str">
        <f t="shared" si="38"/>
        <v>flat rate</v>
      </c>
      <c r="E160" s="30" t="s">
        <v>19</v>
      </c>
      <c r="F160" s="258">
        <f>F159</f>
        <v>4600</v>
      </c>
      <c r="G160" s="379" t="s">
        <v>222</v>
      </c>
      <c r="H160" s="482" cm="1">
        <f t="array" ref="H160">IFERROR(_xlfn.XLOOKUP(1,($B160=DistributionZone)*($C160=CustomerType)*(H$5=Desc_FixedOrVar)*($G160=Description),valuesPY),0)</f>
        <v>62.265266157593501</v>
      </c>
      <c r="I160" s="482"/>
      <c r="J160" s="482">
        <f>IF(AND(H160="",I160=""),"",H160+I160*$F160/1000)</f>
        <v>62.265266157593501</v>
      </c>
      <c r="K160" s="484">
        <f>IFERROR(J160/J163,"")</f>
        <v>0.22053376800200514</v>
      </c>
      <c r="L160" s="651"/>
      <c r="M160" s="484">
        <f>IF(OR(J160=0,Q160=""),"",Q160/J160-1)</f>
        <v>3.8858774070931412E-2</v>
      </c>
      <c r="N160" s="651"/>
      <c r="O160" s="482" cm="1">
        <f t="array" ref="O160">IFERROR(_xlfn.XLOOKUP(1,($B160=DistributionZone)*($C160=CustomerType)*(O$5=Desc_FixedOrVar)*($G160=Description),valuesFY),0)</f>
        <v>64.684818067677838</v>
      </c>
      <c r="P160" s="482"/>
      <c r="Q160" s="482">
        <f>IF(AND(O160="",P160=""),"",O160+P160*$F160/1000)</f>
        <v>64.684818067677838</v>
      </c>
      <c r="R160" s="484">
        <f>IFERROR(Q160/Q163,"")</f>
        <v>0.26790978844325608</v>
      </c>
      <c r="S160" s="484"/>
      <c r="T160" s="607"/>
      <c r="U160" s="484"/>
      <c r="V160" s="484"/>
      <c r="W160" s="484"/>
      <c r="X160" s="484"/>
      <c r="Y160" s="484"/>
      <c r="Z160" s="484"/>
      <c r="AA160" s="484"/>
      <c r="AB160" s="484"/>
      <c r="AC160" s="484"/>
      <c r="AD160" s="484"/>
      <c r="AE160" s="484"/>
    </row>
    <row r="161" spans="1:31" x14ac:dyDescent="0.35">
      <c r="B161" s="30" t="str">
        <f t="shared" ref="B161:D162" si="39">B160</f>
        <v>Energex</v>
      </c>
      <c r="C161" s="30" t="str">
        <f t="shared" si="39"/>
        <v>Residential</v>
      </c>
      <c r="D161" s="30" t="str">
        <f t="shared" si="39"/>
        <v>flat rate</v>
      </c>
      <c r="E161" s="30" t="s">
        <v>19</v>
      </c>
      <c r="F161" s="258">
        <f>F160</f>
        <v>4600</v>
      </c>
      <c r="G161" s="30" t="s">
        <v>158</v>
      </c>
      <c r="H161" s="482" cm="1">
        <f t="array" ref="H161">IFERROR(_xlfn.XLOOKUP(1,($B161=DistributionZone)*($C161=CustomerType)*(H$5=Desc_FixedOrVar)*($G161=Description),valuesPY),0)</f>
        <v>35.445506286367262</v>
      </c>
      <c r="I161" s="482"/>
      <c r="J161" s="482">
        <f>IF(AND(H161="",I161=""),"",H161+I161*$F161/1000)</f>
        <v>35.445506286367262</v>
      </c>
      <c r="K161" s="484">
        <f>IFERROR(J161/J163,"")</f>
        <v>0.12554240176676779</v>
      </c>
      <c r="L161" s="651"/>
      <c r="M161" s="484">
        <f>IF(OR(J161=0,Q161=""),0,Q161/J161-1)</f>
        <v>-0.18336623777898997</v>
      </c>
      <c r="N161" s="651"/>
      <c r="O161" s="482" cm="1">
        <f t="array" ref="O161">IFERROR(_xlfn.XLOOKUP(1,($B161=DistributionZone)*($C161=CustomerType)*(O$5=Desc_FixedOrVar)*($G161=Description),valuesFY),0)</f>
        <v>28.94599715246456</v>
      </c>
      <c r="P161" s="482"/>
      <c r="Q161" s="482">
        <f>IF(AND(O161="",P161=""),"",O161+P161*$F161/1000)</f>
        <v>28.94599715246456</v>
      </c>
      <c r="R161" s="484">
        <f>IFERROR(Q161/Q163,"")</f>
        <v>0.11988772953310514</v>
      </c>
      <c r="S161" s="484"/>
      <c r="T161" s="607"/>
      <c r="U161" s="484"/>
      <c r="V161" s="484"/>
      <c r="W161" s="484"/>
      <c r="X161" s="484"/>
      <c r="Y161" s="484"/>
      <c r="Z161" s="484"/>
      <c r="AA161" s="484"/>
      <c r="AB161" s="484"/>
      <c r="AC161" s="484"/>
      <c r="AD161" s="484"/>
      <c r="AE161" s="484"/>
    </row>
    <row r="162" spans="1:31" x14ac:dyDescent="0.35">
      <c r="B162" s="30" t="str">
        <f t="shared" si="39"/>
        <v>Energex</v>
      </c>
      <c r="C162" s="30" t="str">
        <f t="shared" si="39"/>
        <v>Residential</v>
      </c>
      <c r="D162" s="30" t="str">
        <f t="shared" si="39"/>
        <v>flat rate</v>
      </c>
      <c r="E162" s="30" t="s">
        <v>19</v>
      </c>
      <c r="F162" s="258">
        <f>F161</f>
        <v>4600</v>
      </c>
      <c r="G162" s="30" t="s">
        <v>190</v>
      </c>
      <c r="H162" s="482" cm="1">
        <f t="array" ref="H162">IFERROR(_xlfn.XLOOKUP(1,($B162=DistributionZone)*($C162=CustomerType)*(H$5=Desc_FixedOrVar)*($G162=Description),valuesPY),0)</f>
        <v>2.6417768925456344</v>
      </c>
      <c r="I162" s="482"/>
      <c r="J162" s="482">
        <f>IF(AND(H162="",I162=""),"",H162+I162*$F162/1000)</f>
        <v>2.6417768925456344</v>
      </c>
      <c r="K162" s="484">
        <f>IFERROR(J162/J163,"")</f>
        <v>9.3567577605651406E-3</v>
      </c>
      <c r="L162" s="651"/>
      <c r="M162" s="484">
        <f>IF(OR(J162=0,Q162=""),0,Q162/J162-1)</f>
        <v>-0.75877054078570783</v>
      </c>
      <c r="N162" s="651"/>
      <c r="O162" s="482" cm="1">
        <f t="array" ref="O162">IFERROR(_xlfn.XLOOKUP(1,($B162=DistributionZone)*($C162=CustomerType)*(O$5=Desc_FixedOrVar)*($G162=Description),valuesFY),0)</f>
        <v>0.63727441115359662</v>
      </c>
      <c r="P162" s="482"/>
      <c r="Q162" s="482">
        <f>IF(AND(O162="",P162=""),"",O162+P162*$F162/1000)</f>
        <v>0.63727441115359662</v>
      </c>
      <c r="R162" s="484">
        <f>IFERROR(Q162/Q163,"")</f>
        <v>2.6394455109053365E-3</v>
      </c>
      <c r="S162" s="484"/>
      <c r="T162" s="607"/>
      <c r="U162" s="484"/>
      <c r="V162" s="484"/>
      <c r="W162" s="484"/>
      <c r="X162" s="484"/>
      <c r="Y162" s="484"/>
      <c r="Z162" s="484"/>
      <c r="AA162" s="484"/>
      <c r="AB162" s="484"/>
      <c r="AC162" s="484"/>
      <c r="AD162" s="484"/>
      <c r="AE162" s="484"/>
    </row>
    <row r="163" spans="1:31" x14ac:dyDescent="0.35">
      <c r="B163" s="30" t="str">
        <f t="shared" ref="B163:D167" si="40">B162</f>
        <v>Energex</v>
      </c>
      <c r="C163" s="30" t="str">
        <f t="shared" si="40"/>
        <v>Residential</v>
      </c>
      <c r="D163" s="30" t="str">
        <f t="shared" si="40"/>
        <v>flat rate</v>
      </c>
      <c r="E163" s="30" t="s">
        <v>19</v>
      </c>
      <c r="F163" s="258">
        <f>F162</f>
        <v>4600</v>
      </c>
      <c r="G163" s="64" t="s">
        <v>55</v>
      </c>
      <c r="H163" s="487">
        <f>SUM(H159:H162)</f>
        <v>282.33892125321768</v>
      </c>
      <c r="I163" s="487">
        <f>SUM(I159:I162)</f>
        <v>0</v>
      </c>
      <c r="J163" s="487">
        <f>IF(AND(H163="",I163=""),"",H163+I163*$F163/1000)</f>
        <v>282.33892125321768</v>
      </c>
      <c r="K163" s="564"/>
      <c r="L163" s="487"/>
      <c r="M163" s="564">
        <f>IF(OR(J163=0,Q163=""),"",Q163/J163-1)</f>
        <v>-0.14484856563450699</v>
      </c>
      <c r="N163" s="487"/>
      <c r="O163" s="487">
        <f>SUM(O159:O162)</f>
        <v>241.44253348689509</v>
      </c>
      <c r="P163" s="487">
        <f>SUM(P159:P162)</f>
        <v>0</v>
      </c>
      <c r="Q163" s="487">
        <f>IF(AND(O163="",P163=""),"",O163+P163*$F163/1000)</f>
        <v>241.44253348689509</v>
      </c>
      <c r="R163" s="564"/>
      <c r="S163" s="564"/>
      <c r="T163" s="611"/>
      <c r="U163" s="564"/>
      <c r="V163" s="564"/>
      <c r="W163" s="564"/>
      <c r="X163" s="564"/>
      <c r="Y163" s="564"/>
      <c r="Z163" s="564"/>
      <c r="AA163" s="564"/>
      <c r="AB163" s="564"/>
      <c r="AC163" s="564"/>
      <c r="AD163" s="564"/>
      <c r="AE163" s="564"/>
    </row>
    <row r="164" spans="1:31" s="65" customFormat="1" x14ac:dyDescent="0.35">
      <c r="A164" s="30"/>
      <c r="B164" s="30" t="str">
        <f t="shared" si="40"/>
        <v>Energex</v>
      </c>
      <c r="C164" s="30" t="str">
        <f t="shared" si="40"/>
        <v>Residential</v>
      </c>
      <c r="D164" s="30" t="str">
        <f t="shared" si="40"/>
        <v>flat rate</v>
      </c>
      <c r="E164" s="30" t="s">
        <v>19</v>
      </c>
      <c r="F164" s="258">
        <f>F163</f>
        <v>4600</v>
      </c>
      <c r="G164" s="30" t="s">
        <v>161</v>
      </c>
      <c r="H164" s="482"/>
      <c r="I164" s="482"/>
      <c r="J164" s="482">
        <f>J163*CPIPY</f>
        <v>16.027815881702704</v>
      </c>
      <c r="K164" s="484"/>
      <c r="L164" s="482"/>
      <c r="M164" s="484">
        <f>IF(OR(J164=0,Q164=""),"",Q164/J164-1)</f>
        <v>0.10195951463332276</v>
      </c>
      <c r="N164" s="482"/>
      <c r="O164" s="482"/>
      <c r="P164" s="482"/>
      <c r="Q164" s="482">
        <f>Q163*CPI</f>
        <v>17.662004209633373</v>
      </c>
      <c r="R164" s="484"/>
      <c r="S164" s="484"/>
      <c r="T164" s="607"/>
      <c r="U164" s="484"/>
      <c r="V164" s="484"/>
      <c r="W164" s="484"/>
      <c r="X164" s="484"/>
      <c r="Y164" s="484"/>
      <c r="Z164" s="484"/>
      <c r="AA164" s="484"/>
      <c r="AB164" s="484"/>
      <c r="AC164" s="484"/>
      <c r="AD164" s="484"/>
      <c r="AE164" s="484"/>
    </row>
    <row r="165" spans="1:31" s="65" customFormat="1" x14ac:dyDescent="0.35">
      <c r="A165" s="30"/>
      <c r="B165" s="30" t="str">
        <f t="shared" si="40"/>
        <v>Energex</v>
      </c>
      <c r="C165" s="30" t="str">
        <f t="shared" si="40"/>
        <v>Residential</v>
      </c>
      <c r="D165" s="30" t="str">
        <f t="shared" si="40"/>
        <v>flat rate</v>
      </c>
      <c r="E165" s="30"/>
      <c r="F165" s="258"/>
      <c r="G165" s="30" t="s">
        <v>38</v>
      </c>
      <c r="H165" s="482"/>
      <c r="I165" s="482"/>
      <c r="J165" s="482">
        <f>SUM(J163,J164)*GST</f>
        <v>29.836673713492036</v>
      </c>
      <c r="K165" s="484"/>
      <c r="L165" s="482"/>
      <c r="M165" s="484">
        <f>IF(OR(J165=0,Q165=""),"",Q165/J165-1)</f>
        <v>-0.13159040386139853</v>
      </c>
      <c r="N165" s="482"/>
      <c r="O165" s="482"/>
      <c r="P165" s="482"/>
      <c r="Q165" s="482">
        <f>SUM(Q163,Q164)*GST</f>
        <v>25.910453769652847</v>
      </c>
      <c r="R165" s="564"/>
      <c r="S165" s="564"/>
      <c r="T165" s="611"/>
      <c r="U165" s="564"/>
      <c r="V165" s="564"/>
      <c r="W165" s="564"/>
      <c r="X165" s="564"/>
      <c r="Y165" s="564"/>
      <c r="Z165" s="564"/>
      <c r="AA165" s="564"/>
      <c r="AB165" s="564"/>
      <c r="AC165" s="564"/>
      <c r="AD165" s="564"/>
      <c r="AE165" s="564"/>
    </row>
    <row r="166" spans="1:31" s="65" customFormat="1" x14ac:dyDescent="0.35">
      <c r="A166" s="30"/>
      <c r="B166" s="30" t="str">
        <f t="shared" si="40"/>
        <v>Energex</v>
      </c>
      <c r="C166" s="30" t="str">
        <f t="shared" si="40"/>
        <v>Residential</v>
      </c>
      <c r="D166" s="30" t="str">
        <f t="shared" si="40"/>
        <v>flat rate</v>
      </c>
      <c r="E166" s="30"/>
      <c r="F166" s="258"/>
      <c r="G166" s="64" t="s">
        <v>79</v>
      </c>
      <c r="H166" s="487"/>
      <c r="I166" s="487"/>
      <c r="J166" s="487">
        <f>SUM(J163:J165)</f>
        <v>328.20341084841237</v>
      </c>
      <c r="K166" s="564"/>
      <c r="L166" s="487"/>
      <c r="M166" s="564">
        <f>IF(OR(J166=0,Q166=""),"",Q166/J166-1)</f>
        <v>-0.13159040386139853</v>
      </c>
      <c r="N166" s="487"/>
      <c r="O166" s="487"/>
      <c r="P166" s="487"/>
      <c r="Q166" s="487">
        <f>SUM(Q163:Q165)</f>
        <v>285.0149914661813</v>
      </c>
      <c r="R166" s="564"/>
      <c r="S166" s="564"/>
      <c r="T166" s="611"/>
      <c r="U166" s="564"/>
      <c r="V166" s="564"/>
      <c r="W166" s="564"/>
      <c r="X166" s="564"/>
      <c r="Y166" s="564"/>
      <c r="Z166" s="564"/>
      <c r="AA166" s="564"/>
      <c r="AB166" s="564"/>
      <c r="AC166" s="564"/>
      <c r="AD166" s="564"/>
      <c r="AE166" s="564"/>
    </row>
    <row r="167" spans="1:31" s="65" customFormat="1" x14ac:dyDescent="0.35">
      <c r="A167" s="30"/>
      <c r="B167" s="30" t="str">
        <f t="shared" si="40"/>
        <v>Energex</v>
      </c>
      <c r="C167" s="30" t="str">
        <f t="shared" si="40"/>
        <v>Residential</v>
      </c>
      <c r="D167" s="30" t="str">
        <f t="shared" si="40"/>
        <v>flat rate</v>
      </c>
      <c r="E167" s="30"/>
      <c r="F167" s="258"/>
      <c r="G167" s="30"/>
      <c r="H167" s="482"/>
      <c r="I167" s="482"/>
      <c r="J167" s="482"/>
      <c r="K167" s="484"/>
      <c r="L167" s="482"/>
      <c r="M167" s="484"/>
      <c r="N167" s="482"/>
      <c r="O167" s="482"/>
      <c r="P167" s="482"/>
      <c r="Q167" s="482"/>
      <c r="R167" s="484"/>
      <c r="S167" s="484"/>
      <c r="T167" s="607"/>
      <c r="U167" s="484"/>
      <c r="V167" s="484"/>
      <c r="W167" s="484"/>
      <c r="X167" s="484"/>
      <c r="Y167" s="484"/>
      <c r="Z167" s="484"/>
      <c r="AA167" s="484"/>
      <c r="AB167" s="484"/>
      <c r="AC167" s="484"/>
      <c r="AD167" s="484"/>
      <c r="AE167" s="484"/>
    </row>
    <row r="168" spans="1:31" s="627" customFormat="1" x14ac:dyDescent="0.35">
      <c r="A168" s="570"/>
      <c r="B168" s="571" t="s">
        <v>0</v>
      </c>
      <c r="C168" s="571" t="s">
        <v>6</v>
      </c>
      <c r="D168" s="571" t="s">
        <v>272</v>
      </c>
      <c r="E168" s="570"/>
      <c r="F168" s="485"/>
      <c r="G168" s="570"/>
      <c r="H168" s="574"/>
      <c r="I168" s="574"/>
      <c r="J168" s="574"/>
      <c r="K168" s="575"/>
      <c r="L168" s="654"/>
      <c r="M168" s="575"/>
      <c r="N168" s="654"/>
      <c r="O168" s="574"/>
      <c r="P168" s="574"/>
      <c r="Q168" s="574"/>
      <c r="R168" s="575"/>
      <c r="S168" s="575"/>
      <c r="T168" s="612"/>
      <c r="U168" s="575"/>
      <c r="V168" s="575"/>
      <c r="W168" s="575"/>
      <c r="X168" s="575"/>
      <c r="Y168" s="575"/>
      <c r="Z168" s="575"/>
      <c r="AA168" s="575"/>
      <c r="AB168" s="575"/>
      <c r="AC168" s="575"/>
      <c r="AD168" s="575"/>
      <c r="AE168" s="575"/>
    </row>
    <row r="169" spans="1:31" s="627" customFormat="1" x14ac:dyDescent="0.35">
      <c r="A169" s="570"/>
      <c r="B169" s="570" t="str">
        <f t="shared" ref="B169:B177" si="41">B168</f>
        <v>Energex</v>
      </c>
      <c r="C169" s="570" t="str">
        <f t="shared" ref="C169:C177" si="42">C168</f>
        <v>Residential</v>
      </c>
      <c r="D169" s="570" t="str">
        <f t="shared" ref="D169:D177" si="43">D168</f>
        <v>time of use</v>
      </c>
      <c r="E169" s="570" t="s">
        <v>19</v>
      </c>
      <c r="F169" s="485" cm="1">
        <f t="array" ref="F169">IFERROR(_xlfn.XLOOKUP(1,($B169=DistributionZone)*($C169=CustomerType)*($E169=tariffType)*(F$5=Description),valuesFY),0)</f>
        <v>4600</v>
      </c>
      <c r="G169" s="570" t="s">
        <v>220</v>
      </c>
      <c r="H169" s="574" cm="1">
        <f t="array" ref="H169">IFERROR(_xlfn.XLOOKUP(1,($B169=DistributionZone)*($C169=CustomerType)*(H$5=Desc_FixedOrVar)*($G169=Description),valuesPY),0)</f>
        <v>181.98637191671125</v>
      </c>
      <c r="I169" s="574"/>
      <c r="J169" s="574">
        <f>IF(AND(H169="",I169=""),"",H169+I169*$F169/1000)</f>
        <v>181.98637191671125</v>
      </c>
      <c r="K169" s="575" t="str">
        <f>IFERROR(J169/J173,"")</f>
        <v/>
      </c>
      <c r="L169" s="654"/>
      <c r="M169" s="575">
        <f>IF(OR(J169=0,Q169=""),"",Q169/J169-1)</f>
        <v>-0.19128865361986747</v>
      </c>
      <c r="N169" s="654"/>
      <c r="O169" s="574" cm="1">
        <f t="array" ref="O169">IFERROR(_xlfn.XLOOKUP(1,($B169=DistributionZone)*($C169=CustomerType)*(O$5=Desc_FixedOrVar)*($G169=Description),valuesFY),0)</f>
        <v>147.17444385559909</v>
      </c>
      <c r="P169" s="574"/>
      <c r="Q169" s="574">
        <f>IF(AND(O169="",P169=""),"",O169+P169*$F169/1000)</f>
        <v>147.17444385559909</v>
      </c>
      <c r="R169" s="575">
        <f>IFERROR(Q169/Q173,"")</f>
        <v>0.60956303651273347</v>
      </c>
      <c r="S169" s="575"/>
      <c r="T169" s="612"/>
      <c r="U169" s="575"/>
      <c r="V169" s="575"/>
      <c r="W169" s="575"/>
      <c r="X169" s="575"/>
      <c r="Y169" s="575"/>
      <c r="Z169" s="575"/>
      <c r="AA169" s="575"/>
      <c r="AB169" s="575"/>
      <c r="AC169" s="575"/>
      <c r="AD169" s="575"/>
      <c r="AE169" s="575"/>
    </row>
    <row r="170" spans="1:31" s="627" customFormat="1" x14ac:dyDescent="0.35">
      <c r="A170" s="570"/>
      <c r="B170" s="570" t="str">
        <f t="shared" si="41"/>
        <v>Energex</v>
      </c>
      <c r="C170" s="570" t="str">
        <f t="shared" si="42"/>
        <v>Residential</v>
      </c>
      <c r="D170" s="570" t="str">
        <f t="shared" si="43"/>
        <v>time of use</v>
      </c>
      <c r="E170" s="570" t="s">
        <v>19</v>
      </c>
      <c r="F170" s="485">
        <f>F169</f>
        <v>4600</v>
      </c>
      <c r="G170" s="615" t="s">
        <v>222</v>
      </c>
      <c r="H170" s="574" cm="1">
        <f t="array" ref="H170">IFERROR(_xlfn.XLOOKUP(1,($B170=DistributionZone)*($C170=CustomerType)*(H$5=Desc_FixedOrVar)*($G170=Description),valuesPY),0)</f>
        <v>62.265266157593501</v>
      </c>
      <c r="I170" s="574"/>
      <c r="J170" s="574">
        <f>IF(AND(H170="",I170=""),"",H170+I170*$F170/1000)</f>
        <v>62.265266157593501</v>
      </c>
      <c r="K170" s="575" t="str">
        <f>IFERROR(J170/J173,"")</f>
        <v/>
      </c>
      <c r="L170" s="654"/>
      <c r="M170" s="575">
        <f>IF(OR(J170=0,Q170=""),"",Q170/J170-1)</f>
        <v>3.8858774070931412E-2</v>
      </c>
      <c r="N170" s="654"/>
      <c r="O170" s="574" cm="1">
        <f t="array" ref="O170">IFERROR(_xlfn.XLOOKUP(1,($B170=DistributionZone)*($C170=CustomerType)*(O$5=Desc_FixedOrVar)*($G170=Description),valuesFY),0)</f>
        <v>64.684818067677838</v>
      </c>
      <c r="P170" s="574"/>
      <c r="Q170" s="574">
        <f>IF(AND(O170="",P170=""),"",O170+P170*$F170/1000)</f>
        <v>64.684818067677838</v>
      </c>
      <c r="R170" s="575">
        <f>IFERROR(Q170/Q173,"")</f>
        <v>0.26790978844325608</v>
      </c>
      <c r="S170" s="575"/>
      <c r="T170" s="612"/>
      <c r="U170" s="575"/>
      <c r="V170" s="575"/>
      <c r="W170" s="575"/>
      <c r="X170" s="575"/>
      <c r="Y170" s="575"/>
      <c r="Z170" s="575"/>
      <c r="AA170" s="575"/>
      <c r="AB170" s="575"/>
      <c r="AC170" s="575"/>
      <c r="AD170" s="575"/>
      <c r="AE170" s="575"/>
    </row>
    <row r="171" spans="1:31" s="570" customFormat="1" x14ac:dyDescent="0.35">
      <c r="B171" s="570" t="str">
        <f t="shared" si="41"/>
        <v>Energex</v>
      </c>
      <c r="C171" s="570" t="str">
        <f t="shared" si="42"/>
        <v>Residential</v>
      </c>
      <c r="D171" s="570" t="str">
        <f t="shared" si="43"/>
        <v>time of use</v>
      </c>
      <c r="E171" s="570" t="s">
        <v>19</v>
      </c>
      <c r="F171" s="485">
        <f>F170</f>
        <v>4600</v>
      </c>
      <c r="G171" s="570" t="s">
        <v>158</v>
      </c>
      <c r="H171" s="574" cm="1">
        <f t="array" ref="H171">IFERROR(_xlfn.XLOOKUP(1,($B171=DistributionZone)*($C171=CustomerType)*(H$5=Desc_FixedOrVar)*($G171=Description),valuesPY),0)</f>
        <v>35.445506286367262</v>
      </c>
      <c r="I171" s="574"/>
      <c r="J171" s="574">
        <f>IF(AND(H171="",I171=""),"",H171+I171*$F171/1000)</f>
        <v>35.445506286367262</v>
      </c>
      <c r="K171" s="575" t="str">
        <f>IFERROR(J171/J173,"")</f>
        <v/>
      </c>
      <c r="L171" s="654"/>
      <c r="M171" s="575">
        <f>IF(OR(J171=0,Q171=""),0,Q171/J171-1)</f>
        <v>-0.18336623777898997</v>
      </c>
      <c r="N171" s="654"/>
      <c r="O171" s="574" cm="1">
        <f t="array" ref="O171">IFERROR(_xlfn.XLOOKUP(1,($B171=DistributionZone)*($C171=CustomerType)*(O$5=Desc_FixedOrVar)*($G171=Description),valuesFY),0)</f>
        <v>28.94599715246456</v>
      </c>
      <c r="P171" s="574"/>
      <c r="Q171" s="574">
        <f>IF(AND(O171="",P171=""),"",O171+P171*$F171/1000)</f>
        <v>28.94599715246456</v>
      </c>
      <c r="R171" s="575">
        <f>IFERROR(Q171/Q173,"")</f>
        <v>0.11988772953310514</v>
      </c>
      <c r="S171" s="575"/>
      <c r="T171" s="612"/>
      <c r="U171" s="575"/>
      <c r="V171" s="575"/>
      <c r="W171" s="575"/>
      <c r="X171" s="575"/>
      <c r="Y171" s="575"/>
      <c r="Z171" s="575"/>
      <c r="AA171" s="575"/>
      <c r="AB171" s="575"/>
      <c r="AC171" s="575"/>
      <c r="AD171" s="575"/>
      <c r="AE171" s="575"/>
    </row>
    <row r="172" spans="1:31" s="570" customFormat="1" x14ac:dyDescent="0.35">
      <c r="B172" s="570" t="str">
        <f t="shared" si="41"/>
        <v>Energex</v>
      </c>
      <c r="C172" s="570" t="str">
        <f t="shared" si="42"/>
        <v>Residential</v>
      </c>
      <c r="D172" s="570" t="str">
        <f t="shared" si="43"/>
        <v>time of use</v>
      </c>
      <c r="E172" s="570" t="s">
        <v>19</v>
      </c>
      <c r="F172" s="485">
        <f>F171</f>
        <v>4600</v>
      </c>
      <c r="G172" s="570" t="s">
        <v>190</v>
      </c>
      <c r="H172" s="574" cm="1">
        <f t="array" ref="H172">IFERROR(_xlfn.XLOOKUP(1,($B172=DistributionZone)*($C172=CustomerType)*(H$5=Desc_FixedOrVar)*($G172=Description),valuesPY),0)</f>
        <v>2.6417768925456344</v>
      </c>
      <c r="I172" s="574"/>
      <c r="J172" s="574">
        <f>IF(AND(H172="",I172=""),"",H172+I172*$F172/1000)</f>
        <v>2.6417768925456344</v>
      </c>
      <c r="K172" s="575" t="str">
        <f>IFERROR(J172/J173,"")</f>
        <v/>
      </c>
      <c r="L172" s="654"/>
      <c r="M172" s="575">
        <f>IF(OR(J172=0,Q172=""),0,Q172/J172-1)</f>
        <v>-0.75877054078570783</v>
      </c>
      <c r="N172" s="654"/>
      <c r="O172" s="574" cm="1">
        <f t="array" ref="O172">IFERROR(_xlfn.XLOOKUP(1,($B172=DistributionZone)*($C172=CustomerType)*(O$5=Desc_FixedOrVar)*($G172=Description),valuesFY),0)</f>
        <v>0.63727441115359662</v>
      </c>
      <c r="P172" s="574"/>
      <c r="Q172" s="574">
        <f>IF(AND(O172="",P172=""),"",O172+P172*$F172/1000)</f>
        <v>0.63727441115359662</v>
      </c>
      <c r="R172" s="575">
        <f>IFERROR(Q172/Q173,"")</f>
        <v>2.6394455109053365E-3</v>
      </c>
      <c r="S172" s="575"/>
      <c r="T172" s="612"/>
      <c r="U172" s="575"/>
      <c r="V172" s="575"/>
      <c r="W172" s="575"/>
      <c r="X172" s="575"/>
      <c r="Y172" s="575"/>
      <c r="Z172" s="575"/>
      <c r="AA172" s="575"/>
      <c r="AB172" s="575"/>
      <c r="AC172" s="575"/>
      <c r="AD172" s="575"/>
      <c r="AE172" s="575"/>
    </row>
    <row r="173" spans="1:31" s="570" customFormat="1" x14ac:dyDescent="0.35">
      <c r="B173" s="570" t="str">
        <f t="shared" si="41"/>
        <v>Energex</v>
      </c>
      <c r="C173" s="570" t="str">
        <f t="shared" si="42"/>
        <v>Residential</v>
      </c>
      <c r="D173" s="570" t="str">
        <f t="shared" si="43"/>
        <v>time of use</v>
      </c>
      <c r="E173" s="570" t="s">
        <v>272</v>
      </c>
      <c r="F173" s="485">
        <f>F172</f>
        <v>4600</v>
      </c>
      <c r="G173" s="571" t="s">
        <v>55</v>
      </c>
      <c r="H173" s="577">
        <f>IF($H$3=PY,0,SUM(H169:H172))</f>
        <v>0</v>
      </c>
      <c r="I173" s="577">
        <f>SUM(I169:I172)</f>
        <v>0</v>
      </c>
      <c r="J173" s="577">
        <f>IF($H$3=PY,0,IF(AND(H173="",I173=""),"",H173+I173*$F173/1000))</f>
        <v>0</v>
      </c>
      <c r="K173" s="578"/>
      <c r="L173" s="577"/>
      <c r="M173" s="578" t="str">
        <f>IF(OR(J173=0,Q173=""),"",Q173/J173-1)</f>
        <v/>
      </c>
      <c r="N173" s="577"/>
      <c r="O173" s="577">
        <f>SUM(O169:O172)</f>
        <v>241.44253348689509</v>
      </c>
      <c r="P173" s="577">
        <f>SUM(P169:P172)</f>
        <v>0</v>
      </c>
      <c r="Q173" s="577">
        <f>IF(AND(O173="",P173=""),"",O173+P173*$F173/1000)</f>
        <v>241.44253348689509</v>
      </c>
      <c r="R173" s="578"/>
      <c r="S173" s="578"/>
      <c r="T173" s="621"/>
      <c r="U173" s="578"/>
      <c r="V173" s="578"/>
      <c r="W173" s="578"/>
      <c r="X173" s="578"/>
      <c r="Y173" s="578"/>
      <c r="Z173" s="578"/>
      <c r="AA173" s="578"/>
      <c r="AB173" s="578"/>
      <c r="AC173" s="578"/>
      <c r="AD173" s="578"/>
      <c r="AE173" s="578"/>
    </row>
    <row r="174" spans="1:31" s="627" customFormat="1" x14ac:dyDescent="0.35">
      <c r="A174" s="570"/>
      <c r="B174" s="570" t="str">
        <f t="shared" si="41"/>
        <v>Energex</v>
      </c>
      <c r="C174" s="570" t="str">
        <f t="shared" si="42"/>
        <v>Residential</v>
      </c>
      <c r="D174" s="570" t="str">
        <f t="shared" si="43"/>
        <v>time of use</v>
      </c>
      <c r="E174" s="570" t="s">
        <v>272</v>
      </c>
      <c r="F174" s="485">
        <f>F173</f>
        <v>4600</v>
      </c>
      <c r="G174" s="570" t="s">
        <v>161</v>
      </c>
      <c r="H174" s="574"/>
      <c r="I174" s="574"/>
      <c r="J174" s="574">
        <f>J173*CPIPY</f>
        <v>0</v>
      </c>
      <c r="K174" s="575"/>
      <c r="L174" s="574"/>
      <c r="M174" s="575" t="str">
        <f>IF(OR(J174=0,Q174=""),"",Q174/J174-1)</f>
        <v/>
      </c>
      <c r="N174" s="574"/>
      <c r="O174" s="574"/>
      <c r="P174" s="574"/>
      <c r="Q174" s="574">
        <f>Q173*CPI</f>
        <v>17.662004209633373</v>
      </c>
      <c r="R174" s="575"/>
      <c r="S174" s="575"/>
      <c r="T174" s="612"/>
      <c r="U174" s="575"/>
      <c r="V174" s="575"/>
      <c r="W174" s="575"/>
      <c r="X174" s="575"/>
      <c r="Y174" s="575"/>
      <c r="Z174" s="575"/>
      <c r="AA174" s="575"/>
      <c r="AB174" s="575"/>
      <c r="AC174" s="575"/>
      <c r="AD174" s="575"/>
      <c r="AE174" s="575"/>
    </row>
    <row r="175" spans="1:31" s="627" customFormat="1" x14ac:dyDescent="0.35">
      <c r="A175" s="570"/>
      <c r="B175" s="570" t="str">
        <f t="shared" si="41"/>
        <v>Energex</v>
      </c>
      <c r="C175" s="570" t="str">
        <f t="shared" si="42"/>
        <v>Residential</v>
      </c>
      <c r="D175" s="570" t="str">
        <f t="shared" si="43"/>
        <v>time of use</v>
      </c>
      <c r="E175" s="570"/>
      <c r="F175" s="485"/>
      <c r="G175" s="570" t="s">
        <v>38</v>
      </c>
      <c r="H175" s="574"/>
      <c r="I175" s="574"/>
      <c r="J175" s="574">
        <f>SUM(J173,J174)*GST</f>
        <v>0</v>
      </c>
      <c r="K175" s="575"/>
      <c r="L175" s="574"/>
      <c r="M175" s="575" t="str">
        <f>IF(OR(J175=0,Q175=""),"",Q175/J175-1)</f>
        <v/>
      </c>
      <c r="N175" s="574"/>
      <c r="O175" s="574"/>
      <c r="P175" s="574"/>
      <c r="Q175" s="574">
        <f>SUM(Q173,Q174)*GST</f>
        <v>25.910453769652847</v>
      </c>
      <c r="R175" s="578"/>
      <c r="S175" s="578"/>
      <c r="T175" s="621"/>
      <c r="U175" s="578"/>
      <c r="V175" s="578"/>
      <c r="W175" s="578"/>
      <c r="X175" s="578"/>
      <c r="Y175" s="578"/>
      <c r="Z175" s="578"/>
      <c r="AA175" s="578"/>
      <c r="AB175" s="578"/>
      <c r="AC175" s="578"/>
      <c r="AD175" s="578"/>
      <c r="AE175" s="578"/>
    </row>
    <row r="176" spans="1:31" s="627" customFormat="1" x14ac:dyDescent="0.35">
      <c r="A176" s="570"/>
      <c r="B176" s="570" t="str">
        <f t="shared" si="41"/>
        <v>Energex</v>
      </c>
      <c r="C176" s="570" t="str">
        <f t="shared" si="42"/>
        <v>Residential</v>
      </c>
      <c r="D176" s="570" t="str">
        <f t="shared" si="43"/>
        <v>time of use</v>
      </c>
      <c r="E176" s="570" t="s">
        <v>272</v>
      </c>
      <c r="F176" s="485"/>
      <c r="G176" s="571" t="s">
        <v>79</v>
      </c>
      <c r="H176" s="577"/>
      <c r="I176" s="577"/>
      <c r="J176" s="577">
        <f>SUM(J173:J175)</f>
        <v>0</v>
      </c>
      <c r="K176" s="578"/>
      <c r="L176" s="577"/>
      <c r="M176" s="578" t="str">
        <f>IF(OR(J176=0,Q176=""),"",Q176/J176-1)</f>
        <v/>
      </c>
      <c r="N176" s="577"/>
      <c r="O176" s="577"/>
      <c r="P176" s="577"/>
      <c r="Q176" s="577">
        <f>SUM(Q173:Q175)</f>
        <v>285.0149914661813</v>
      </c>
      <c r="R176" s="578"/>
      <c r="S176" s="578"/>
      <c r="T176" s="621"/>
      <c r="U176" s="578"/>
      <c r="V176" s="578"/>
      <c r="W176" s="578"/>
      <c r="X176" s="578"/>
      <c r="Y176" s="578"/>
      <c r="Z176" s="578"/>
      <c r="AA176" s="578"/>
      <c r="AB176" s="578"/>
      <c r="AC176" s="578"/>
      <c r="AD176" s="578"/>
      <c r="AE176" s="578"/>
    </row>
    <row r="177" spans="1:31" s="627" customFormat="1" x14ac:dyDescent="0.35">
      <c r="A177" s="570"/>
      <c r="B177" s="570" t="str">
        <f t="shared" si="41"/>
        <v>Energex</v>
      </c>
      <c r="C177" s="570" t="str">
        <f t="shared" si="42"/>
        <v>Residential</v>
      </c>
      <c r="D177" s="570" t="str">
        <f t="shared" si="43"/>
        <v>time of use</v>
      </c>
      <c r="E177" s="570"/>
      <c r="F177" s="485"/>
      <c r="G177" s="570"/>
      <c r="H177" s="574"/>
      <c r="I177" s="574"/>
      <c r="J177" s="574"/>
      <c r="K177" s="575"/>
      <c r="L177" s="574"/>
      <c r="M177" s="575"/>
      <c r="N177" s="574"/>
      <c r="O177" s="574"/>
      <c r="P177" s="574"/>
      <c r="Q177" s="574"/>
      <c r="R177" s="575"/>
      <c r="S177" s="575"/>
      <c r="T177" s="612"/>
      <c r="U177" s="575"/>
      <c r="V177" s="575"/>
      <c r="W177" s="575"/>
      <c r="X177" s="575"/>
      <c r="Y177" s="575"/>
      <c r="Z177" s="575"/>
      <c r="AA177" s="575"/>
      <c r="AB177" s="575"/>
      <c r="AC177" s="575"/>
      <c r="AD177" s="575"/>
      <c r="AE177" s="575"/>
    </row>
    <row r="178" spans="1:31" s="65" customFormat="1" hidden="1" x14ac:dyDescent="0.35">
      <c r="A178" s="30"/>
      <c r="B178" s="165"/>
      <c r="C178" s="165"/>
      <c r="D178" s="165"/>
      <c r="E178" s="31"/>
      <c r="F178" s="588"/>
      <c r="G178" s="31"/>
      <c r="H178" s="589"/>
      <c r="I178" s="589"/>
      <c r="J178" s="589"/>
      <c r="K178" s="590"/>
      <c r="L178" s="589"/>
      <c r="M178" s="590"/>
      <c r="N178" s="589"/>
      <c r="O178" s="589"/>
      <c r="P178" s="589"/>
      <c r="Q178" s="589"/>
      <c r="R178" s="590"/>
      <c r="S178" s="484"/>
      <c r="T178" s="607"/>
      <c r="U178" s="484"/>
      <c r="V178" s="484"/>
      <c r="W178" s="484"/>
      <c r="X178" s="484"/>
      <c r="Y178" s="484"/>
      <c r="Z178" s="484"/>
      <c r="AA178" s="484"/>
      <c r="AB178" s="484"/>
      <c r="AC178" s="484"/>
      <c r="AD178" s="484"/>
      <c r="AE178" s="484"/>
    </row>
    <row r="179" spans="1:31" s="65" customFormat="1" hidden="1" x14ac:dyDescent="0.35">
      <c r="A179" s="30"/>
      <c r="B179" s="31"/>
      <c r="C179" s="31"/>
      <c r="D179" s="31"/>
      <c r="E179" s="31"/>
      <c r="F179" s="588"/>
      <c r="G179" s="31"/>
      <c r="H179" s="589"/>
      <c r="I179" s="589"/>
      <c r="J179" s="589"/>
      <c r="K179" s="590"/>
      <c r="L179" s="656"/>
      <c r="M179" s="590"/>
      <c r="N179" s="656"/>
      <c r="O179" s="589"/>
      <c r="P179" s="589"/>
      <c r="Q179" s="589"/>
      <c r="R179" s="590"/>
      <c r="S179" s="484"/>
      <c r="T179" s="607"/>
      <c r="U179" s="484"/>
      <c r="V179" s="484"/>
      <c r="W179" s="484"/>
      <c r="X179" s="484"/>
      <c r="Y179" s="484"/>
      <c r="Z179" s="484"/>
      <c r="AA179" s="484"/>
      <c r="AB179" s="484"/>
      <c r="AC179" s="484"/>
      <c r="AD179" s="484"/>
      <c r="AE179" s="484"/>
    </row>
    <row r="180" spans="1:31" hidden="1" x14ac:dyDescent="0.35">
      <c r="B180" s="31"/>
      <c r="C180" s="31"/>
      <c r="D180" s="31"/>
      <c r="E180" s="31"/>
      <c r="F180" s="588"/>
      <c r="G180" s="657"/>
      <c r="H180" s="589"/>
      <c r="I180" s="589"/>
      <c r="J180" s="589"/>
      <c r="K180" s="590"/>
      <c r="L180" s="656"/>
      <c r="M180" s="590"/>
      <c r="N180" s="656"/>
      <c r="O180" s="589"/>
      <c r="P180" s="589"/>
      <c r="Q180" s="589"/>
      <c r="R180" s="590"/>
      <c r="S180" s="484"/>
      <c r="T180" s="607"/>
      <c r="U180" s="484"/>
      <c r="V180" s="484"/>
      <c r="W180" s="484"/>
      <c r="X180" s="484"/>
      <c r="Y180" s="484"/>
      <c r="Z180" s="484"/>
      <c r="AA180" s="484"/>
      <c r="AB180" s="484"/>
      <c r="AC180" s="484"/>
      <c r="AD180" s="484"/>
      <c r="AE180" s="484"/>
    </row>
    <row r="181" spans="1:31" hidden="1" x14ac:dyDescent="0.35">
      <c r="B181" s="31"/>
      <c r="C181" s="31"/>
      <c r="D181" s="31"/>
      <c r="E181" s="31"/>
      <c r="F181" s="588"/>
      <c r="G181" s="31"/>
      <c r="H181" s="589"/>
      <c r="I181" s="589"/>
      <c r="J181" s="589"/>
      <c r="K181" s="590"/>
      <c r="L181" s="656"/>
      <c r="M181" s="590"/>
      <c r="N181" s="656"/>
      <c r="O181" s="589"/>
      <c r="P181" s="589"/>
      <c r="Q181" s="589"/>
      <c r="R181" s="590"/>
      <c r="S181" s="484"/>
      <c r="T181" s="607"/>
      <c r="U181" s="484"/>
      <c r="V181" s="484"/>
      <c r="W181" s="484"/>
      <c r="X181" s="484"/>
      <c r="Y181" s="484"/>
      <c r="Z181" s="484"/>
      <c r="AA181" s="484"/>
      <c r="AB181" s="484"/>
      <c r="AC181" s="484"/>
      <c r="AD181" s="484"/>
      <c r="AE181" s="484"/>
    </row>
    <row r="182" spans="1:31" hidden="1" x14ac:dyDescent="0.35">
      <c r="B182" s="31"/>
      <c r="C182" s="31"/>
      <c r="D182" s="31"/>
      <c r="E182" s="31"/>
      <c r="F182" s="588"/>
      <c r="G182" s="31"/>
      <c r="H182" s="589"/>
      <c r="I182" s="589"/>
      <c r="J182" s="589"/>
      <c r="K182" s="590"/>
      <c r="L182" s="656"/>
      <c r="M182" s="590"/>
      <c r="N182" s="656"/>
      <c r="O182" s="589"/>
      <c r="P182" s="589"/>
      <c r="Q182" s="589"/>
      <c r="R182" s="590"/>
      <c r="S182" s="484"/>
      <c r="T182" s="607"/>
      <c r="U182" s="484"/>
      <c r="V182" s="484"/>
      <c r="W182" s="484"/>
      <c r="X182" s="484"/>
      <c r="Y182" s="484"/>
      <c r="Z182" s="484"/>
      <c r="AA182" s="484"/>
      <c r="AB182" s="484"/>
      <c r="AC182" s="484"/>
      <c r="AD182" s="484"/>
      <c r="AE182" s="484"/>
    </row>
    <row r="183" spans="1:31" s="65" customFormat="1" hidden="1" x14ac:dyDescent="0.35">
      <c r="A183" s="30"/>
      <c r="B183" s="31"/>
      <c r="C183" s="31"/>
      <c r="D183" s="31"/>
      <c r="E183" s="31"/>
      <c r="F183" s="588"/>
      <c r="G183" s="165"/>
      <c r="H183" s="618"/>
      <c r="I183" s="618"/>
      <c r="J183" s="618"/>
      <c r="K183" s="619"/>
      <c r="L183" s="618"/>
      <c r="M183" s="619"/>
      <c r="N183" s="618"/>
      <c r="O183" s="618"/>
      <c r="P183" s="618"/>
      <c r="Q183" s="618"/>
      <c r="R183" s="619"/>
      <c r="S183" s="564"/>
      <c r="T183" s="611"/>
      <c r="U183" s="564"/>
      <c r="V183" s="564"/>
      <c r="W183" s="564"/>
      <c r="X183" s="564"/>
      <c r="Y183" s="564"/>
      <c r="Z183" s="564"/>
      <c r="AA183" s="564"/>
      <c r="AB183" s="564"/>
      <c r="AC183" s="564"/>
      <c r="AD183" s="564"/>
      <c r="AE183" s="564"/>
    </row>
    <row r="184" spans="1:31" s="65" customFormat="1" hidden="1" x14ac:dyDescent="0.35">
      <c r="A184" s="30"/>
      <c r="B184" s="31"/>
      <c r="C184" s="31"/>
      <c r="D184" s="31"/>
      <c r="E184" s="31"/>
      <c r="F184" s="588"/>
      <c r="G184" s="31"/>
      <c r="H184" s="589"/>
      <c r="I184" s="589"/>
      <c r="J184" s="589"/>
      <c r="K184" s="590"/>
      <c r="L184" s="589"/>
      <c r="M184" s="590"/>
      <c r="N184" s="589"/>
      <c r="O184" s="589"/>
      <c r="P184" s="589"/>
      <c r="Q184" s="589"/>
      <c r="R184" s="590"/>
      <c r="S184" s="484"/>
      <c r="T184" s="607"/>
      <c r="U184" s="484"/>
      <c r="V184" s="484"/>
      <c r="W184" s="484"/>
      <c r="X184" s="484"/>
      <c r="Y184" s="484"/>
      <c r="Z184" s="484"/>
      <c r="AA184" s="484"/>
      <c r="AB184" s="484"/>
      <c r="AC184" s="484"/>
      <c r="AD184" s="484"/>
      <c r="AE184" s="484"/>
    </row>
    <row r="185" spans="1:31" s="65" customFormat="1" hidden="1" x14ac:dyDescent="0.35">
      <c r="A185" s="30"/>
      <c r="B185" s="31"/>
      <c r="C185" s="31"/>
      <c r="D185" s="31"/>
      <c r="E185" s="31"/>
      <c r="F185" s="588"/>
      <c r="G185" s="31"/>
      <c r="H185" s="589"/>
      <c r="I185" s="589"/>
      <c r="J185" s="589"/>
      <c r="K185" s="590"/>
      <c r="L185" s="589"/>
      <c r="M185" s="590"/>
      <c r="N185" s="589"/>
      <c r="O185" s="589"/>
      <c r="P185" s="589"/>
      <c r="Q185" s="589"/>
      <c r="R185" s="619"/>
      <c r="S185" s="564"/>
      <c r="T185" s="611"/>
      <c r="U185" s="564"/>
      <c r="V185" s="564"/>
      <c r="W185" s="564"/>
      <c r="X185" s="564"/>
      <c r="Y185" s="564"/>
      <c r="Z185" s="564"/>
      <c r="AA185" s="564"/>
      <c r="AB185" s="564"/>
      <c r="AC185" s="564"/>
      <c r="AD185" s="564"/>
      <c r="AE185" s="564"/>
    </row>
    <row r="186" spans="1:31" s="65" customFormat="1" hidden="1" x14ac:dyDescent="0.35">
      <c r="A186" s="30"/>
      <c r="B186" s="31"/>
      <c r="C186" s="31"/>
      <c r="D186" s="31"/>
      <c r="E186" s="31"/>
      <c r="F186" s="588"/>
      <c r="G186" s="165"/>
      <c r="H186" s="618"/>
      <c r="I186" s="618"/>
      <c r="J186" s="618"/>
      <c r="K186" s="619"/>
      <c r="L186" s="618"/>
      <c r="M186" s="619"/>
      <c r="N186" s="618"/>
      <c r="O186" s="618"/>
      <c r="P186" s="618"/>
      <c r="Q186" s="618"/>
      <c r="R186" s="619"/>
      <c r="S186" s="564"/>
      <c r="T186" s="611"/>
      <c r="U186" s="564"/>
      <c r="V186" s="564"/>
      <c r="W186" s="564"/>
      <c r="X186" s="564"/>
      <c r="Y186" s="564"/>
      <c r="Z186" s="564"/>
      <c r="AA186" s="564"/>
      <c r="AB186" s="564"/>
      <c r="AC186" s="564"/>
      <c r="AD186" s="564"/>
      <c r="AE186" s="564"/>
    </row>
    <row r="187" spans="1:31" s="65" customFormat="1" hidden="1" x14ac:dyDescent="0.35">
      <c r="A187" s="30"/>
      <c r="B187" s="30">
        <f t="shared" ref="B187:D187" si="44">B186</f>
        <v>0</v>
      </c>
      <c r="C187" s="30"/>
      <c r="D187" s="30">
        <f t="shared" si="44"/>
        <v>0</v>
      </c>
      <c r="E187" s="30"/>
      <c r="F187" s="258"/>
      <c r="G187" s="30"/>
      <c r="H187" s="482"/>
      <c r="I187" s="482"/>
      <c r="J187" s="482"/>
      <c r="K187" s="484"/>
      <c r="L187" s="482"/>
      <c r="M187" s="484"/>
      <c r="N187" s="482"/>
      <c r="O187" s="482"/>
      <c r="P187" s="482"/>
      <c r="Q187" s="482"/>
      <c r="R187" s="484"/>
      <c r="S187" s="484"/>
      <c r="T187" s="607"/>
      <c r="U187" s="484"/>
      <c r="V187" s="484"/>
      <c r="W187" s="484"/>
      <c r="X187" s="484"/>
      <c r="Y187" s="484"/>
      <c r="Z187" s="484"/>
      <c r="AA187" s="484"/>
      <c r="AB187" s="484"/>
      <c r="AC187" s="484"/>
      <c r="AD187" s="484"/>
      <c r="AE187" s="484"/>
    </row>
    <row r="188" spans="1:31" x14ac:dyDescent="0.35">
      <c r="B188" s="64" t="s">
        <v>0</v>
      </c>
      <c r="C188" s="64" t="s">
        <v>13</v>
      </c>
      <c r="D188" s="64" t="s">
        <v>276</v>
      </c>
      <c r="F188" s="258"/>
      <c r="H188" s="482"/>
      <c r="I188" s="482"/>
      <c r="J188" s="482"/>
      <c r="K188" s="484"/>
      <c r="L188" s="482"/>
      <c r="M188" s="484"/>
      <c r="N188" s="482"/>
      <c r="O188" s="482"/>
      <c r="P188" s="482"/>
      <c r="Q188" s="482"/>
      <c r="R188" s="484"/>
      <c r="S188" s="484"/>
      <c r="T188" s="607"/>
      <c r="U188" s="484"/>
      <c r="V188" s="484"/>
      <c r="W188" s="484"/>
      <c r="X188" s="484"/>
      <c r="Y188" s="484"/>
      <c r="Z188" s="484"/>
      <c r="AA188" s="484"/>
      <c r="AB188" s="484"/>
      <c r="AC188" s="484"/>
      <c r="AD188" s="484"/>
      <c r="AE188" s="484"/>
    </row>
    <row r="189" spans="1:31" x14ac:dyDescent="0.35">
      <c r="B189" s="30" t="str">
        <f t="shared" ref="B189:B197" si="45">B188</f>
        <v>Energex</v>
      </c>
      <c r="C189" s="30" t="str">
        <f t="shared" ref="C189:C197" si="46">C188</f>
        <v>Small business</v>
      </c>
      <c r="D189" s="30" t="str">
        <f t="shared" ref="D189:D197" si="47">D188</f>
        <v>flat rate</v>
      </c>
      <c r="E189" s="30" t="s">
        <v>19</v>
      </c>
      <c r="F189" s="258" cm="1">
        <f t="array" ref="F189">IFERROR(_xlfn.XLOOKUP(1,($B189=DistributionZone)*($C189=CustomerType)*($E189=tariffType)*(F$5=Description),valuesFY),0)</f>
        <v>10000</v>
      </c>
      <c r="G189" s="30" t="s">
        <v>220</v>
      </c>
      <c r="H189" s="482" cm="1">
        <f t="array" ref="H189">IFERROR(_xlfn.XLOOKUP(1,($B189=DistributionZone)*($C189=CustomerType)*(H$5=Desc_FixedOrVar)*($G189=Description),valuesPY),0)</f>
        <v>193.19039449943125</v>
      </c>
      <c r="I189" s="482"/>
      <c r="J189" s="482">
        <f>IF(AND(H189="",I189=""),"",H189+I189*$F189/1000)</f>
        <v>193.19039449943125</v>
      </c>
      <c r="K189" s="484">
        <f>IFERROR(J189/J193,"")</f>
        <v>0.62267496087146867</v>
      </c>
      <c r="L189" s="651"/>
      <c r="M189" s="484">
        <f>IF(OR(J189=0,Q189=""),"",Q189/J189-1)</f>
        <v>-4.438780264279818E-2</v>
      </c>
      <c r="N189" s="651"/>
      <c r="O189" s="482" cm="1">
        <f t="array" ref="O189">IFERROR(_xlfn.XLOOKUP(1,($B189=DistributionZone)*($C189=CustomerType)*(O$5=Desc_FixedOrVar)*($G189=Description),valuesFY),0)</f>
        <v>184.61509739590616</v>
      </c>
      <c r="P189" s="482"/>
      <c r="Q189" s="482">
        <f>IF(AND(O189="",P189=""),"",O189+P189*$F189/1000)</f>
        <v>184.61509739590616</v>
      </c>
      <c r="R189" s="484">
        <f>IFERROR(Q189/Q193,"")</f>
        <v>0.63562676812493457</v>
      </c>
      <c r="S189" s="484"/>
      <c r="T189" s="607"/>
      <c r="U189" s="484"/>
      <c r="V189" s="484"/>
      <c r="W189" s="484"/>
      <c r="X189" s="484"/>
      <c r="Y189" s="484"/>
      <c r="Z189" s="484"/>
      <c r="AA189" s="484"/>
      <c r="AB189" s="484"/>
      <c r="AC189" s="484"/>
      <c r="AD189" s="484"/>
      <c r="AE189" s="484"/>
    </row>
    <row r="190" spans="1:31" x14ac:dyDescent="0.35">
      <c r="B190" s="30" t="str">
        <f t="shared" si="45"/>
        <v>Energex</v>
      </c>
      <c r="C190" s="30" t="str">
        <f t="shared" si="46"/>
        <v>Small business</v>
      </c>
      <c r="D190" s="30" t="str">
        <f t="shared" si="47"/>
        <v>flat rate</v>
      </c>
      <c r="E190" s="30" t="s">
        <v>19</v>
      </c>
      <c r="F190" s="258">
        <f>F189</f>
        <v>10000</v>
      </c>
      <c r="G190" s="379" t="s">
        <v>222</v>
      </c>
      <c r="H190" s="482" cm="1">
        <f t="array" ref="H190">IFERROR(_xlfn.XLOOKUP(1,($B190=DistributionZone)*($C190=CustomerType)*(H$5=Desc_FixedOrVar)*($G190=Description),valuesPY),0)</f>
        <v>57.463423451720978</v>
      </c>
      <c r="I190" s="482"/>
      <c r="J190" s="482">
        <f>IF(AND(H190="",I190=""),"",H190+I190*$F190/1000)</f>
        <v>57.463423451720978</v>
      </c>
      <c r="K190" s="484">
        <f>IFERROR(J190/J193,"")</f>
        <v>0.18521125256797555</v>
      </c>
      <c r="L190" s="651"/>
      <c r="M190" s="484">
        <f>IF(OR(J190=0,Q190=""),"",Q190/J190-1)</f>
        <v>0.11762092063606167</v>
      </c>
      <c r="N190" s="651"/>
      <c r="O190" s="482" cm="1">
        <f t="array" ref="O190">IFERROR(_xlfn.XLOOKUP(1,($B190=DistributionZone)*($C190=CustomerType)*(O$5=Desc_FixedOrVar)*($G190=Description),valuesFY),0)</f>
        <v>64.222324221012258</v>
      </c>
      <c r="P190" s="482"/>
      <c r="Q190" s="482">
        <f>IF(AND(O190="",P190=""),"",O190+P190*$F190/1000)</f>
        <v>64.222324221012258</v>
      </c>
      <c r="R190" s="484">
        <f>IFERROR(Q190/Q193,"")</f>
        <v>0.22111641443133101</v>
      </c>
      <c r="S190" s="484"/>
      <c r="T190" s="607"/>
      <c r="U190" s="484"/>
      <c r="V190" s="484"/>
      <c r="W190" s="484"/>
      <c r="X190" s="484"/>
      <c r="Y190" s="484"/>
      <c r="Z190" s="484"/>
      <c r="AA190" s="484"/>
      <c r="AB190" s="484"/>
      <c r="AC190" s="484"/>
      <c r="AD190" s="484"/>
      <c r="AE190" s="484"/>
    </row>
    <row r="191" spans="1:31" x14ac:dyDescent="0.35">
      <c r="B191" s="30" t="str">
        <f t="shared" si="45"/>
        <v>Energex</v>
      </c>
      <c r="C191" s="30" t="str">
        <f t="shared" si="46"/>
        <v>Small business</v>
      </c>
      <c r="D191" s="30" t="str">
        <f t="shared" si="47"/>
        <v>flat rate</v>
      </c>
      <c r="E191" s="30" t="s">
        <v>19</v>
      </c>
      <c r="F191" s="258">
        <f>F190</f>
        <v>10000</v>
      </c>
      <c r="G191" s="30" t="s">
        <v>158</v>
      </c>
      <c r="H191" s="482" cm="1">
        <f t="array" ref="H191">IFERROR(_xlfn.XLOOKUP(1,($B191=DistributionZone)*($C191=CustomerType)*(H$5=Desc_FixedOrVar)*($G191=Description),valuesPY),0)</f>
        <v>55.097708961607353</v>
      </c>
      <c r="I191" s="482"/>
      <c r="J191" s="482">
        <f>IF(AND(H191="",I191=""),"",H191+I191*$F191/1000)</f>
        <v>55.097708961607353</v>
      </c>
      <c r="K191" s="484">
        <f>IFERROR(J191/J193,"")</f>
        <v>0.17758628145395414</v>
      </c>
      <c r="L191" s="651"/>
      <c r="M191" s="484">
        <f>IF(OR(J191=0,Q191=""),"",Q191/J191-1)</f>
        <v>-0.2634140391196248</v>
      </c>
      <c r="N191" s="651"/>
      <c r="O191" s="482" cm="1">
        <f t="array" ref="O191">IFERROR(_xlfn.XLOOKUP(1,($B191=DistributionZone)*($C191=CustomerType)*(O$5=Desc_FixedOrVar)*($G191=Description),valuesFY),0)</f>
        <v>40.58419889779281</v>
      </c>
      <c r="P191" s="482"/>
      <c r="Q191" s="482">
        <f>IF(AND(O191="",P191=""),"",O191+P191*$F191/1000)</f>
        <v>40.58419889779281</v>
      </c>
      <c r="R191" s="484">
        <f>IFERROR(Q191/Q193,"")</f>
        <v>0.13973073462688329</v>
      </c>
      <c r="S191" s="484"/>
      <c r="T191" s="607"/>
      <c r="U191" s="484"/>
      <c r="V191" s="484"/>
      <c r="W191" s="484"/>
      <c r="X191" s="484"/>
      <c r="Y191" s="484"/>
      <c r="Z191" s="484"/>
      <c r="AA191" s="484"/>
      <c r="AB191" s="484"/>
      <c r="AC191" s="484"/>
      <c r="AD191" s="484"/>
      <c r="AE191" s="484"/>
    </row>
    <row r="192" spans="1:31" s="65" customFormat="1" x14ac:dyDescent="0.35">
      <c r="A192" s="30"/>
      <c r="B192" s="30" t="str">
        <f t="shared" si="45"/>
        <v>Energex</v>
      </c>
      <c r="C192" s="30" t="str">
        <f t="shared" si="46"/>
        <v>Small business</v>
      </c>
      <c r="D192" s="30" t="str">
        <f t="shared" si="47"/>
        <v>flat rate</v>
      </c>
      <c r="E192" s="30" t="s">
        <v>19</v>
      </c>
      <c r="F192" s="258">
        <f>F191</f>
        <v>10000</v>
      </c>
      <c r="G192" s="30" t="s">
        <v>190</v>
      </c>
      <c r="H192" s="482" cm="1">
        <f t="array" ref="H192">IFERROR(_xlfn.XLOOKUP(1,($B192=DistributionZone)*($C192=CustomerType)*(H$5=Desc_FixedOrVar)*($G192=Description),valuesPY),0)</f>
        <v>4.5072864961663361</v>
      </c>
      <c r="I192" s="482"/>
      <c r="J192" s="482">
        <f>IF(AND(H192="",I192=""),"",H192+I192*$F192/1000)</f>
        <v>4.5072864961663361</v>
      </c>
      <c r="K192" s="484">
        <f>IFERROR(J192/J193,"")</f>
        <v>1.4527505106601639E-2</v>
      </c>
      <c r="L192" s="651"/>
      <c r="M192" s="484">
        <f>IF(OR(J192=0,Q192=""),0,Q192/J192-1)</f>
        <v>-0.77278218471215898</v>
      </c>
      <c r="N192" s="651"/>
      <c r="O192" s="482" cm="1">
        <f t="array" ref="O192">IFERROR(_xlfn.XLOOKUP(1,($B192=DistributionZone)*($C192=CustomerType)*(O$5=Desc_FixedOrVar)*($G192=Description),valuesFY),0)</f>
        <v>1.0241357905353028</v>
      </c>
      <c r="P192" s="482"/>
      <c r="Q192" s="482">
        <f>IF(AND(O192="",P192=""),"",O192+P192*$F192/1000)</f>
        <v>1.0241357905353028</v>
      </c>
      <c r="R192" s="484">
        <f>IFERROR(Q192/Q193,"")</f>
        <v>3.5260828168512757E-3</v>
      </c>
      <c r="S192" s="484"/>
      <c r="T192" s="607"/>
      <c r="U192" s="484"/>
      <c r="V192" s="484"/>
      <c r="W192" s="484"/>
      <c r="X192" s="484"/>
      <c r="Y192" s="484"/>
      <c r="Z192" s="484"/>
      <c r="AA192" s="484"/>
      <c r="AB192" s="484"/>
      <c r="AC192" s="484"/>
      <c r="AD192" s="484"/>
      <c r="AE192" s="484"/>
    </row>
    <row r="193" spans="1:31" s="65" customFormat="1" x14ac:dyDescent="0.35">
      <c r="A193" s="30"/>
      <c r="B193" s="30" t="str">
        <f t="shared" si="45"/>
        <v>Energex</v>
      </c>
      <c r="C193" s="30" t="str">
        <f t="shared" si="46"/>
        <v>Small business</v>
      </c>
      <c r="D193" s="30" t="str">
        <f t="shared" si="47"/>
        <v>flat rate</v>
      </c>
      <c r="E193" s="30" t="s">
        <v>19</v>
      </c>
      <c r="F193" s="258">
        <f>F192</f>
        <v>10000</v>
      </c>
      <c r="G193" s="64" t="s">
        <v>55</v>
      </c>
      <c r="H193" s="487">
        <f>SUM(H189:H192)</f>
        <v>310.2588134089259</v>
      </c>
      <c r="I193" s="487">
        <f>SUM(I189:I192)</f>
        <v>0</v>
      </c>
      <c r="J193" s="487">
        <f>IF(AND(H193="",I193=""),"",H193+I193*$F193/1000)</f>
        <v>310.2588134089259</v>
      </c>
      <c r="K193" s="564"/>
      <c r="L193" s="487"/>
      <c r="M193" s="564">
        <f>IF(OR(J193=0,Q193=""),"",Q193/J193-1)</f>
        <v>-6.3859772059288722E-2</v>
      </c>
      <c r="N193" s="487"/>
      <c r="O193" s="487">
        <f>SUM(O189:O192)</f>
        <v>290.4457563052465</v>
      </c>
      <c r="P193" s="487">
        <f>SUM(P189:P192)</f>
        <v>0</v>
      </c>
      <c r="Q193" s="487">
        <f>IF(AND(O193="",P193=""),"",O193+P193*$F193/1000)</f>
        <v>290.4457563052465</v>
      </c>
      <c r="R193" s="564"/>
      <c r="S193" s="564"/>
      <c r="T193" s="611"/>
      <c r="U193" s="564"/>
      <c r="V193" s="564"/>
      <c r="W193" s="564"/>
      <c r="X193" s="564"/>
      <c r="Y193" s="564"/>
      <c r="Z193" s="564"/>
      <c r="AA193" s="564"/>
      <c r="AB193" s="564"/>
      <c r="AC193" s="564"/>
      <c r="AD193" s="564"/>
      <c r="AE193" s="564"/>
    </row>
    <row r="194" spans="1:31" s="65" customFormat="1" x14ac:dyDescent="0.35">
      <c r="A194" s="30"/>
      <c r="B194" s="30" t="str">
        <f t="shared" si="45"/>
        <v>Energex</v>
      </c>
      <c r="C194" s="30" t="str">
        <f t="shared" si="46"/>
        <v>Small business</v>
      </c>
      <c r="D194" s="30" t="str">
        <f t="shared" si="47"/>
        <v>flat rate</v>
      </c>
      <c r="E194" s="30" t="s">
        <v>19</v>
      </c>
      <c r="F194" s="258">
        <f>F193</f>
        <v>10000</v>
      </c>
      <c r="G194" s="30" t="s">
        <v>161</v>
      </c>
      <c r="H194" s="482"/>
      <c r="I194" s="482"/>
      <c r="J194" s="482">
        <f>J193*CPIPY</f>
        <v>17.612772319597951</v>
      </c>
      <c r="K194" s="484"/>
      <c r="L194" s="482"/>
      <c r="M194" s="484">
        <f>IF(OR(J194=0,Q194=""),"",Q194/J194-1)</f>
        <v>0.20632275145009227</v>
      </c>
      <c r="N194" s="482"/>
      <c r="O194" s="482"/>
      <c r="P194" s="482"/>
      <c r="Q194" s="482">
        <f>Q193*CPI</f>
        <v>21.246687965241424</v>
      </c>
      <c r="R194" s="484"/>
      <c r="S194" s="484"/>
      <c r="T194" s="607"/>
      <c r="U194" s="484"/>
      <c r="V194" s="484"/>
      <c r="W194" s="484"/>
      <c r="X194" s="484"/>
      <c r="Y194" s="484"/>
      <c r="Z194" s="484"/>
      <c r="AA194" s="484"/>
      <c r="AB194" s="484"/>
      <c r="AC194" s="484"/>
      <c r="AD194" s="484"/>
      <c r="AE194" s="484"/>
    </row>
    <row r="195" spans="1:31" s="65" customFormat="1" x14ac:dyDescent="0.35">
      <c r="A195" s="30"/>
      <c r="B195" s="30" t="str">
        <f t="shared" si="45"/>
        <v>Energex</v>
      </c>
      <c r="C195" s="30" t="str">
        <f t="shared" si="46"/>
        <v>Small business</v>
      </c>
      <c r="D195" s="30" t="str">
        <f t="shared" si="47"/>
        <v>flat rate</v>
      </c>
      <c r="E195" s="30"/>
      <c r="F195" s="258"/>
      <c r="G195" s="30" t="s">
        <v>38</v>
      </c>
      <c r="H195" s="482"/>
      <c r="I195" s="482"/>
      <c r="J195" s="482">
        <f>SUM(J193,J194)*GST</f>
        <v>32.787158572852391</v>
      </c>
      <c r="K195" s="484"/>
      <c r="L195" s="482"/>
      <c r="M195" s="484">
        <f>IF(OR(J195=0,Q195=""),0,Q195/J195-1)</f>
        <v>-4.9345970075711953E-2</v>
      </c>
      <c r="N195" s="482"/>
      <c r="O195" s="482"/>
      <c r="P195" s="482"/>
      <c r="Q195" s="482">
        <f>SUM(Q193,Q194)*GST</f>
        <v>31.169244427048795</v>
      </c>
      <c r="R195" s="564"/>
      <c r="S195" s="564"/>
      <c r="T195" s="611"/>
      <c r="U195" s="564"/>
      <c r="V195" s="564"/>
      <c r="W195" s="564"/>
      <c r="X195" s="564"/>
      <c r="Y195" s="564"/>
      <c r="Z195" s="564"/>
      <c r="AA195" s="564"/>
      <c r="AB195" s="564"/>
      <c r="AC195" s="564"/>
      <c r="AD195" s="564"/>
      <c r="AE195" s="564"/>
    </row>
    <row r="196" spans="1:31" s="65" customFormat="1" x14ac:dyDescent="0.35">
      <c r="A196" s="30"/>
      <c r="B196" s="30" t="str">
        <f t="shared" si="45"/>
        <v>Energex</v>
      </c>
      <c r="C196" s="30" t="str">
        <f t="shared" si="46"/>
        <v>Small business</v>
      </c>
      <c r="D196" s="30" t="str">
        <f t="shared" si="47"/>
        <v>flat rate</v>
      </c>
      <c r="E196" s="30"/>
      <c r="F196" s="258"/>
      <c r="G196" s="64" t="s">
        <v>79</v>
      </c>
      <c r="H196" s="487"/>
      <c r="I196" s="487"/>
      <c r="J196" s="487">
        <f>SUM(J193:J195)</f>
        <v>360.65874430137626</v>
      </c>
      <c r="K196" s="564"/>
      <c r="L196" s="487"/>
      <c r="M196" s="564">
        <f>IF(OR(J196=0,Q196=""),"",Q196/J196-1)</f>
        <v>-4.9345970075711842E-2</v>
      </c>
      <c r="N196" s="487"/>
      <c r="O196" s="487"/>
      <c r="P196" s="487"/>
      <c r="Q196" s="487">
        <f>SUM(Q193:Q195)</f>
        <v>342.86168869753675</v>
      </c>
      <c r="R196" s="564"/>
      <c r="S196" s="564"/>
      <c r="T196" s="611"/>
      <c r="U196" s="564"/>
      <c r="V196" s="564"/>
      <c r="W196" s="564"/>
      <c r="X196" s="564"/>
      <c r="Y196" s="564"/>
      <c r="Z196" s="564"/>
      <c r="AA196" s="564"/>
      <c r="AB196" s="564"/>
      <c r="AC196" s="564"/>
      <c r="AD196" s="564"/>
      <c r="AE196" s="564"/>
    </row>
    <row r="197" spans="1:31" s="65" customFormat="1" x14ac:dyDescent="0.35">
      <c r="A197" s="30"/>
      <c r="B197" s="30" t="str">
        <f t="shared" si="45"/>
        <v>Energex</v>
      </c>
      <c r="C197" s="30" t="str">
        <f t="shared" si="46"/>
        <v>Small business</v>
      </c>
      <c r="D197" s="30" t="str">
        <f t="shared" si="47"/>
        <v>flat rate</v>
      </c>
      <c r="E197" s="30"/>
      <c r="F197" s="258"/>
      <c r="G197" s="30"/>
      <c r="H197" s="482"/>
      <c r="I197" s="482"/>
      <c r="J197" s="482"/>
      <c r="K197" s="484"/>
      <c r="L197" s="482"/>
      <c r="M197" s="484"/>
      <c r="N197" s="482"/>
      <c r="O197" s="482"/>
      <c r="P197" s="482"/>
      <c r="Q197" s="482"/>
      <c r="R197" s="484"/>
      <c r="S197" s="484"/>
      <c r="T197" s="607"/>
      <c r="U197" s="484"/>
      <c r="V197" s="484"/>
      <c r="W197" s="484"/>
      <c r="X197" s="484"/>
      <c r="Y197" s="484"/>
      <c r="Z197" s="484"/>
      <c r="AA197" s="484"/>
      <c r="AB197" s="484"/>
      <c r="AC197" s="484"/>
      <c r="AD197" s="484"/>
      <c r="AE197" s="484"/>
    </row>
    <row r="198" spans="1:31" s="570" customFormat="1" x14ac:dyDescent="0.35">
      <c r="B198" s="571" t="s">
        <v>0</v>
      </c>
      <c r="C198" s="571" t="s">
        <v>13</v>
      </c>
      <c r="D198" s="571" t="s">
        <v>272</v>
      </c>
      <c r="F198" s="485"/>
      <c r="H198" s="574"/>
      <c r="I198" s="574"/>
      <c r="J198" s="574"/>
      <c r="K198" s="575"/>
      <c r="L198" s="574"/>
      <c r="M198" s="575"/>
      <c r="N198" s="574"/>
      <c r="O198" s="574"/>
      <c r="P198" s="574"/>
      <c r="Q198" s="574"/>
      <c r="R198" s="575"/>
      <c r="S198" s="575"/>
      <c r="T198" s="612"/>
      <c r="U198" s="575"/>
      <c r="V198" s="575"/>
      <c r="W198" s="575"/>
      <c r="X198" s="575"/>
      <c r="Y198" s="575"/>
      <c r="Z198" s="575"/>
      <c r="AA198" s="575"/>
      <c r="AB198" s="575"/>
      <c r="AC198" s="575"/>
      <c r="AD198" s="575"/>
      <c r="AE198" s="575"/>
    </row>
    <row r="199" spans="1:31" s="570" customFormat="1" x14ac:dyDescent="0.35">
      <c r="B199" s="570" t="str">
        <f t="shared" ref="B199:B207" si="48">B198</f>
        <v>Energex</v>
      </c>
      <c r="C199" s="570" t="str">
        <f t="shared" ref="C199:C207" si="49">C198</f>
        <v>Small business</v>
      </c>
      <c r="D199" s="570" t="str">
        <f t="shared" ref="D199:D207" si="50">D198</f>
        <v>time of use</v>
      </c>
      <c r="E199" s="570" t="s">
        <v>19</v>
      </c>
      <c r="F199" s="485" cm="1">
        <f t="array" ref="F199">IFERROR(_xlfn.XLOOKUP(1,($B199=DistributionZone)*($C199=CustomerType)*($E199=tariffType)*(F$5=Description),valuesFY),0)</f>
        <v>10000</v>
      </c>
      <c r="G199" s="570" t="s">
        <v>220</v>
      </c>
      <c r="H199" s="574" cm="1">
        <f t="array" ref="H199">IFERROR(_xlfn.XLOOKUP(1,($B199=DistributionZone)*($C199=CustomerType)*(H$5=Desc_FixedOrVar)*($G199=Description),valuesPY),0)</f>
        <v>193.19039449943125</v>
      </c>
      <c r="I199" s="574"/>
      <c r="J199" s="574">
        <f>IF(AND(H199="",I199=""),"",H199+I199*$F199/1000)</f>
        <v>193.19039449943125</v>
      </c>
      <c r="K199" s="575" t="str">
        <f>IFERROR(J199/J203,"")</f>
        <v/>
      </c>
      <c r="L199" s="654"/>
      <c r="M199" s="575">
        <f>IF(OR(J199=0,Q199=""),"",Q199/J199-1)</f>
        <v>-4.438780264279818E-2</v>
      </c>
      <c r="N199" s="654"/>
      <c r="O199" s="574" cm="1">
        <f t="array" ref="O199">IFERROR(_xlfn.XLOOKUP(1,($B199=DistributionZone)*($C199=CustomerType)*(O$5=Desc_FixedOrVar)*($G199=Description),valuesFY),0)</f>
        <v>184.61509739590616</v>
      </c>
      <c r="P199" s="574"/>
      <c r="Q199" s="574">
        <f>IF(AND(O199="",P199=""),"",O199+P199*$F199/1000)</f>
        <v>184.61509739590616</v>
      </c>
      <c r="R199" s="575">
        <f>IFERROR(Q199/Q203,"")</f>
        <v>0.63562676812493457</v>
      </c>
      <c r="S199" s="575"/>
      <c r="T199" s="612"/>
      <c r="U199" s="575"/>
      <c r="V199" s="575"/>
      <c r="W199" s="575"/>
      <c r="X199" s="575"/>
      <c r="Y199" s="575"/>
      <c r="Z199" s="575"/>
      <c r="AA199" s="575"/>
      <c r="AB199" s="575"/>
      <c r="AC199" s="575"/>
      <c r="AD199" s="575"/>
      <c r="AE199" s="575"/>
    </row>
    <row r="200" spans="1:31" s="570" customFormat="1" x14ac:dyDescent="0.35">
      <c r="B200" s="570" t="str">
        <f t="shared" si="48"/>
        <v>Energex</v>
      </c>
      <c r="C200" s="570" t="str">
        <f t="shared" si="49"/>
        <v>Small business</v>
      </c>
      <c r="D200" s="570" t="str">
        <f t="shared" si="50"/>
        <v>time of use</v>
      </c>
      <c r="E200" s="570" t="s">
        <v>19</v>
      </c>
      <c r="F200" s="485">
        <f>F199</f>
        <v>10000</v>
      </c>
      <c r="G200" s="615" t="s">
        <v>222</v>
      </c>
      <c r="H200" s="574" cm="1">
        <f t="array" ref="H200">IFERROR(_xlfn.XLOOKUP(1,($B200=DistributionZone)*($C200=CustomerType)*(H$5=Desc_FixedOrVar)*($G200=Description),valuesPY),0)</f>
        <v>57.463423451720978</v>
      </c>
      <c r="I200" s="574"/>
      <c r="J200" s="574">
        <f>IF(AND(H200="",I200=""),"",H200+I200*$F200/1000)</f>
        <v>57.463423451720978</v>
      </c>
      <c r="K200" s="575" t="str">
        <f>IFERROR(J200/J203,"")</f>
        <v/>
      </c>
      <c r="L200" s="654"/>
      <c r="M200" s="575">
        <f>IF(OR(J200=0,Q200=""),"",Q200/J200-1)</f>
        <v>0.11762092063606167</v>
      </c>
      <c r="N200" s="654"/>
      <c r="O200" s="574" cm="1">
        <f t="array" ref="O200">IFERROR(_xlfn.XLOOKUP(1,($B200=DistributionZone)*($C200=CustomerType)*(O$5=Desc_FixedOrVar)*($G200=Description),valuesFY),0)</f>
        <v>64.222324221012258</v>
      </c>
      <c r="P200" s="574"/>
      <c r="Q200" s="574">
        <f>IF(AND(O200="",P200=""),"",O200+P200*$F200/1000)</f>
        <v>64.222324221012258</v>
      </c>
      <c r="R200" s="575">
        <f>IFERROR(Q200/Q203,"")</f>
        <v>0.22111641443133101</v>
      </c>
      <c r="S200" s="575"/>
      <c r="T200" s="612"/>
      <c r="U200" s="575"/>
      <c r="V200" s="575"/>
      <c r="W200" s="575"/>
      <c r="X200" s="575"/>
      <c r="Y200" s="575"/>
      <c r="Z200" s="575"/>
      <c r="AA200" s="575"/>
      <c r="AB200" s="575"/>
      <c r="AC200" s="575"/>
      <c r="AD200" s="575"/>
      <c r="AE200" s="575"/>
    </row>
    <row r="201" spans="1:31" s="570" customFormat="1" x14ac:dyDescent="0.35">
      <c r="B201" s="570" t="str">
        <f t="shared" si="48"/>
        <v>Energex</v>
      </c>
      <c r="C201" s="570" t="str">
        <f t="shared" si="49"/>
        <v>Small business</v>
      </c>
      <c r="D201" s="570" t="str">
        <f t="shared" si="50"/>
        <v>time of use</v>
      </c>
      <c r="E201" s="570" t="s">
        <v>19</v>
      </c>
      <c r="F201" s="485">
        <f>F200</f>
        <v>10000</v>
      </c>
      <c r="G201" s="570" t="s">
        <v>158</v>
      </c>
      <c r="H201" s="574" cm="1">
        <f t="array" ref="H201">IFERROR(_xlfn.XLOOKUP(1,($B201=DistributionZone)*($C201=CustomerType)*(H$5=Desc_FixedOrVar)*($G201=Description),valuesPY),0)</f>
        <v>55.097708961607353</v>
      </c>
      <c r="I201" s="574"/>
      <c r="J201" s="574">
        <f>IF(AND(H201="",I201=""),"",H201+I201*$F201/1000)</f>
        <v>55.097708961607353</v>
      </c>
      <c r="K201" s="575" t="str">
        <f>IFERROR(J201/J203,"")</f>
        <v/>
      </c>
      <c r="L201" s="654"/>
      <c r="M201" s="575">
        <f>IF(OR(J201=0,Q201=""),"",Q201/J201-1)</f>
        <v>-0.2634140391196248</v>
      </c>
      <c r="N201" s="654"/>
      <c r="O201" s="574" cm="1">
        <f t="array" ref="O201">IFERROR(_xlfn.XLOOKUP(1,($B201=DistributionZone)*($C201=CustomerType)*(O$5=Desc_FixedOrVar)*($G201=Description),valuesFY),0)</f>
        <v>40.58419889779281</v>
      </c>
      <c r="P201" s="574"/>
      <c r="Q201" s="574">
        <f>IF(AND(O201="",P201=""),"",O201+P201*$F201/1000)</f>
        <v>40.58419889779281</v>
      </c>
      <c r="R201" s="575">
        <f>IFERROR(Q201/Q203,"")</f>
        <v>0.13973073462688329</v>
      </c>
      <c r="S201" s="575"/>
      <c r="T201" s="612"/>
      <c r="U201" s="575"/>
      <c r="V201" s="575"/>
      <c r="W201" s="575"/>
      <c r="X201" s="575"/>
      <c r="Y201" s="575"/>
      <c r="Z201" s="575"/>
      <c r="AA201" s="575"/>
      <c r="AB201" s="575"/>
      <c r="AC201" s="575"/>
      <c r="AD201" s="575"/>
      <c r="AE201" s="575"/>
    </row>
    <row r="202" spans="1:31" s="627" customFormat="1" x14ac:dyDescent="0.35">
      <c r="A202" s="570"/>
      <c r="B202" s="570" t="str">
        <f t="shared" si="48"/>
        <v>Energex</v>
      </c>
      <c r="C202" s="570" t="str">
        <f t="shared" si="49"/>
        <v>Small business</v>
      </c>
      <c r="D202" s="570" t="str">
        <f t="shared" si="50"/>
        <v>time of use</v>
      </c>
      <c r="E202" s="570" t="s">
        <v>19</v>
      </c>
      <c r="F202" s="485">
        <f>F201</f>
        <v>10000</v>
      </c>
      <c r="G202" s="570" t="s">
        <v>190</v>
      </c>
      <c r="H202" s="574" cm="1">
        <f t="array" ref="H202">IFERROR(_xlfn.XLOOKUP(1,($B202=DistributionZone)*($C202=CustomerType)*(H$5=Desc_FixedOrVar)*($G202=Description),valuesPY),0)</f>
        <v>4.5072864961663361</v>
      </c>
      <c r="I202" s="574"/>
      <c r="J202" s="574">
        <f>IF(AND(H202="",I202=""),"",H202+I202*$F202/1000)</f>
        <v>4.5072864961663361</v>
      </c>
      <c r="K202" s="575" t="str">
        <f>IFERROR(J202/J203,"")</f>
        <v/>
      </c>
      <c r="L202" s="654"/>
      <c r="M202" s="575">
        <f>IF(OR(J202=0,Q202=""),0,Q202/J202-1)</f>
        <v>-0.77278218471215898</v>
      </c>
      <c r="N202" s="654"/>
      <c r="O202" s="574" cm="1">
        <f t="array" ref="O202">IFERROR(_xlfn.XLOOKUP(1,($B202=DistributionZone)*($C202=CustomerType)*(O$5=Desc_FixedOrVar)*($G202=Description),valuesFY),0)</f>
        <v>1.0241357905353028</v>
      </c>
      <c r="P202" s="574"/>
      <c r="Q202" s="574">
        <f>IF(AND(O202="",P202=""),"",O202+P202*$F202/1000)</f>
        <v>1.0241357905353028</v>
      </c>
      <c r="R202" s="575">
        <f>IFERROR(Q202/Q203,"")</f>
        <v>3.5260828168512757E-3</v>
      </c>
      <c r="S202" s="575"/>
      <c r="T202" s="612"/>
      <c r="U202" s="575"/>
      <c r="V202" s="575"/>
      <c r="W202" s="575"/>
      <c r="X202" s="575"/>
      <c r="Y202" s="575"/>
      <c r="Z202" s="575"/>
      <c r="AA202" s="575"/>
      <c r="AB202" s="575"/>
      <c r="AC202" s="575"/>
      <c r="AD202" s="575"/>
      <c r="AE202" s="575"/>
    </row>
    <row r="203" spans="1:31" s="627" customFormat="1" x14ac:dyDescent="0.35">
      <c r="A203" s="570"/>
      <c r="B203" s="570" t="str">
        <f t="shared" si="48"/>
        <v>Energex</v>
      </c>
      <c r="C203" s="570" t="str">
        <f t="shared" si="49"/>
        <v>Small business</v>
      </c>
      <c r="D203" s="570" t="str">
        <f t="shared" si="50"/>
        <v>time of use</v>
      </c>
      <c r="E203" s="570" t="s">
        <v>272</v>
      </c>
      <c r="F203" s="485">
        <f>F202</f>
        <v>10000</v>
      </c>
      <c r="G203" s="571" t="s">
        <v>55</v>
      </c>
      <c r="H203" s="577">
        <f>IF($H$3=PY,0,SUM(H199:H202))</f>
        <v>0</v>
      </c>
      <c r="I203" s="577">
        <f>SUM(I199:I202)</f>
        <v>0</v>
      </c>
      <c r="J203" s="577">
        <f>IF($H$3=PY,0,IF(AND(H203="",I203=""),"",H203+I203*$F203/1000))</f>
        <v>0</v>
      </c>
      <c r="K203" s="578"/>
      <c r="L203" s="577"/>
      <c r="M203" s="578" t="str">
        <f>IF(OR(J203=0,Q203=""),"",Q203/J203-1)</f>
        <v/>
      </c>
      <c r="N203" s="577"/>
      <c r="O203" s="577">
        <f>SUM(O199:O202)</f>
        <v>290.4457563052465</v>
      </c>
      <c r="P203" s="577">
        <f>SUM(P199:P202)</f>
        <v>0</v>
      </c>
      <c r="Q203" s="577">
        <f>IF(AND(O203="",P203=""),"",O203+P203*$F203/1000)</f>
        <v>290.4457563052465</v>
      </c>
      <c r="R203" s="578"/>
      <c r="S203" s="578"/>
      <c r="T203" s="621"/>
      <c r="U203" s="578"/>
      <c r="V203" s="578"/>
      <c r="W203" s="578"/>
      <c r="X203" s="578"/>
      <c r="Y203" s="578"/>
      <c r="Z203" s="578"/>
      <c r="AA203" s="578"/>
      <c r="AB203" s="578"/>
      <c r="AC203" s="578"/>
      <c r="AD203" s="578"/>
      <c r="AE203" s="578"/>
    </row>
    <row r="204" spans="1:31" s="627" customFormat="1" x14ac:dyDescent="0.35">
      <c r="A204" s="570"/>
      <c r="B204" s="570" t="str">
        <f t="shared" si="48"/>
        <v>Energex</v>
      </c>
      <c r="C204" s="570" t="str">
        <f t="shared" si="49"/>
        <v>Small business</v>
      </c>
      <c r="D204" s="570" t="str">
        <f t="shared" si="50"/>
        <v>time of use</v>
      </c>
      <c r="E204" s="570" t="s">
        <v>272</v>
      </c>
      <c r="F204" s="485">
        <f>F203</f>
        <v>10000</v>
      </c>
      <c r="G204" s="570" t="s">
        <v>161</v>
      </c>
      <c r="H204" s="574"/>
      <c r="I204" s="574"/>
      <c r="J204" s="574">
        <f>J203*CPIPY</f>
        <v>0</v>
      </c>
      <c r="K204" s="575"/>
      <c r="L204" s="574"/>
      <c r="M204" s="575" t="str">
        <f>IF(OR(J204=0,Q204=""),"",Q204/J204-1)</f>
        <v/>
      </c>
      <c r="N204" s="574"/>
      <c r="O204" s="574"/>
      <c r="P204" s="574"/>
      <c r="Q204" s="574">
        <f>Q203*CPI</f>
        <v>21.246687965241424</v>
      </c>
      <c r="R204" s="575"/>
      <c r="S204" s="575"/>
      <c r="T204" s="612"/>
      <c r="U204" s="575"/>
      <c r="V204" s="575"/>
      <c r="W204" s="575"/>
      <c r="X204" s="575"/>
      <c r="Y204" s="575"/>
      <c r="Z204" s="575"/>
      <c r="AA204" s="575"/>
      <c r="AB204" s="575"/>
      <c r="AC204" s="575"/>
      <c r="AD204" s="575"/>
      <c r="AE204" s="575"/>
    </row>
    <row r="205" spans="1:31" s="627" customFormat="1" x14ac:dyDescent="0.35">
      <c r="A205" s="570"/>
      <c r="B205" s="570" t="str">
        <f t="shared" si="48"/>
        <v>Energex</v>
      </c>
      <c r="C205" s="570" t="str">
        <f t="shared" si="49"/>
        <v>Small business</v>
      </c>
      <c r="D205" s="570" t="str">
        <f t="shared" si="50"/>
        <v>time of use</v>
      </c>
      <c r="E205" s="570"/>
      <c r="F205" s="485"/>
      <c r="G205" s="570" t="s">
        <v>38</v>
      </c>
      <c r="H205" s="574"/>
      <c r="I205" s="574"/>
      <c r="J205" s="574">
        <f>SUM(J203,J204)*GST</f>
        <v>0</v>
      </c>
      <c r="K205" s="575"/>
      <c r="L205" s="574"/>
      <c r="M205" s="575">
        <f>IF(OR(J205=0,Q205=""),0,Q205/J205-1)</f>
        <v>0</v>
      </c>
      <c r="N205" s="574"/>
      <c r="O205" s="574"/>
      <c r="P205" s="574"/>
      <c r="Q205" s="574">
        <f>SUM(Q203,Q204)*GST</f>
        <v>31.169244427048795</v>
      </c>
      <c r="R205" s="578"/>
      <c r="S205" s="578"/>
      <c r="T205" s="621"/>
      <c r="U205" s="578"/>
      <c r="V205" s="578"/>
      <c r="W205" s="578"/>
      <c r="X205" s="578"/>
      <c r="Y205" s="578"/>
      <c r="Z205" s="578"/>
      <c r="AA205" s="578"/>
      <c r="AB205" s="578"/>
      <c r="AC205" s="578"/>
      <c r="AD205" s="578"/>
      <c r="AE205" s="578"/>
    </row>
    <row r="206" spans="1:31" s="627" customFormat="1" x14ac:dyDescent="0.35">
      <c r="A206" s="570"/>
      <c r="B206" s="570" t="str">
        <f t="shared" si="48"/>
        <v>Energex</v>
      </c>
      <c r="C206" s="570" t="str">
        <f t="shared" si="49"/>
        <v>Small business</v>
      </c>
      <c r="D206" s="570" t="str">
        <f t="shared" si="50"/>
        <v>time of use</v>
      </c>
      <c r="E206" s="570" t="s">
        <v>272</v>
      </c>
      <c r="F206" s="485"/>
      <c r="G206" s="571" t="s">
        <v>79</v>
      </c>
      <c r="H206" s="577"/>
      <c r="I206" s="577"/>
      <c r="J206" s="577">
        <f>SUM(J203:J205)</f>
        <v>0</v>
      </c>
      <c r="K206" s="578"/>
      <c r="L206" s="577"/>
      <c r="M206" s="578" t="str">
        <f>IF(OR(J206=0,Q206=""),"",Q206/J206-1)</f>
        <v/>
      </c>
      <c r="N206" s="577"/>
      <c r="O206" s="577"/>
      <c r="P206" s="577"/>
      <c r="Q206" s="577">
        <f>SUM(Q203:Q205)</f>
        <v>342.86168869753675</v>
      </c>
      <c r="R206" s="578"/>
      <c r="S206" s="578"/>
      <c r="T206" s="621"/>
      <c r="U206" s="578"/>
      <c r="V206" s="578"/>
      <c r="W206" s="578"/>
      <c r="X206" s="578"/>
      <c r="Y206" s="578"/>
      <c r="Z206" s="578"/>
      <c r="AA206" s="578"/>
      <c r="AB206" s="578"/>
      <c r="AC206" s="578"/>
      <c r="AD206" s="578"/>
      <c r="AE206" s="578"/>
    </row>
    <row r="207" spans="1:31" s="627" customFormat="1" x14ac:dyDescent="0.35">
      <c r="A207" s="570"/>
      <c r="B207" s="570" t="str">
        <f t="shared" si="48"/>
        <v>Energex</v>
      </c>
      <c r="C207" s="570" t="str">
        <f t="shared" si="49"/>
        <v>Small business</v>
      </c>
      <c r="D207" s="570" t="str">
        <f t="shared" si="50"/>
        <v>time of use</v>
      </c>
      <c r="E207" s="570"/>
      <c r="F207" s="485"/>
      <c r="G207" s="570"/>
      <c r="H207" s="574"/>
      <c r="I207" s="574"/>
      <c r="J207" s="574"/>
      <c r="K207" s="575"/>
      <c r="L207" s="574"/>
      <c r="M207" s="575"/>
      <c r="N207" s="574"/>
      <c r="O207" s="574"/>
      <c r="P207" s="574"/>
      <c r="Q207" s="574"/>
      <c r="R207" s="575"/>
      <c r="S207" s="575"/>
      <c r="T207" s="612"/>
      <c r="U207" s="575"/>
      <c r="V207" s="575"/>
      <c r="W207" s="575"/>
      <c r="X207" s="575"/>
      <c r="Y207" s="575"/>
      <c r="Z207" s="575"/>
      <c r="AA207" s="575"/>
      <c r="AB207" s="575"/>
      <c r="AC207" s="575"/>
      <c r="AD207" s="575"/>
      <c r="AE207" s="575"/>
    </row>
    <row r="208" spans="1:31" x14ac:dyDescent="0.35">
      <c r="B208" s="64" t="s">
        <v>5</v>
      </c>
      <c r="C208" s="64" t="s">
        <v>6</v>
      </c>
      <c r="D208" s="64" t="s">
        <v>276</v>
      </c>
      <c r="F208" s="258"/>
      <c r="H208" s="482"/>
      <c r="I208" s="482"/>
      <c r="J208" s="482"/>
      <c r="K208" s="484"/>
      <c r="L208" s="651"/>
      <c r="M208" s="484"/>
      <c r="N208" s="651"/>
      <c r="O208" s="482"/>
      <c r="P208" s="482"/>
      <c r="Q208" s="482"/>
      <c r="R208" s="484"/>
      <c r="S208" s="484"/>
      <c r="T208" s="607"/>
      <c r="U208" s="484"/>
      <c r="V208" s="484"/>
      <c r="W208" s="484"/>
      <c r="X208" s="484"/>
      <c r="Y208" s="484"/>
      <c r="Z208" s="484"/>
      <c r="AA208" s="484"/>
      <c r="AB208" s="484"/>
      <c r="AC208" s="484"/>
      <c r="AD208" s="484"/>
      <c r="AE208" s="484"/>
    </row>
    <row r="209" spans="1:31" x14ac:dyDescent="0.35">
      <c r="B209" s="30" t="str">
        <f>B208</f>
        <v>SAPN</v>
      </c>
      <c r="C209" s="30" t="str">
        <f>C208</f>
        <v>Residential</v>
      </c>
      <c r="D209" s="30" t="str">
        <f>D208</f>
        <v>flat rate</v>
      </c>
      <c r="E209" s="30" t="s">
        <v>19</v>
      </c>
      <c r="F209" s="258" cm="1">
        <f t="array" ref="F209">IFERROR(_xlfn.XLOOKUP(1,($B209=DistributionZone)*($C209=CustomerType)*($E209=tariffType)*(F$5=Description),valuesFY),0)</f>
        <v>4000</v>
      </c>
      <c r="G209" s="30" t="s">
        <v>220</v>
      </c>
      <c r="H209" s="482" cm="1">
        <f t="array" ref="H209">IFERROR(_xlfn.XLOOKUP(1,($B209=DistributionZone)*($C209=CustomerType)*(H$5=Desc_FixedOrVar)*($G209=Description),valuesPY),0)</f>
        <v>183.10232159386237</v>
      </c>
      <c r="I209" s="482"/>
      <c r="J209" s="482">
        <f>IF(AND(H209="",I209=""),"",H209+I209*$F209/1000)</f>
        <v>183.10232159386237</v>
      </c>
      <c r="K209" s="484">
        <f>IFERROR(J209/J213,"")</f>
        <v>0.63636140205719183</v>
      </c>
      <c r="L209" s="651"/>
      <c r="M209" s="484">
        <f>IF(OR(J209=0,Q209=""),"",Q209/J209-1)</f>
        <v>-0.10292985753535056</v>
      </c>
      <c r="N209" s="651"/>
      <c r="O209" s="482" cm="1">
        <f t="array" ref="O209">IFERROR(_xlfn.XLOOKUP(1,($B209=DistributionZone)*($C209=CustomerType)*(O$5=Desc_FixedOrVar)*($G209=Description),valuesFY),0)</f>
        <v>164.25562571781418</v>
      </c>
      <c r="P209" s="482"/>
      <c r="Q209" s="482">
        <f>IF(AND(O209="",P209=""),"",O209+P209*$F209/1000)</f>
        <v>164.25562571781418</v>
      </c>
      <c r="R209" s="484">
        <f>IFERROR(Q209/Q213,"")</f>
        <v>0.58807841920385218</v>
      </c>
      <c r="S209" s="484"/>
      <c r="T209" s="607"/>
      <c r="U209" s="484"/>
      <c r="V209" s="484"/>
      <c r="W209" s="484"/>
      <c r="X209" s="484"/>
      <c r="Y209" s="484"/>
      <c r="Z209" s="484"/>
      <c r="AA209" s="484"/>
      <c r="AB209" s="484"/>
      <c r="AC209" s="484"/>
      <c r="AD209" s="484"/>
      <c r="AE209" s="484"/>
    </row>
    <row r="210" spans="1:31" x14ac:dyDescent="0.35">
      <c r="B210" s="30" t="str">
        <f t="shared" ref="B210:D212" si="51">B209</f>
        <v>SAPN</v>
      </c>
      <c r="C210" s="30" t="str">
        <f t="shared" si="51"/>
        <v>Residential</v>
      </c>
      <c r="D210" s="30" t="str">
        <f t="shared" si="51"/>
        <v>flat rate</v>
      </c>
      <c r="E210" s="30" t="s">
        <v>19</v>
      </c>
      <c r="F210" s="258">
        <f>F209</f>
        <v>4000</v>
      </c>
      <c r="G210" s="379" t="s">
        <v>222</v>
      </c>
      <c r="H210" s="482" cm="1">
        <f t="array" ref="H210">IFERROR(_xlfn.XLOOKUP(1,($B210=DistributionZone)*($C210=CustomerType)*(H$5=Desc_FixedOrVar)*($G210=Description),valuesPY),0)</f>
        <v>63.050983486012669</v>
      </c>
      <c r="I210" s="482"/>
      <c r="J210" s="482">
        <f>IF(AND(H210="",I210=""),"",H210+I210*$F210/1000)</f>
        <v>63.050983486012669</v>
      </c>
      <c r="K210" s="484">
        <f>IFERROR(J210/J213,"")</f>
        <v>0.21913000284748335</v>
      </c>
      <c r="L210" s="651"/>
      <c r="M210" s="484">
        <f>IF(OR(J210=0,Q210=""),"",Q210/J210-1)</f>
        <v>6.8001660969665867E-2</v>
      </c>
      <c r="N210" s="651"/>
      <c r="O210" s="482" cm="1">
        <f t="array" ref="O210">IFERROR(_xlfn.XLOOKUP(1,($B210=DistributionZone)*($C210=CustomerType)*(O$5=Desc_FixedOrVar)*($G210=Description),valuesFY),0)</f>
        <v>67.338555088832507</v>
      </c>
      <c r="P210" s="482"/>
      <c r="Q210" s="482">
        <f>IF(AND(O210="",P210=""),"",O210+P210*$F210/1000)</f>
        <v>67.338555088832507</v>
      </c>
      <c r="R210" s="484">
        <f>IFERROR(Q210/Q213,"")</f>
        <v>0.24108977001581822</v>
      </c>
      <c r="S210" s="484"/>
      <c r="T210" s="607"/>
      <c r="U210" s="484"/>
      <c r="V210" s="484"/>
      <c r="W210" s="484"/>
      <c r="X210" s="484"/>
      <c r="Y210" s="484"/>
      <c r="Z210" s="484"/>
      <c r="AA210" s="484"/>
      <c r="AB210" s="484"/>
      <c r="AC210" s="484"/>
      <c r="AD210" s="484"/>
      <c r="AE210" s="484"/>
    </row>
    <row r="211" spans="1:31" s="65" customFormat="1" x14ac:dyDescent="0.35">
      <c r="A211" s="30"/>
      <c r="B211" s="30" t="str">
        <f t="shared" si="51"/>
        <v>SAPN</v>
      </c>
      <c r="C211" s="30" t="str">
        <f t="shared" si="51"/>
        <v>Residential</v>
      </c>
      <c r="D211" s="30" t="str">
        <f t="shared" si="51"/>
        <v>flat rate</v>
      </c>
      <c r="E211" s="30" t="s">
        <v>19</v>
      </c>
      <c r="F211" s="258">
        <f>F210</f>
        <v>4000</v>
      </c>
      <c r="G211" s="30" t="s">
        <v>158</v>
      </c>
      <c r="H211" s="482" cm="1">
        <f t="array" ref="H211">IFERROR(_xlfn.XLOOKUP(1,($B211=DistributionZone)*($C211=CustomerType)*(H$5=Desc_FixedOrVar)*($G211=Description),valuesPY),0)</f>
        <v>39.639236008489149</v>
      </c>
      <c r="I211" s="482"/>
      <c r="J211" s="482">
        <f>IF(AND(H211="",I211=""),"",H211+I211*$F211/1000)</f>
        <v>39.639236008489149</v>
      </c>
      <c r="K211" s="484">
        <f>IFERROR(J211/J213,"")</f>
        <v>0.13776384473589123</v>
      </c>
      <c r="L211" s="651"/>
      <c r="M211" s="484">
        <f>IF(OR(J211=0,Q211=""),"",Q211/J211-1)</f>
        <v>0.18574646547800033</v>
      </c>
      <c r="N211" s="651"/>
      <c r="O211" s="482" cm="1">
        <f t="array" ref="O211">IFERROR(_xlfn.XLOOKUP(1,($B211=DistributionZone)*($C211=CustomerType)*(O$5=Desc_FixedOrVar)*($G211=Description),valuesFY),0)</f>
        <v>47.002083991314286</v>
      </c>
      <c r="P211" s="482"/>
      <c r="Q211" s="482">
        <f>IF(AND(O211="",P211=""),"",O211+P211*$F211/1000)</f>
        <v>47.002083991314286</v>
      </c>
      <c r="R211" s="484">
        <f>IFERROR(Q211/Q213,"")</f>
        <v>0.16827984510183522</v>
      </c>
      <c r="S211" s="484"/>
      <c r="T211" s="607"/>
      <c r="U211" s="484"/>
      <c r="V211" s="484"/>
      <c r="W211" s="484"/>
      <c r="X211" s="484"/>
      <c r="Y211" s="484"/>
      <c r="Z211" s="484"/>
      <c r="AA211" s="484"/>
      <c r="AB211" s="484"/>
      <c r="AC211" s="484"/>
      <c r="AD211" s="484"/>
      <c r="AE211" s="484"/>
    </row>
    <row r="212" spans="1:31" s="65" customFormat="1" x14ac:dyDescent="0.35">
      <c r="A212" s="30"/>
      <c r="B212" s="30" t="str">
        <f t="shared" si="51"/>
        <v>SAPN</v>
      </c>
      <c r="C212" s="30" t="str">
        <f t="shared" si="51"/>
        <v>Residential</v>
      </c>
      <c r="D212" s="30" t="str">
        <f t="shared" si="51"/>
        <v>flat rate</v>
      </c>
      <c r="E212" s="30" t="s">
        <v>19</v>
      </c>
      <c r="F212" s="258">
        <f>F211</f>
        <v>4000</v>
      </c>
      <c r="G212" s="30" t="s">
        <v>190</v>
      </c>
      <c r="H212" s="482" cm="1">
        <f t="array" ref="H212">IFERROR(_xlfn.XLOOKUP(1,($B212=DistributionZone)*($C212=CustomerType)*(H$5=Desc_FixedOrVar)*($G212=Description),valuesPY),0)</f>
        <v>1.9406888057493121</v>
      </c>
      <c r="I212" s="482"/>
      <c r="J212" s="482">
        <f>IF(AND(H212="",I212=""),"",H212+I212*$F212/1000)</f>
        <v>1.9406888057493121</v>
      </c>
      <c r="K212" s="484">
        <f>IFERROR(J212/J213,"")</f>
        <v>6.7447503594335982E-3</v>
      </c>
      <c r="L212" s="651"/>
      <c r="M212" s="484">
        <f>IF(OR(J212=0,Q212=""),0,Q212/J212-1)</f>
        <v>-0.63271436818673821</v>
      </c>
      <c r="N212" s="651"/>
      <c r="O212" s="482" cm="1">
        <f t="array" ref="O212">IFERROR(_xlfn.XLOOKUP(1,($B212=DistributionZone)*($C212=CustomerType)*(O$5=Desc_FixedOrVar)*($G212=Description),valuesFY),0)</f>
        <v>0.71278711417256069</v>
      </c>
      <c r="P212" s="482"/>
      <c r="Q212" s="482">
        <f>IF(AND(O212="",P212=""),"",O212+P212*$F212/1000)</f>
        <v>0.71278711417256069</v>
      </c>
      <c r="R212" s="484">
        <f>IFERROR(Q212/Q213,"")</f>
        <v>2.5519656784943469E-3</v>
      </c>
      <c r="S212" s="484"/>
      <c r="T212" s="607"/>
      <c r="U212" s="484"/>
      <c r="V212" s="484"/>
      <c r="W212" s="484"/>
      <c r="X212" s="484"/>
      <c r="Y212" s="484"/>
      <c r="Z212" s="484"/>
      <c r="AA212" s="484"/>
      <c r="AB212" s="484"/>
      <c r="AC212" s="484"/>
      <c r="AD212" s="484"/>
      <c r="AE212" s="484"/>
    </row>
    <row r="213" spans="1:31" s="65" customFormat="1" x14ac:dyDescent="0.35">
      <c r="A213" s="30"/>
      <c r="B213" s="30" t="str">
        <f>B212</f>
        <v>SAPN</v>
      </c>
      <c r="C213" s="30" t="str">
        <f>C212</f>
        <v>Residential</v>
      </c>
      <c r="D213" s="30" t="str">
        <f>D212</f>
        <v>flat rate</v>
      </c>
      <c r="E213" s="30" t="s">
        <v>19</v>
      </c>
      <c r="F213" s="258">
        <f>F212</f>
        <v>4000</v>
      </c>
      <c r="G213" s="64" t="s">
        <v>55</v>
      </c>
      <c r="H213" s="487">
        <f>SUM(H209:H212)</f>
        <v>287.73322989411349</v>
      </c>
      <c r="I213" s="487">
        <f>SUM(I209:I212)</f>
        <v>0</v>
      </c>
      <c r="J213" s="487">
        <f>IF(AND(H213="",I213=""),"",H213+I213*$F213/1000)</f>
        <v>287.73322989411349</v>
      </c>
      <c r="K213" s="564"/>
      <c r="L213" s="487"/>
      <c r="M213" s="564">
        <f>IF(OR(J213=0,Q213=""),"",Q213/J213-1)</f>
        <v>-2.9277737524720626E-2</v>
      </c>
      <c r="N213" s="487"/>
      <c r="O213" s="487">
        <f>SUM(O209:O212)</f>
        <v>279.30905191213355</v>
      </c>
      <c r="P213" s="487">
        <f>SUM(P209:P212)</f>
        <v>0</v>
      </c>
      <c r="Q213" s="487">
        <f>IF(AND(O213="",P213=""),"",O213+P213*$F213/1000)</f>
        <v>279.30905191213355</v>
      </c>
      <c r="R213" s="564"/>
      <c r="S213" s="564"/>
      <c r="T213" s="611"/>
      <c r="U213" s="564"/>
      <c r="V213" s="564"/>
      <c r="W213" s="564"/>
      <c r="X213" s="564"/>
      <c r="Y213" s="564"/>
      <c r="Z213" s="564"/>
      <c r="AA213" s="564"/>
      <c r="AB213" s="564"/>
      <c r="AC213" s="564"/>
      <c r="AD213" s="564"/>
      <c r="AE213" s="564"/>
    </row>
    <row r="214" spans="1:31" s="65" customFormat="1" x14ac:dyDescent="0.35">
      <c r="A214" s="30"/>
      <c r="B214" s="30" t="str">
        <f t="shared" ref="B214:D217" si="52">B213</f>
        <v>SAPN</v>
      </c>
      <c r="C214" s="30" t="str">
        <f t="shared" si="52"/>
        <v>Residential</v>
      </c>
      <c r="D214" s="30" t="str">
        <f t="shared" si="52"/>
        <v>flat rate</v>
      </c>
      <c r="E214" s="30" t="s">
        <v>19</v>
      </c>
      <c r="F214" s="258">
        <f>F213</f>
        <v>4000</v>
      </c>
      <c r="G214" s="30" t="s">
        <v>161</v>
      </c>
      <c r="H214" s="482"/>
      <c r="I214" s="482"/>
      <c r="J214" s="482">
        <f>J213*CPIPY</f>
        <v>16.334039994629077</v>
      </c>
      <c r="K214" s="484"/>
      <c r="L214" s="482"/>
      <c r="M214" s="484">
        <f>IF(OR(J214=0,Q214=""),"",Q214/J214-1)</f>
        <v>0.25088562120545999</v>
      </c>
      <c r="N214" s="482"/>
      <c r="O214" s="482"/>
      <c r="P214" s="482"/>
      <c r="Q214" s="482">
        <f>Q213*CPI</f>
        <v>20.432015765476422</v>
      </c>
      <c r="R214" s="484"/>
      <c r="S214" s="484"/>
      <c r="T214" s="607"/>
      <c r="U214" s="484"/>
      <c r="V214" s="484"/>
      <c r="W214" s="484"/>
      <c r="X214" s="484"/>
      <c r="Y214" s="484"/>
      <c r="Z214" s="484"/>
      <c r="AA214" s="484"/>
      <c r="AB214" s="484"/>
      <c r="AC214" s="484"/>
      <c r="AD214" s="484"/>
      <c r="AE214" s="484"/>
    </row>
    <row r="215" spans="1:31" s="65" customFormat="1" x14ac:dyDescent="0.35">
      <c r="A215" s="30"/>
      <c r="B215" s="30" t="str">
        <f t="shared" si="52"/>
        <v>SAPN</v>
      </c>
      <c r="C215" s="30" t="str">
        <f t="shared" si="52"/>
        <v>Residential</v>
      </c>
      <c r="D215" s="30" t="str">
        <f t="shared" si="52"/>
        <v>flat rate</v>
      </c>
      <c r="E215" s="30"/>
      <c r="F215" s="258"/>
      <c r="G215" s="30" t="s">
        <v>38</v>
      </c>
      <c r="H215" s="482"/>
      <c r="I215" s="482"/>
      <c r="J215" s="482">
        <f>SUM(J213,J214)*GST</f>
        <v>30.406726988874254</v>
      </c>
      <c r="K215" s="484"/>
      <c r="L215" s="482"/>
      <c r="M215" s="484">
        <f>IF(OR(J215=0,Q215=""),0,Q215/J215-1)</f>
        <v>-1.4227779966964227E-2</v>
      </c>
      <c r="N215" s="482"/>
      <c r="O215" s="482"/>
      <c r="P215" s="482"/>
      <c r="Q215" s="482">
        <f>SUM(Q213,Q214)*GST</f>
        <v>29.974106767761</v>
      </c>
      <c r="R215" s="564"/>
      <c r="S215" s="564"/>
      <c r="T215" s="611"/>
      <c r="U215" s="564"/>
      <c r="V215" s="564"/>
      <c r="W215" s="564"/>
      <c r="X215" s="564"/>
      <c r="Y215" s="564"/>
      <c r="Z215" s="564"/>
      <c r="AA215" s="564"/>
      <c r="AB215" s="564"/>
      <c r="AC215" s="564"/>
      <c r="AD215" s="564"/>
      <c r="AE215" s="564"/>
    </row>
    <row r="216" spans="1:31" s="65" customFormat="1" x14ac:dyDescent="0.35">
      <c r="A216" s="30"/>
      <c r="B216" s="30" t="str">
        <f t="shared" si="52"/>
        <v>SAPN</v>
      </c>
      <c r="C216" s="30" t="str">
        <f t="shared" si="52"/>
        <v>Residential</v>
      </c>
      <c r="D216" s="30" t="str">
        <f t="shared" si="52"/>
        <v>flat rate</v>
      </c>
      <c r="E216" s="30"/>
      <c r="F216" s="258"/>
      <c r="G216" s="64" t="s">
        <v>79</v>
      </c>
      <c r="H216" s="487"/>
      <c r="I216" s="487"/>
      <c r="J216" s="487">
        <f>SUM(J213:J215)</f>
        <v>334.4739968776168</v>
      </c>
      <c r="K216" s="564"/>
      <c r="L216" s="487"/>
      <c r="M216" s="564">
        <f>IF(OR(J216=0,Q216=""),"",Q216/J216-1)</f>
        <v>-1.4227779966964338E-2</v>
      </c>
      <c r="N216" s="487"/>
      <c r="O216" s="487"/>
      <c r="P216" s="487"/>
      <c r="Q216" s="487">
        <f>SUM(Q213:Q215)</f>
        <v>329.71517444537096</v>
      </c>
      <c r="R216" s="564"/>
      <c r="S216" s="564"/>
      <c r="T216" s="611"/>
      <c r="U216" s="564"/>
      <c r="V216" s="564"/>
      <c r="W216" s="564"/>
      <c r="X216" s="564"/>
      <c r="Y216" s="564"/>
      <c r="Z216" s="564"/>
      <c r="AA216" s="564"/>
      <c r="AB216" s="564"/>
      <c r="AC216" s="564"/>
      <c r="AD216" s="564"/>
      <c r="AE216" s="564"/>
    </row>
    <row r="217" spans="1:31" x14ac:dyDescent="0.35">
      <c r="B217" s="30" t="str">
        <f t="shared" si="52"/>
        <v>SAPN</v>
      </c>
      <c r="C217" s="30" t="str">
        <f t="shared" si="52"/>
        <v>Residential</v>
      </c>
      <c r="D217" s="30" t="str">
        <f t="shared" si="52"/>
        <v>flat rate</v>
      </c>
      <c r="F217" s="258"/>
      <c r="H217" s="482"/>
      <c r="I217" s="482"/>
      <c r="J217" s="482"/>
      <c r="K217" s="484"/>
      <c r="L217" s="482"/>
      <c r="M217" s="484"/>
      <c r="N217" s="482"/>
      <c r="O217" s="482"/>
      <c r="P217" s="482"/>
      <c r="Q217" s="482"/>
      <c r="R217" s="484"/>
      <c r="S217" s="484"/>
      <c r="T217" s="607"/>
      <c r="U217" s="484"/>
      <c r="V217" s="484"/>
      <c r="W217" s="484"/>
      <c r="X217" s="484"/>
      <c r="Y217" s="484"/>
      <c r="Z217" s="484"/>
      <c r="AA217" s="484"/>
      <c r="AB217" s="484"/>
      <c r="AC217" s="484"/>
      <c r="AD217" s="484"/>
      <c r="AE217" s="484"/>
    </row>
    <row r="218" spans="1:31" s="570" customFormat="1" x14ac:dyDescent="0.35">
      <c r="B218" s="571" t="s">
        <v>5</v>
      </c>
      <c r="C218" s="571" t="s">
        <v>6</v>
      </c>
      <c r="D218" s="571" t="s">
        <v>272</v>
      </c>
      <c r="F218" s="485"/>
      <c r="H218" s="574"/>
      <c r="I218" s="574"/>
      <c r="J218" s="574"/>
      <c r="K218" s="575"/>
      <c r="L218" s="654"/>
      <c r="M218" s="575"/>
      <c r="N218" s="654"/>
      <c r="O218" s="574"/>
      <c r="P218" s="574"/>
      <c r="Q218" s="574"/>
      <c r="R218" s="575"/>
      <c r="S218" s="575"/>
      <c r="T218" s="612"/>
      <c r="U218" s="575"/>
      <c r="V218" s="575"/>
      <c r="W218" s="575"/>
      <c r="X218" s="575"/>
      <c r="Y218" s="575"/>
      <c r="Z218" s="575"/>
      <c r="AA218" s="575"/>
      <c r="AB218" s="575"/>
      <c r="AC218" s="575"/>
      <c r="AD218" s="575"/>
      <c r="AE218" s="575"/>
    </row>
    <row r="219" spans="1:31" s="570" customFormat="1" x14ac:dyDescent="0.35">
      <c r="B219" s="570" t="str">
        <f t="shared" ref="B219:B227" si="53">B218</f>
        <v>SAPN</v>
      </c>
      <c r="C219" s="570" t="str">
        <f t="shared" ref="C219:C227" si="54">C218</f>
        <v>Residential</v>
      </c>
      <c r="D219" s="570" t="str">
        <f t="shared" ref="D219:D227" si="55">D218</f>
        <v>time of use</v>
      </c>
      <c r="E219" s="570" t="s">
        <v>19</v>
      </c>
      <c r="F219" s="485" cm="1">
        <f t="array" ref="F219">IFERROR(_xlfn.XLOOKUP(1,($B219=DistributionZone)*($C219=CustomerType)*($E219=tariffType)*(F$5=Description),valuesFY),0)</f>
        <v>4000</v>
      </c>
      <c r="G219" s="570" t="s">
        <v>220</v>
      </c>
      <c r="H219" s="574" cm="1">
        <f t="array" ref="H219">IFERROR(_xlfn.XLOOKUP(1,($B219=DistributionZone)*($C219=CustomerType)*(H$5=Desc_FixedOrVar)*($G219=Description),valuesPY),0)</f>
        <v>183.10232159386237</v>
      </c>
      <c r="I219" s="574"/>
      <c r="J219" s="574">
        <f>IF(AND(H219="",I219=""),"",H219+I219*$F219/1000)</f>
        <v>183.10232159386237</v>
      </c>
      <c r="K219" s="575" t="str">
        <f>IFERROR(J219/J223,"")</f>
        <v/>
      </c>
      <c r="L219" s="654"/>
      <c r="M219" s="575">
        <f>IF(OR(J219=0,Q219=""),"",Q219/J219-1)</f>
        <v>-0.10292985753535056</v>
      </c>
      <c r="N219" s="654"/>
      <c r="O219" s="574" cm="1">
        <f t="array" ref="O219">IFERROR(_xlfn.XLOOKUP(1,($B219=DistributionZone)*($C219=CustomerType)*(O$5=Desc_FixedOrVar)*($G219=Description),valuesFY),0)</f>
        <v>164.25562571781418</v>
      </c>
      <c r="P219" s="574"/>
      <c r="Q219" s="574">
        <f>IF(AND(O219="",P219=""),"",O219+P219*$F219/1000)</f>
        <v>164.25562571781418</v>
      </c>
      <c r="R219" s="575">
        <f>IFERROR(Q219/Q223,"")</f>
        <v>0.58807841920385218</v>
      </c>
      <c r="S219" s="575"/>
      <c r="T219" s="612"/>
      <c r="U219" s="575"/>
      <c r="V219" s="575"/>
      <c r="W219" s="575"/>
      <c r="X219" s="575"/>
      <c r="Y219" s="575"/>
      <c r="Z219" s="575"/>
      <c r="AA219" s="575"/>
      <c r="AB219" s="575"/>
      <c r="AC219" s="575"/>
      <c r="AD219" s="575"/>
      <c r="AE219" s="575"/>
    </row>
    <row r="220" spans="1:31" s="570" customFormat="1" x14ac:dyDescent="0.35">
      <c r="B220" s="570" t="str">
        <f t="shared" si="53"/>
        <v>SAPN</v>
      </c>
      <c r="C220" s="570" t="str">
        <f t="shared" si="54"/>
        <v>Residential</v>
      </c>
      <c r="D220" s="570" t="str">
        <f t="shared" si="55"/>
        <v>time of use</v>
      </c>
      <c r="E220" s="570" t="s">
        <v>19</v>
      </c>
      <c r="F220" s="485">
        <f>F219</f>
        <v>4000</v>
      </c>
      <c r="G220" s="615" t="s">
        <v>222</v>
      </c>
      <c r="H220" s="574" cm="1">
        <f t="array" ref="H220">IFERROR(_xlfn.XLOOKUP(1,($B220=DistributionZone)*($C220=CustomerType)*(H$5=Desc_FixedOrVar)*($G220=Description),valuesPY),0)</f>
        <v>63.050983486012669</v>
      </c>
      <c r="I220" s="574"/>
      <c r="J220" s="574">
        <f>IF(AND(H220="",I220=""),"",H220+I220*$F220/1000)</f>
        <v>63.050983486012669</v>
      </c>
      <c r="K220" s="575" t="str">
        <f>IFERROR(J220/J223,"")</f>
        <v/>
      </c>
      <c r="L220" s="654"/>
      <c r="M220" s="575">
        <f>IF(OR(J220=0,Q220=""),"",Q220/J220-1)</f>
        <v>6.8001660969665867E-2</v>
      </c>
      <c r="N220" s="654"/>
      <c r="O220" s="574" cm="1">
        <f t="array" ref="O220">IFERROR(_xlfn.XLOOKUP(1,($B220=DistributionZone)*($C220=CustomerType)*(O$5=Desc_FixedOrVar)*($G220=Description),valuesFY),0)</f>
        <v>67.338555088832507</v>
      </c>
      <c r="P220" s="574"/>
      <c r="Q220" s="574">
        <f>IF(AND(O220="",P220=""),"",O220+P220*$F220/1000)</f>
        <v>67.338555088832507</v>
      </c>
      <c r="R220" s="575">
        <f>IFERROR(Q220/Q223,"")</f>
        <v>0.24108977001581822</v>
      </c>
      <c r="S220" s="575"/>
      <c r="T220" s="612"/>
      <c r="U220" s="575"/>
      <c r="V220" s="575"/>
      <c r="W220" s="575"/>
      <c r="X220" s="575"/>
      <c r="Y220" s="575"/>
      <c r="Z220" s="575"/>
      <c r="AA220" s="575"/>
      <c r="AB220" s="575"/>
      <c r="AC220" s="575"/>
      <c r="AD220" s="575"/>
      <c r="AE220" s="575"/>
    </row>
    <row r="221" spans="1:31" s="627" customFormat="1" x14ac:dyDescent="0.35">
      <c r="A221" s="570"/>
      <c r="B221" s="570" t="str">
        <f t="shared" si="53"/>
        <v>SAPN</v>
      </c>
      <c r="C221" s="570" t="str">
        <f t="shared" si="54"/>
        <v>Residential</v>
      </c>
      <c r="D221" s="570" t="str">
        <f t="shared" si="55"/>
        <v>time of use</v>
      </c>
      <c r="E221" s="570" t="s">
        <v>19</v>
      </c>
      <c r="F221" s="485">
        <f>F220</f>
        <v>4000</v>
      </c>
      <c r="G221" s="570" t="s">
        <v>158</v>
      </c>
      <c r="H221" s="574" cm="1">
        <f t="array" ref="H221">IFERROR(_xlfn.XLOOKUP(1,($B221=DistributionZone)*($C221=CustomerType)*(H$5=Desc_FixedOrVar)*($G221=Description),valuesPY),0)</f>
        <v>39.639236008489149</v>
      </c>
      <c r="I221" s="574"/>
      <c r="J221" s="574">
        <f>IF(AND(H221="",I221=""),"",H221+I221*$F221/1000)</f>
        <v>39.639236008489149</v>
      </c>
      <c r="K221" s="575" t="str">
        <f>IFERROR(J221/J223,"")</f>
        <v/>
      </c>
      <c r="L221" s="654"/>
      <c r="M221" s="575">
        <f>IF(OR(J221=0,Q221=""),"",Q221/J221-1)</f>
        <v>0.18574646547800033</v>
      </c>
      <c r="N221" s="654"/>
      <c r="O221" s="574" cm="1">
        <f t="array" ref="O221">IFERROR(_xlfn.XLOOKUP(1,($B221=DistributionZone)*($C221=CustomerType)*(O$5=Desc_FixedOrVar)*($G221=Description),valuesFY),0)</f>
        <v>47.002083991314286</v>
      </c>
      <c r="P221" s="574"/>
      <c r="Q221" s="574">
        <f>IF(AND(O221="",P221=""),"",O221+P221*$F221/1000)</f>
        <v>47.002083991314286</v>
      </c>
      <c r="R221" s="575">
        <f>IFERROR(Q221/Q223,"")</f>
        <v>0.16827984510183522</v>
      </c>
      <c r="S221" s="575"/>
      <c r="T221" s="612"/>
      <c r="U221" s="575"/>
      <c r="V221" s="575"/>
      <c r="W221" s="575"/>
      <c r="X221" s="575"/>
      <c r="Y221" s="575"/>
      <c r="Z221" s="575"/>
      <c r="AA221" s="575"/>
      <c r="AB221" s="575"/>
      <c r="AC221" s="575"/>
      <c r="AD221" s="575"/>
      <c r="AE221" s="575"/>
    </row>
    <row r="222" spans="1:31" s="627" customFormat="1" x14ac:dyDescent="0.35">
      <c r="A222" s="570"/>
      <c r="B222" s="570" t="str">
        <f t="shared" si="53"/>
        <v>SAPN</v>
      </c>
      <c r="C222" s="570" t="str">
        <f t="shared" si="54"/>
        <v>Residential</v>
      </c>
      <c r="D222" s="570" t="str">
        <f t="shared" si="55"/>
        <v>time of use</v>
      </c>
      <c r="E222" s="570" t="s">
        <v>19</v>
      </c>
      <c r="F222" s="485">
        <f>F221</f>
        <v>4000</v>
      </c>
      <c r="G222" s="570" t="s">
        <v>190</v>
      </c>
      <c r="H222" s="574" cm="1">
        <f t="array" ref="H222">IFERROR(_xlfn.XLOOKUP(1,($B222=DistributionZone)*($C222=CustomerType)*(H$5=Desc_FixedOrVar)*($G222=Description),valuesPY),0)</f>
        <v>1.9406888057493121</v>
      </c>
      <c r="I222" s="574"/>
      <c r="J222" s="574">
        <f>IF(AND(H222="",I222=""),"",H222+I222*$F222/1000)</f>
        <v>1.9406888057493121</v>
      </c>
      <c r="K222" s="575" t="str">
        <f>IFERROR(J222/J223,"")</f>
        <v/>
      </c>
      <c r="L222" s="654"/>
      <c r="M222" s="575">
        <f>IF(OR(J222=0,Q222=""),0,Q222/J222-1)</f>
        <v>-0.63271436818673821</v>
      </c>
      <c r="N222" s="654"/>
      <c r="O222" s="574" cm="1">
        <f t="array" ref="O222">IFERROR(_xlfn.XLOOKUP(1,($B222=DistributionZone)*($C222=CustomerType)*(O$5=Desc_FixedOrVar)*($G222=Description),valuesFY),0)</f>
        <v>0.71278711417256069</v>
      </c>
      <c r="P222" s="574"/>
      <c r="Q222" s="574">
        <f>IF(AND(O222="",P222=""),"",O222+P222*$F222/1000)</f>
        <v>0.71278711417256069</v>
      </c>
      <c r="R222" s="575">
        <f>IFERROR(Q222/Q223,"")</f>
        <v>2.5519656784943469E-3</v>
      </c>
      <c r="S222" s="575"/>
      <c r="T222" s="612"/>
      <c r="U222" s="575"/>
      <c r="V222" s="575"/>
      <c r="W222" s="575"/>
      <c r="X222" s="575"/>
      <c r="Y222" s="575"/>
      <c r="Z222" s="575"/>
      <c r="AA222" s="575"/>
      <c r="AB222" s="575"/>
      <c r="AC222" s="575"/>
      <c r="AD222" s="575"/>
      <c r="AE222" s="575"/>
    </row>
    <row r="223" spans="1:31" s="627" customFormat="1" x14ac:dyDescent="0.35">
      <c r="A223" s="570"/>
      <c r="B223" s="570" t="str">
        <f t="shared" si="53"/>
        <v>SAPN</v>
      </c>
      <c r="C223" s="570" t="str">
        <f t="shared" si="54"/>
        <v>Residential</v>
      </c>
      <c r="D223" s="570" t="str">
        <f t="shared" si="55"/>
        <v>time of use</v>
      </c>
      <c r="E223" s="570" t="s">
        <v>272</v>
      </c>
      <c r="F223" s="485">
        <f>F222</f>
        <v>4000</v>
      </c>
      <c r="G223" s="571" t="s">
        <v>55</v>
      </c>
      <c r="H223" s="577">
        <f>IF($H$3=PY,0,SUM(H219:H222))</f>
        <v>0</v>
      </c>
      <c r="I223" s="577">
        <f>SUM(I219:I222)</f>
        <v>0</v>
      </c>
      <c r="J223" s="577">
        <f>IF($H$3=PY,0,IF(AND(H223="",I223=""),"",H223+I223*$F223/1000))</f>
        <v>0</v>
      </c>
      <c r="K223" s="578"/>
      <c r="L223" s="577"/>
      <c r="M223" s="578" t="str">
        <f>IF(OR(J223=0,Q223=""),"",Q223/J223-1)</f>
        <v/>
      </c>
      <c r="N223" s="577"/>
      <c r="O223" s="577">
        <f>SUM(O219:O222)</f>
        <v>279.30905191213355</v>
      </c>
      <c r="P223" s="577">
        <f>SUM(P219:P222)</f>
        <v>0</v>
      </c>
      <c r="Q223" s="577">
        <f>IF(AND(O223="",P223=""),"",O223+P223*$F223/1000)</f>
        <v>279.30905191213355</v>
      </c>
      <c r="R223" s="578"/>
      <c r="S223" s="578"/>
      <c r="T223" s="621"/>
      <c r="U223" s="578"/>
      <c r="V223" s="578"/>
      <c r="W223" s="578"/>
      <c r="X223" s="578"/>
      <c r="Y223" s="578"/>
      <c r="Z223" s="578"/>
      <c r="AA223" s="578"/>
      <c r="AB223" s="578"/>
      <c r="AC223" s="578"/>
      <c r="AD223" s="578"/>
      <c r="AE223" s="578"/>
    </row>
    <row r="224" spans="1:31" s="627" customFormat="1" x14ac:dyDescent="0.35">
      <c r="A224" s="570"/>
      <c r="B224" s="570" t="str">
        <f t="shared" si="53"/>
        <v>SAPN</v>
      </c>
      <c r="C224" s="570" t="str">
        <f t="shared" si="54"/>
        <v>Residential</v>
      </c>
      <c r="D224" s="570" t="str">
        <f t="shared" si="55"/>
        <v>time of use</v>
      </c>
      <c r="E224" s="570" t="s">
        <v>272</v>
      </c>
      <c r="F224" s="485">
        <f>F223</f>
        <v>4000</v>
      </c>
      <c r="G224" s="570" t="s">
        <v>161</v>
      </c>
      <c r="H224" s="574"/>
      <c r="I224" s="574"/>
      <c r="J224" s="574">
        <f>J223*CPIPY</f>
        <v>0</v>
      </c>
      <c r="K224" s="575"/>
      <c r="L224" s="574"/>
      <c r="M224" s="575" t="str">
        <f>IF(OR(J224=0,Q224=""),"",Q224/J224-1)</f>
        <v/>
      </c>
      <c r="N224" s="574"/>
      <c r="O224" s="574"/>
      <c r="P224" s="574"/>
      <c r="Q224" s="574">
        <f>Q223*CPI</f>
        <v>20.432015765476422</v>
      </c>
      <c r="R224" s="575"/>
      <c r="S224" s="575"/>
      <c r="T224" s="612"/>
      <c r="U224" s="575"/>
      <c r="V224" s="575"/>
      <c r="W224" s="575"/>
      <c r="X224" s="575"/>
      <c r="Y224" s="575"/>
      <c r="Z224" s="575"/>
      <c r="AA224" s="575"/>
      <c r="AB224" s="575"/>
      <c r="AC224" s="575"/>
      <c r="AD224" s="575"/>
      <c r="AE224" s="575"/>
    </row>
    <row r="225" spans="1:31" s="627" customFormat="1" x14ac:dyDescent="0.35">
      <c r="A225" s="570"/>
      <c r="B225" s="570" t="str">
        <f t="shared" si="53"/>
        <v>SAPN</v>
      </c>
      <c r="C225" s="570" t="str">
        <f t="shared" si="54"/>
        <v>Residential</v>
      </c>
      <c r="D225" s="570" t="str">
        <f t="shared" si="55"/>
        <v>time of use</v>
      </c>
      <c r="E225" s="570"/>
      <c r="F225" s="485"/>
      <c r="G225" s="570" t="s">
        <v>38</v>
      </c>
      <c r="H225" s="574"/>
      <c r="I225" s="574"/>
      <c r="J225" s="574">
        <f>SUM(J223,J224)*GST</f>
        <v>0</v>
      </c>
      <c r="K225" s="575"/>
      <c r="L225" s="574"/>
      <c r="M225" s="575">
        <f>IF(OR(J225=0,Q225=""),0,Q225/J225-1)</f>
        <v>0</v>
      </c>
      <c r="N225" s="574"/>
      <c r="O225" s="574"/>
      <c r="P225" s="574"/>
      <c r="Q225" s="574">
        <f>SUM(Q223,Q224)*GST</f>
        <v>29.974106767761</v>
      </c>
      <c r="R225" s="578"/>
      <c r="S225" s="578"/>
      <c r="T225" s="621"/>
      <c r="U225" s="578"/>
      <c r="V225" s="578"/>
      <c r="W225" s="578"/>
      <c r="X225" s="578"/>
      <c r="Y225" s="578"/>
      <c r="Z225" s="578"/>
      <c r="AA225" s="578"/>
      <c r="AB225" s="578"/>
      <c r="AC225" s="578"/>
      <c r="AD225" s="578"/>
      <c r="AE225" s="578"/>
    </row>
    <row r="226" spans="1:31" s="627" customFormat="1" x14ac:dyDescent="0.35">
      <c r="A226" s="570"/>
      <c r="B226" s="570" t="str">
        <f t="shared" si="53"/>
        <v>SAPN</v>
      </c>
      <c r="C226" s="570" t="str">
        <f t="shared" si="54"/>
        <v>Residential</v>
      </c>
      <c r="D226" s="570" t="str">
        <f t="shared" si="55"/>
        <v>time of use</v>
      </c>
      <c r="E226" s="570" t="s">
        <v>272</v>
      </c>
      <c r="F226" s="485"/>
      <c r="G226" s="571" t="s">
        <v>79</v>
      </c>
      <c r="H226" s="577"/>
      <c r="I226" s="577"/>
      <c r="J226" s="577">
        <f>SUM(J223:J225)</f>
        <v>0</v>
      </c>
      <c r="K226" s="578"/>
      <c r="L226" s="577"/>
      <c r="M226" s="578" t="str">
        <f>IF(OR(J226=0,Q226=""),"",Q226/J226-1)</f>
        <v/>
      </c>
      <c r="N226" s="577"/>
      <c r="O226" s="577"/>
      <c r="P226" s="577"/>
      <c r="Q226" s="577">
        <f>SUM(Q223:Q225)</f>
        <v>329.71517444537096</v>
      </c>
      <c r="R226" s="578"/>
      <c r="S226" s="578"/>
      <c r="T226" s="621"/>
      <c r="U226" s="578"/>
      <c r="V226" s="578"/>
      <c r="W226" s="578"/>
      <c r="X226" s="578"/>
      <c r="Y226" s="578"/>
      <c r="Z226" s="578"/>
      <c r="AA226" s="578"/>
      <c r="AB226" s="578"/>
      <c r="AC226" s="578"/>
      <c r="AD226" s="578"/>
      <c r="AE226" s="578"/>
    </row>
    <row r="227" spans="1:31" s="570" customFormat="1" x14ac:dyDescent="0.35">
      <c r="B227" s="570" t="str">
        <f t="shared" si="53"/>
        <v>SAPN</v>
      </c>
      <c r="C227" s="570" t="str">
        <f t="shared" si="54"/>
        <v>Residential</v>
      </c>
      <c r="D227" s="570" t="str">
        <f t="shared" si="55"/>
        <v>time of use</v>
      </c>
      <c r="F227" s="485"/>
      <c r="H227" s="574"/>
      <c r="I227" s="574"/>
      <c r="J227" s="574"/>
      <c r="K227" s="575"/>
      <c r="L227" s="574"/>
      <c r="M227" s="575"/>
      <c r="N227" s="574"/>
      <c r="O227" s="574"/>
      <c r="P227" s="574"/>
      <c r="Q227" s="574"/>
      <c r="R227" s="575"/>
      <c r="S227" s="575"/>
      <c r="T227" s="612"/>
      <c r="U227" s="575"/>
      <c r="V227" s="575"/>
      <c r="W227" s="575"/>
      <c r="X227" s="575"/>
      <c r="Y227" s="575"/>
      <c r="Z227" s="575"/>
      <c r="AA227" s="575"/>
      <c r="AB227" s="575"/>
      <c r="AC227" s="575"/>
      <c r="AD227" s="575"/>
      <c r="AE227" s="575"/>
    </row>
    <row r="228" spans="1:31" x14ac:dyDescent="0.35">
      <c r="B228" s="658" t="s">
        <v>5</v>
      </c>
      <c r="C228" s="658"/>
      <c r="D228" s="658" t="s">
        <v>285</v>
      </c>
      <c r="E228" s="66"/>
      <c r="F228" s="677"/>
      <c r="G228" s="66"/>
      <c r="H228" s="586"/>
      <c r="I228" s="586"/>
      <c r="J228" s="586"/>
      <c r="K228" s="678"/>
      <c r="L228" s="586"/>
      <c r="M228" s="678"/>
      <c r="N228" s="586"/>
      <c r="O228" s="586"/>
      <c r="P228" s="586"/>
      <c r="Q228" s="586"/>
      <c r="R228" s="678"/>
      <c r="S228" s="484"/>
      <c r="T228" s="607"/>
      <c r="U228" s="484"/>
      <c r="V228" s="484"/>
      <c r="W228" s="484"/>
      <c r="X228" s="484"/>
      <c r="Y228" s="484"/>
      <c r="Z228" s="484"/>
      <c r="AA228" s="484"/>
      <c r="AB228" s="484"/>
      <c r="AC228" s="484"/>
      <c r="AD228" s="484"/>
      <c r="AE228" s="484"/>
    </row>
    <row r="229" spans="1:31" x14ac:dyDescent="0.35">
      <c r="B229" s="66" t="str">
        <f t="shared" ref="B229:D230" si="56">B228</f>
        <v>SAPN</v>
      </c>
      <c r="C229" s="66"/>
      <c r="D229" s="66" t="str">
        <f t="shared" si="56"/>
        <v>controlled load</v>
      </c>
      <c r="E229" s="66" t="s">
        <v>16</v>
      </c>
      <c r="F229" s="677" cm="1">
        <f t="array" ref="F229">IFERROR(_xlfn.XLOOKUP(1,($B229=DistributionZone)*($C229=CustomerType)*($D229=tariffL2)*($E229=tariffType)*(F$5=Description),valuesFY),0)</f>
        <v>1800</v>
      </c>
      <c r="G229" s="66" t="s">
        <v>220</v>
      </c>
      <c r="H229" s="586" cm="1">
        <f t="array" ref="H229">IFERROR(_xlfn.XLOOKUP(1,($B229=DistributionZone)*(H$5=Desc_FixedOrVar)*($G229=Description),valuesPY),0)</f>
        <v>183.10232159386237</v>
      </c>
      <c r="I229" s="586"/>
      <c r="J229" s="586">
        <f>IF(AND(H229="",I229=""),"",H229+I229*$F229/1000)</f>
        <v>183.10232159386237</v>
      </c>
      <c r="K229" s="678">
        <f>IFERROR(J229/J233,"")</f>
        <v>0.63636140205719183</v>
      </c>
      <c r="L229" s="679"/>
      <c r="M229" s="678">
        <f>IF(OR(J229=0,Q229=""),"",Q229/J229-1)</f>
        <v>-0.10292985753535056</v>
      </c>
      <c r="N229" s="679"/>
      <c r="O229" s="586" cm="1">
        <f t="array" ref="O229">IFERROR(_xlfn.XLOOKUP(1,($B229=DistributionZone)*(O$5=Desc_FixedOrVar)*($G229=Description),valuesFY),0)</f>
        <v>164.25562571781418</v>
      </c>
      <c r="P229" s="586"/>
      <c r="Q229" s="586">
        <f>IF(AND(O229="",P229=""),"",O229+P229*$F229/1000)</f>
        <v>164.25562571781418</v>
      </c>
      <c r="R229" s="678">
        <f>IFERROR(Q229/Q233,"")</f>
        <v>0.58807841920385218</v>
      </c>
      <c r="S229" s="484"/>
      <c r="T229" s="607"/>
      <c r="U229" s="484"/>
      <c r="V229" s="484"/>
      <c r="W229" s="484"/>
      <c r="X229" s="484"/>
      <c r="Y229" s="484"/>
      <c r="Z229" s="484"/>
      <c r="AA229" s="484"/>
      <c r="AB229" s="484"/>
      <c r="AC229" s="484"/>
      <c r="AD229" s="484"/>
      <c r="AE229" s="484"/>
    </row>
    <row r="230" spans="1:31" s="65" customFormat="1" x14ac:dyDescent="0.35">
      <c r="A230" s="30"/>
      <c r="B230" s="66" t="str">
        <f t="shared" si="56"/>
        <v>SAPN</v>
      </c>
      <c r="C230" s="66"/>
      <c r="D230" s="66" t="str">
        <f t="shared" si="56"/>
        <v>controlled load</v>
      </c>
      <c r="E230" s="66" t="s">
        <v>16</v>
      </c>
      <c r="F230" s="677">
        <f>F229</f>
        <v>1800</v>
      </c>
      <c r="G230" s="379" t="s">
        <v>222</v>
      </c>
      <c r="H230" s="586" cm="1">
        <f t="array" ref="H230">IFERROR(_xlfn.XLOOKUP(1,($B230=DistributionZone)*(H$5=Desc_FixedOrVar)*($G230=Description),valuesPY),0)</f>
        <v>63.050983486012669</v>
      </c>
      <c r="I230" s="586"/>
      <c r="J230" s="586">
        <f>IF(AND(H230="",I230=""),"",H230+I230*$F230/1000)</f>
        <v>63.050983486012669</v>
      </c>
      <c r="K230" s="678">
        <f>IFERROR(J230/J233,"")</f>
        <v>0.21913000284748335</v>
      </c>
      <c r="L230" s="679"/>
      <c r="M230" s="678">
        <f>IF(OR(J230=0,Q230=""),"",Q230/J230-1)</f>
        <v>6.8001660969665867E-2</v>
      </c>
      <c r="N230" s="679"/>
      <c r="O230" s="586" cm="1">
        <f t="array" ref="O230">IFERROR(_xlfn.XLOOKUP(1,($B230=DistributionZone)*(O$5=Desc_FixedOrVar)*($G230=Description),valuesFY),0)</f>
        <v>67.338555088832507</v>
      </c>
      <c r="P230" s="586"/>
      <c r="Q230" s="586">
        <f>IF(AND(O230="",P230=""),"",O230+P230*$F230/1000)</f>
        <v>67.338555088832507</v>
      </c>
      <c r="R230" s="678">
        <f>IFERROR(Q230/Q233,"")</f>
        <v>0.24108977001581822</v>
      </c>
      <c r="S230" s="484"/>
      <c r="T230" s="607"/>
      <c r="U230" s="484"/>
      <c r="V230" s="484"/>
      <c r="W230" s="484"/>
      <c r="X230" s="484"/>
      <c r="Y230" s="484"/>
      <c r="Z230" s="484"/>
      <c r="AA230" s="484"/>
      <c r="AB230" s="484"/>
      <c r="AC230" s="484"/>
      <c r="AD230" s="484"/>
      <c r="AE230" s="484"/>
    </row>
    <row r="231" spans="1:31" s="65" customFormat="1" x14ac:dyDescent="0.35">
      <c r="A231" s="30"/>
      <c r="B231" s="66" t="str">
        <f t="shared" ref="B231:D232" si="57">B230</f>
        <v>SAPN</v>
      </c>
      <c r="C231" s="66"/>
      <c r="D231" s="66" t="str">
        <f t="shared" si="57"/>
        <v>controlled load</v>
      </c>
      <c r="E231" s="66" t="s">
        <v>16</v>
      </c>
      <c r="F231" s="677">
        <f>F230</f>
        <v>1800</v>
      </c>
      <c r="G231" s="66" t="s">
        <v>158</v>
      </c>
      <c r="H231" s="586" cm="1">
        <f t="array" ref="H231">IFERROR(_xlfn.XLOOKUP(1,($B231=DistributionZone)*(H$5=Desc_FixedOrVar)*($G231=Description),valuesPY),0)</f>
        <v>39.639236008489149</v>
      </c>
      <c r="I231" s="586"/>
      <c r="J231" s="586">
        <f>IF(AND(H231="",I231=""),"",H231+I231*$F231/1000)</f>
        <v>39.639236008489149</v>
      </c>
      <c r="K231" s="678">
        <f>IFERROR(J231/J233,"")</f>
        <v>0.13776384473589123</v>
      </c>
      <c r="L231" s="679"/>
      <c r="M231" s="678">
        <f>IF(OR(J231=0,Q231=""),"",Q231/J231-1)</f>
        <v>0.18574646547800033</v>
      </c>
      <c r="N231" s="679"/>
      <c r="O231" s="586" cm="1">
        <f t="array" ref="O231">IFERROR(_xlfn.XLOOKUP(1,($B231=DistributionZone)*(O$5=Desc_FixedOrVar)*($G231=Description),valuesFY),0)</f>
        <v>47.002083991314286</v>
      </c>
      <c r="P231" s="586"/>
      <c r="Q231" s="586">
        <f>IF(AND(O231="",P231=""),"",O231+P231*$F231/1000)</f>
        <v>47.002083991314286</v>
      </c>
      <c r="R231" s="678">
        <f>IFERROR(Q231/Q233,"")</f>
        <v>0.16827984510183522</v>
      </c>
      <c r="S231" s="484"/>
      <c r="T231" s="607"/>
      <c r="U231" s="484"/>
      <c r="V231" s="484"/>
      <c r="W231" s="484"/>
      <c r="X231" s="484"/>
      <c r="Y231" s="484"/>
      <c r="Z231" s="484"/>
      <c r="AA231" s="484"/>
      <c r="AB231" s="484"/>
      <c r="AC231" s="484"/>
      <c r="AD231" s="484"/>
      <c r="AE231" s="484"/>
    </row>
    <row r="232" spans="1:31" s="65" customFormat="1" x14ac:dyDescent="0.35">
      <c r="A232" s="30"/>
      <c r="B232" s="66" t="str">
        <f t="shared" si="57"/>
        <v>SAPN</v>
      </c>
      <c r="C232" s="66"/>
      <c r="D232" s="66" t="str">
        <f t="shared" si="57"/>
        <v>controlled load</v>
      </c>
      <c r="E232" s="66" t="s">
        <v>16</v>
      </c>
      <c r="F232" s="677">
        <f>F231</f>
        <v>1800</v>
      </c>
      <c r="G232" s="66" t="s">
        <v>190</v>
      </c>
      <c r="H232" s="586" cm="1">
        <f t="array" ref="H232">IFERROR(_xlfn.XLOOKUP(1,($B232=DistributionZone)*(H$5=Desc_FixedOrVar)*($G232=Description),valuesPY),0)</f>
        <v>1.9406888057493121</v>
      </c>
      <c r="I232" s="586"/>
      <c r="J232" s="586">
        <f>IF(AND(H232="",I232=""),"",H232+I232*$F232/1000)</f>
        <v>1.9406888057493121</v>
      </c>
      <c r="K232" s="678">
        <f>IFERROR(J232/J233,"")</f>
        <v>6.7447503594335982E-3</v>
      </c>
      <c r="L232" s="679"/>
      <c r="M232" s="678">
        <f>IF(OR(J232=0,Q232=""),0,Q232/J232-1)</f>
        <v>-0.63271436818673821</v>
      </c>
      <c r="N232" s="679"/>
      <c r="O232" s="586" cm="1">
        <f t="array" ref="O232">IFERROR(_xlfn.XLOOKUP(1,($B232=DistributionZone)*(O$5=Desc_FixedOrVar)*($G232=Description),valuesFY),0)</f>
        <v>0.71278711417256069</v>
      </c>
      <c r="P232" s="586"/>
      <c r="Q232" s="586">
        <f>IF(AND(O232="",P232=""),"",O232+P232*$F232/1000)</f>
        <v>0.71278711417256069</v>
      </c>
      <c r="R232" s="678">
        <f>IFERROR(Q232/Q233,"")</f>
        <v>2.5519656784943469E-3</v>
      </c>
      <c r="S232" s="484"/>
      <c r="T232" s="607"/>
      <c r="U232" s="484"/>
      <c r="V232" s="484"/>
      <c r="W232" s="484"/>
      <c r="X232" s="484"/>
      <c r="Y232" s="484"/>
      <c r="Z232" s="484"/>
      <c r="AA232" s="484"/>
      <c r="AB232" s="484"/>
      <c r="AC232" s="484"/>
      <c r="AD232" s="484"/>
      <c r="AE232" s="484"/>
    </row>
    <row r="233" spans="1:31" s="65" customFormat="1" x14ac:dyDescent="0.35">
      <c r="A233" s="30"/>
      <c r="B233" s="66" t="str">
        <f t="shared" ref="B233:D237" si="58">B232</f>
        <v>SAPN</v>
      </c>
      <c r="C233" s="66"/>
      <c r="D233" s="66" t="str">
        <f t="shared" si="58"/>
        <v>controlled load</v>
      </c>
      <c r="E233" s="66" t="s">
        <v>16</v>
      </c>
      <c r="F233" s="677">
        <f>F232</f>
        <v>1800</v>
      </c>
      <c r="G233" s="658" t="s">
        <v>55</v>
      </c>
      <c r="H233" s="486">
        <f>SUM(H229:H232)</f>
        <v>287.73322989411349</v>
      </c>
      <c r="I233" s="486">
        <f>SUM(I229:I232)</f>
        <v>0</v>
      </c>
      <c r="J233" s="486">
        <f>IF(AND(H233="",I233=""),"",H233+I233*$F233/1000)</f>
        <v>287.73322989411349</v>
      </c>
      <c r="K233" s="593"/>
      <c r="L233" s="486"/>
      <c r="M233" s="593">
        <f>IF(OR(J233=0,Q233=""),"",Q233/J233-1)</f>
        <v>-2.9277737524720626E-2</v>
      </c>
      <c r="N233" s="486"/>
      <c r="O233" s="486">
        <f>SUM(O229:O232)</f>
        <v>279.30905191213355</v>
      </c>
      <c r="P233" s="486">
        <f>SUM(P229:P232)</f>
        <v>0</v>
      </c>
      <c r="Q233" s="486">
        <f>IF(AND(O233="",P233=""),"",O233+P233*$F233/1000)</f>
        <v>279.30905191213355</v>
      </c>
      <c r="R233" s="593"/>
      <c r="S233" s="564"/>
      <c r="T233" s="611"/>
      <c r="U233" s="564"/>
      <c r="V233" s="564"/>
      <c r="W233" s="564"/>
      <c r="X233" s="564"/>
      <c r="Y233" s="564"/>
      <c r="Z233" s="564"/>
      <c r="AA233" s="564"/>
      <c r="AB233" s="564"/>
      <c r="AC233" s="564"/>
      <c r="AD233" s="564"/>
      <c r="AE233" s="564"/>
    </row>
    <row r="234" spans="1:31" s="65" customFormat="1" x14ac:dyDescent="0.35">
      <c r="A234" s="30"/>
      <c r="B234" s="66" t="str">
        <f t="shared" si="58"/>
        <v>SAPN</v>
      </c>
      <c r="C234" s="66"/>
      <c r="D234" s="66" t="str">
        <f t="shared" si="58"/>
        <v>controlled load</v>
      </c>
      <c r="E234" s="66" t="s">
        <v>16</v>
      </c>
      <c r="F234" s="677">
        <f>F233</f>
        <v>1800</v>
      </c>
      <c r="G234" s="66" t="s">
        <v>161</v>
      </c>
      <c r="H234" s="586"/>
      <c r="I234" s="586"/>
      <c r="J234" s="586">
        <f>J233*CPIPY</f>
        <v>16.334039994629077</v>
      </c>
      <c r="K234" s="678"/>
      <c r="L234" s="586"/>
      <c r="M234" s="678">
        <f>IF(OR(J234=0,Q234=""),"",Q234/J234-1)</f>
        <v>0.25088562120545999</v>
      </c>
      <c r="N234" s="586"/>
      <c r="O234" s="586"/>
      <c r="P234" s="586"/>
      <c r="Q234" s="586">
        <f>Q233*CPI</f>
        <v>20.432015765476422</v>
      </c>
      <c r="R234" s="678"/>
      <c r="S234" s="484"/>
      <c r="T234" s="607"/>
      <c r="U234" s="484"/>
      <c r="V234" s="484"/>
      <c r="W234" s="484"/>
      <c r="X234" s="484"/>
      <c r="Y234" s="484"/>
      <c r="Z234" s="484"/>
      <c r="AA234" s="484"/>
      <c r="AB234" s="484"/>
      <c r="AC234" s="484"/>
      <c r="AD234" s="484"/>
      <c r="AE234" s="484"/>
    </row>
    <row r="235" spans="1:31" x14ac:dyDescent="0.35">
      <c r="B235" s="66" t="str">
        <f t="shared" si="58"/>
        <v>SAPN</v>
      </c>
      <c r="C235" s="66"/>
      <c r="D235" s="66" t="str">
        <f t="shared" si="58"/>
        <v>controlled load</v>
      </c>
      <c r="E235" s="66"/>
      <c r="F235" s="677"/>
      <c r="G235" s="66" t="s">
        <v>38</v>
      </c>
      <c r="H235" s="586"/>
      <c r="I235" s="586"/>
      <c r="J235" s="586">
        <f>SUM(J233,J234)*GST</f>
        <v>30.406726988874254</v>
      </c>
      <c r="K235" s="678"/>
      <c r="L235" s="586"/>
      <c r="M235" s="678">
        <f>IF(OR(J235=0,Q235=""),0,Q235/J235-1)</f>
        <v>-1.4227779966964227E-2</v>
      </c>
      <c r="N235" s="586"/>
      <c r="O235" s="586"/>
      <c r="P235" s="586"/>
      <c r="Q235" s="586">
        <f>SUM(Q233,Q234)*GST</f>
        <v>29.974106767761</v>
      </c>
      <c r="R235" s="593"/>
      <c r="S235" s="564"/>
      <c r="T235" s="611"/>
      <c r="U235" s="564"/>
      <c r="V235" s="564"/>
      <c r="W235" s="564"/>
      <c r="X235" s="564"/>
      <c r="Y235" s="564"/>
      <c r="Z235" s="564"/>
      <c r="AA235" s="564"/>
      <c r="AB235" s="564"/>
      <c r="AC235" s="564"/>
      <c r="AD235" s="564"/>
      <c r="AE235" s="564"/>
    </row>
    <row r="236" spans="1:31" x14ac:dyDescent="0.35">
      <c r="B236" s="66" t="str">
        <f t="shared" si="58"/>
        <v>SAPN</v>
      </c>
      <c r="C236" s="66"/>
      <c r="D236" s="66" t="str">
        <f t="shared" si="58"/>
        <v>controlled load</v>
      </c>
      <c r="E236" s="66"/>
      <c r="F236" s="677"/>
      <c r="G236" s="658" t="s">
        <v>79</v>
      </c>
      <c r="H236" s="486"/>
      <c r="I236" s="486"/>
      <c r="J236" s="486">
        <f>SUM(J233:J235)</f>
        <v>334.4739968776168</v>
      </c>
      <c r="K236" s="593"/>
      <c r="L236" s="486"/>
      <c r="M236" s="593">
        <f>IF(OR(J236=0,Q236=""),"",Q236/J236-1)</f>
        <v>-1.4227779966964338E-2</v>
      </c>
      <c r="N236" s="486"/>
      <c r="O236" s="486"/>
      <c r="P236" s="486"/>
      <c r="Q236" s="486">
        <f>SUM(Q233:Q235)</f>
        <v>329.71517444537096</v>
      </c>
      <c r="R236" s="593"/>
      <c r="S236" s="564"/>
      <c r="T236" s="611"/>
      <c r="U236" s="564"/>
      <c r="V236" s="564"/>
      <c r="W236" s="564"/>
      <c r="X236" s="564"/>
      <c r="Y236" s="564"/>
      <c r="Z236" s="564"/>
      <c r="AA236" s="564"/>
      <c r="AB236" s="564"/>
      <c r="AC236" s="564"/>
      <c r="AD236" s="564"/>
      <c r="AE236" s="564"/>
    </row>
    <row r="237" spans="1:31" x14ac:dyDescent="0.35">
      <c r="B237" s="30" t="str">
        <f t="shared" si="58"/>
        <v>SAPN</v>
      </c>
      <c r="D237" s="30" t="str">
        <f t="shared" si="58"/>
        <v>controlled load</v>
      </c>
      <c r="F237" s="258"/>
      <c r="H237" s="482"/>
      <c r="I237" s="482"/>
      <c r="J237" s="482"/>
      <c r="K237" s="484"/>
      <c r="L237" s="482"/>
      <c r="M237" s="484"/>
      <c r="N237" s="482"/>
      <c r="O237" s="482"/>
      <c r="P237" s="482"/>
      <c r="Q237" s="482"/>
      <c r="R237" s="484"/>
      <c r="S237" s="484"/>
      <c r="T237" s="607"/>
      <c r="U237" s="484"/>
      <c r="V237" s="484"/>
      <c r="W237" s="484"/>
      <c r="X237" s="484"/>
      <c r="Y237" s="484"/>
      <c r="Z237" s="484"/>
      <c r="AA237" s="484"/>
      <c r="AB237" s="484"/>
      <c r="AC237" s="484"/>
      <c r="AD237" s="484"/>
      <c r="AE237" s="484"/>
    </row>
    <row r="238" spans="1:31" x14ac:dyDescent="0.35">
      <c r="B238" s="64" t="s">
        <v>5</v>
      </c>
      <c r="C238" s="64" t="s">
        <v>13</v>
      </c>
      <c r="D238" s="64" t="s">
        <v>276</v>
      </c>
      <c r="F238" s="258"/>
      <c r="H238" s="482"/>
      <c r="I238" s="482"/>
      <c r="J238" s="482"/>
      <c r="K238" s="484"/>
      <c r="L238" s="482"/>
      <c r="M238" s="484"/>
      <c r="N238" s="482"/>
      <c r="O238" s="482"/>
      <c r="P238" s="482"/>
      <c r="Q238" s="482"/>
      <c r="R238" s="484"/>
      <c r="S238" s="484"/>
      <c r="T238" s="607"/>
      <c r="U238" s="484"/>
      <c r="V238" s="484"/>
      <c r="W238" s="484"/>
      <c r="X238" s="484"/>
      <c r="Y238" s="484"/>
      <c r="Z238" s="484"/>
      <c r="AA238" s="484"/>
      <c r="AB238" s="484"/>
      <c r="AC238" s="484"/>
      <c r="AD238" s="484"/>
      <c r="AE238" s="484"/>
    </row>
    <row r="239" spans="1:31" x14ac:dyDescent="0.35">
      <c r="B239" s="30" t="str">
        <f t="shared" ref="B239:B247" si="59">B238</f>
        <v>SAPN</v>
      </c>
      <c r="C239" s="30" t="str">
        <f t="shared" ref="C239:C247" si="60">C238</f>
        <v>Small business</v>
      </c>
      <c r="D239" s="30" t="str">
        <f t="shared" ref="D239:D247" si="61">D238</f>
        <v>flat rate</v>
      </c>
      <c r="E239" s="30" t="s">
        <v>19</v>
      </c>
      <c r="F239" s="258" cm="1">
        <f t="array" ref="F239">IFERROR(_xlfn.XLOOKUP(1,($B239=DistributionZone)*($C239=CustomerType)*($E239=tariffType)*(F$5=Description),valuesFY),0)</f>
        <v>10000</v>
      </c>
      <c r="G239" s="30" t="s">
        <v>220</v>
      </c>
      <c r="H239" s="482" cm="1">
        <f t="array" ref="H239">IFERROR(_xlfn.XLOOKUP(1,($B239=DistributionZone)*($C239=CustomerType)*(H$5=Desc_FixedOrVar)*($G239=Description),valuesPY),0)</f>
        <v>196.90647411009246</v>
      </c>
      <c r="I239" s="482"/>
      <c r="J239" s="482">
        <f>IF(AND(H239="",I239=""),"",H239+I239*$F239/1000)</f>
        <v>196.90647411009246</v>
      </c>
      <c r="K239" s="484">
        <f>IFERROR(J239/J243,"")</f>
        <v>0.66398098249508852</v>
      </c>
      <c r="L239" s="651"/>
      <c r="M239" s="484">
        <f>IF(OR(J239=0,Q239=""),"",Q239/J239-1)</f>
        <v>-9.1291440200169216E-2</v>
      </c>
      <c r="N239" s="651"/>
      <c r="O239" s="482" cm="1">
        <f t="array" ref="O239">IFERROR(_xlfn.XLOOKUP(1,($B239=DistributionZone)*($C239=CustomerType)*(O$5=Desc_FixedOrVar)*($G239=Description),valuesFY),0)</f>
        <v>178.93059850384478</v>
      </c>
      <c r="P239" s="482"/>
      <c r="Q239" s="482">
        <f>IF(AND(O239="",P239=""),"",O239+P239*$F239/1000)</f>
        <v>178.93059850384478</v>
      </c>
      <c r="R239" s="484">
        <f>IFERROR(Q239/Q243,"")</f>
        <v>0.61229353945505571</v>
      </c>
      <c r="S239" s="484"/>
      <c r="T239" s="607"/>
      <c r="U239" s="484"/>
      <c r="V239" s="484"/>
      <c r="W239" s="484"/>
      <c r="X239" s="484"/>
      <c r="Y239" s="484"/>
      <c r="Z239" s="484"/>
      <c r="AA239" s="484"/>
      <c r="AB239" s="484"/>
      <c r="AC239" s="484"/>
      <c r="AD239" s="484"/>
      <c r="AE239" s="484"/>
    </row>
    <row r="240" spans="1:31" x14ac:dyDescent="0.35">
      <c r="B240" s="30" t="str">
        <f t="shared" si="59"/>
        <v>SAPN</v>
      </c>
      <c r="C240" s="30" t="str">
        <f t="shared" si="60"/>
        <v>Small business</v>
      </c>
      <c r="D240" s="30" t="str">
        <f t="shared" si="61"/>
        <v>flat rate</v>
      </c>
      <c r="E240" s="30" t="s">
        <v>19</v>
      </c>
      <c r="F240" s="258">
        <f>F239</f>
        <v>10000</v>
      </c>
      <c r="G240" s="379" t="s">
        <v>222</v>
      </c>
      <c r="H240" s="482" cm="1">
        <f t="array" ref="H240">IFERROR(_xlfn.XLOOKUP(1,($B240=DistributionZone)*($C240=CustomerType)*(H$5=Desc_FixedOrVar)*($G240=Description),valuesPY),0)</f>
        <v>51.818256531164756</v>
      </c>
      <c r="I240" s="482"/>
      <c r="J240" s="482">
        <f>IF(AND(H240="",I240=""),"",H240+I240*$F240/1000)</f>
        <v>51.818256531164756</v>
      </c>
      <c r="K240" s="484">
        <f>IFERROR(J240/J243,"")</f>
        <v>0.17473441154356545</v>
      </c>
      <c r="L240" s="651"/>
      <c r="M240" s="484">
        <f>IF(OR(J240=0,Q240=""),"",Q240/J240-1)</f>
        <v>0.30341552485262513</v>
      </c>
      <c r="N240" s="651"/>
      <c r="O240" s="482" cm="1">
        <f t="array" ref="O240">IFERROR(_xlfn.XLOOKUP(1,($B240=DistributionZone)*($C240=CustomerType)*(O$5=Desc_FixedOrVar)*($G240=Description),valuesFY),0)</f>
        <v>67.540720033516081</v>
      </c>
      <c r="P240" s="482"/>
      <c r="Q240" s="482">
        <f>IF(AND(O240="",P240=""),"",O240+P240*$F240/1000)</f>
        <v>67.540720033516081</v>
      </c>
      <c r="R240" s="484">
        <f>IFERROR(Q240/Q243,"")</f>
        <v>0.23112171351606997</v>
      </c>
      <c r="S240" s="484"/>
      <c r="T240" s="607"/>
      <c r="U240" s="484"/>
      <c r="V240" s="484"/>
      <c r="W240" s="484"/>
      <c r="X240" s="484"/>
      <c r="Y240" s="484"/>
      <c r="Z240" s="484"/>
      <c r="AA240" s="484"/>
      <c r="AB240" s="484"/>
      <c r="AC240" s="484"/>
      <c r="AD240" s="484"/>
      <c r="AE240" s="484"/>
    </row>
    <row r="241" spans="2:31" x14ac:dyDescent="0.35">
      <c r="B241" s="30" t="str">
        <f t="shared" si="59"/>
        <v>SAPN</v>
      </c>
      <c r="C241" s="30" t="str">
        <f t="shared" si="60"/>
        <v>Small business</v>
      </c>
      <c r="D241" s="30" t="str">
        <f t="shared" si="61"/>
        <v>flat rate</v>
      </c>
      <c r="E241" s="30" t="s">
        <v>19</v>
      </c>
      <c r="F241" s="258">
        <f>F240</f>
        <v>10000</v>
      </c>
      <c r="G241" s="30" t="s">
        <v>158</v>
      </c>
      <c r="H241" s="482" cm="1">
        <f t="array" ref="H241">IFERROR(_xlfn.XLOOKUP(1,($B241=DistributionZone)*($C241=CustomerType)*(H$5=Desc_FixedOrVar)*($G241=Description),valuesPY),0)</f>
        <v>45.805818495391733</v>
      </c>
      <c r="I241" s="482"/>
      <c r="J241" s="482">
        <f>IF(AND(H241="",I241=""),"",H241+I241*$F241/1000)</f>
        <v>45.805818495391733</v>
      </c>
      <c r="K241" s="484">
        <f>IFERROR(J241/J243,"")</f>
        <v>0.15446009333119748</v>
      </c>
      <c r="L241" s="651"/>
      <c r="M241" s="484">
        <f>IF(OR(J241=0,Q241=""),"",Q241/J241-1)</f>
        <v>-2.066578138379882E-2</v>
      </c>
      <c r="N241" s="651"/>
      <c r="O241" s="482" cm="1">
        <f t="array" ref="O241">IFERROR(_xlfn.XLOOKUP(1,($B241=DistributionZone)*($C241=CustomerType)*(O$5=Desc_FixedOrVar)*($G241=Description),valuesFY),0)</f>
        <v>44.85920546426</v>
      </c>
      <c r="P241" s="482"/>
      <c r="Q241" s="482">
        <f>IF(AND(O241="",P241=""),"",O241+P241*$F241/1000)</f>
        <v>44.85920546426</v>
      </c>
      <c r="R241" s="484">
        <f>IFERROR(Q241/Q243,"")</f>
        <v>0.15350645401358301</v>
      </c>
      <c r="S241" s="484"/>
      <c r="T241" s="607"/>
      <c r="U241" s="484"/>
      <c r="V241" s="484"/>
      <c r="W241" s="484"/>
      <c r="X241" s="484"/>
      <c r="Y241" s="484"/>
      <c r="Z241" s="484"/>
      <c r="AA241" s="484"/>
      <c r="AB241" s="484"/>
      <c r="AC241" s="484"/>
      <c r="AD241" s="484"/>
      <c r="AE241" s="484"/>
    </row>
    <row r="242" spans="2:31" x14ac:dyDescent="0.35">
      <c r="B242" s="30" t="str">
        <f t="shared" si="59"/>
        <v>SAPN</v>
      </c>
      <c r="C242" s="30" t="str">
        <f t="shared" si="60"/>
        <v>Small business</v>
      </c>
      <c r="D242" s="30" t="str">
        <f t="shared" si="61"/>
        <v>flat rate</v>
      </c>
      <c r="E242" s="30" t="s">
        <v>19</v>
      </c>
      <c r="F242" s="258">
        <f>F241</f>
        <v>10000</v>
      </c>
      <c r="G242" s="30" t="s">
        <v>190</v>
      </c>
      <c r="H242" s="482" cm="1">
        <f t="array" ref="H242">IFERROR(_xlfn.XLOOKUP(1,($B242=DistributionZone)*($C242=CustomerType)*(H$5=Desc_FixedOrVar)*($G242=Description),valuesPY),0)</f>
        <v>2.0238391685145141</v>
      </c>
      <c r="I242" s="482"/>
      <c r="J242" s="482">
        <f>IF(AND(H242="",I242=""),"",H242+I242*$F242/1000)</f>
        <v>2.0238391685145141</v>
      </c>
      <c r="K242" s="484">
        <f>IFERROR(J242/J243,"")</f>
        <v>6.8245126301483758E-3</v>
      </c>
      <c r="L242" s="651"/>
      <c r="M242" s="484">
        <f>IF(OR(J242=0,Q242=""),0,Q242/J242-1)</f>
        <v>-0.55551316983230059</v>
      </c>
      <c r="N242" s="651"/>
      <c r="O242" s="482" cm="1">
        <f t="array" ref="O242">IFERROR(_xlfn.XLOOKUP(1,($B242=DistributionZone)*($C242=CustomerType)*(O$5=Desc_FixedOrVar)*($G242=Description),valuesFY),0)</f>
        <v>0.89956985678224877</v>
      </c>
      <c r="P242" s="482"/>
      <c r="Q242" s="482">
        <f>IF(AND(O242="",P242=""),"",O242+P242*$F242/1000)</f>
        <v>0.89956985678224877</v>
      </c>
      <c r="R242" s="484">
        <f>IFERROR(Q242/Q243,"")</f>
        <v>3.0782930152913187E-3</v>
      </c>
      <c r="S242" s="484"/>
      <c r="T242" s="607"/>
      <c r="U242" s="484"/>
      <c r="V242" s="484"/>
      <c r="W242" s="484"/>
      <c r="X242" s="484"/>
      <c r="Y242" s="484"/>
      <c r="Z242" s="484"/>
      <c r="AA242" s="484"/>
      <c r="AB242" s="484"/>
      <c r="AC242" s="484"/>
      <c r="AD242" s="484"/>
      <c r="AE242" s="484"/>
    </row>
    <row r="243" spans="2:31" x14ac:dyDescent="0.35">
      <c r="B243" s="30" t="str">
        <f t="shared" si="59"/>
        <v>SAPN</v>
      </c>
      <c r="C243" s="30" t="str">
        <f t="shared" si="60"/>
        <v>Small business</v>
      </c>
      <c r="D243" s="30" t="str">
        <f t="shared" si="61"/>
        <v>flat rate</v>
      </c>
      <c r="E243" s="30" t="s">
        <v>19</v>
      </c>
      <c r="F243" s="258">
        <f>F242</f>
        <v>10000</v>
      </c>
      <c r="G243" s="64" t="s">
        <v>55</v>
      </c>
      <c r="H243" s="487">
        <f>SUM(H239:H242)</f>
        <v>296.55438830516351</v>
      </c>
      <c r="I243" s="487">
        <f>SUM(I239:I242)</f>
        <v>0</v>
      </c>
      <c r="J243" s="487">
        <f>IF(AND(H243="",I243=""),"",H243+I243*$F243/1000)</f>
        <v>296.55438830516351</v>
      </c>
      <c r="K243" s="564"/>
      <c r="L243" s="487"/>
      <c r="M243" s="564">
        <f>IF(OR(J243=0,Q243=""),"",Q243/J243-1)</f>
        <v>-1.4581792134232607E-2</v>
      </c>
      <c r="N243" s="487"/>
      <c r="O243" s="487">
        <f>SUM(O239:O242)</f>
        <v>292.23009385840311</v>
      </c>
      <c r="P243" s="487">
        <f>SUM(P239:P242)</f>
        <v>0</v>
      </c>
      <c r="Q243" s="487">
        <f>IF(AND(O243="",P243=""),"",O243+P243*$F243/1000)</f>
        <v>292.23009385840311</v>
      </c>
      <c r="R243" s="564"/>
      <c r="S243" s="564"/>
      <c r="T243" s="611"/>
      <c r="U243" s="564"/>
      <c r="V243" s="564"/>
      <c r="W243" s="564"/>
      <c r="X243" s="564"/>
      <c r="Y243" s="564"/>
      <c r="Z243" s="564"/>
      <c r="AA243" s="564"/>
      <c r="AB243" s="564"/>
      <c r="AC243" s="564"/>
      <c r="AD243" s="564"/>
      <c r="AE243" s="564"/>
    </row>
    <row r="244" spans="2:31" x14ac:dyDescent="0.35">
      <c r="B244" s="30" t="str">
        <f t="shared" si="59"/>
        <v>SAPN</v>
      </c>
      <c r="C244" s="30" t="str">
        <f t="shared" si="60"/>
        <v>Small business</v>
      </c>
      <c r="D244" s="30" t="str">
        <f t="shared" si="61"/>
        <v>flat rate</v>
      </c>
      <c r="E244" s="30" t="s">
        <v>19</v>
      </c>
      <c r="F244" s="258">
        <f>F243</f>
        <v>10000</v>
      </c>
      <c r="G244" s="30" t="s">
        <v>161</v>
      </c>
      <c r="H244" s="482"/>
      <c r="I244" s="482"/>
      <c r="J244" s="482">
        <f>J243*CPIPY</f>
        <v>16.834799515307566</v>
      </c>
      <c r="K244" s="484"/>
      <c r="L244" s="482"/>
      <c r="M244" s="484">
        <f>IF(OR(J244=0,Q244=""),"",Q244/J244-1)</f>
        <v>0.26982301193976399</v>
      </c>
      <c r="N244" s="482"/>
      <c r="O244" s="482"/>
      <c r="P244" s="482"/>
      <c r="Q244" s="482">
        <f>Q243*CPI</f>
        <v>21.377215825929934</v>
      </c>
      <c r="R244" s="484"/>
      <c r="S244" s="484"/>
      <c r="T244" s="607"/>
      <c r="U244" s="484"/>
      <c r="V244" s="484"/>
      <c r="W244" s="484"/>
      <c r="X244" s="484"/>
      <c r="Y244" s="484"/>
      <c r="Z244" s="484"/>
      <c r="AA244" s="484"/>
      <c r="AB244" s="484"/>
      <c r="AC244" s="484"/>
      <c r="AD244" s="484"/>
      <c r="AE244" s="484"/>
    </row>
    <row r="245" spans="2:31" x14ac:dyDescent="0.35">
      <c r="B245" s="30" t="str">
        <f t="shared" si="59"/>
        <v>SAPN</v>
      </c>
      <c r="C245" s="30" t="str">
        <f t="shared" si="60"/>
        <v>Small business</v>
      </c>
      <c r="D245" s="30" t="str">
        <f t="shared" si="61"/>
        <v>flat rate</v>
      </c>
      <c r="F245" s="258"/>
      <c r="G245" s="30" t="s">
        <v>38</v>
      </c>
      <c r="H245" s="482"/>
      <c r="I245" s="482"/>
      <c r="J245" s="482">
        <f>SUM(J243,J244)*GST</f>
        <v>31.338918782047109</v>
      </c>
      <c r="K245" s="484"/>
      <c r="L245" s="482"/>
      <c r="M245" s="484">
        <f>IF(OR(J245=0,Q245=""),0,Q245/J245-1)</f>
        <v>6.9600953810478039E-4</v>
      </c>
      <c r="N245" s="482"/>
      <c r="O245" s="482"/>
      <c r="P245" s="482"/>
      <c r="Q245" s="482">
        <f>SUM(Q243,Q244)*GST</f>
        <v>31.360730968433302</v>
      </c>
      <c r="R245" s="564"/>
      <c r="S245" s="564"/>
      <c r="T245" s="611"/>
      <c r="U245" s="564"/>
      <c r="V245" s="564"/>
      <c r="W245" s="564"/>
      <c r="X245" s="564"/>
      <c r="Y245" s="564"/>
      <c r="Z245" s="564"/>
      <c r="AA245" s="564"/>
      <c r="AB245" s="564"/>
      <c r="AC245" s="564"/>
      <c r="AD245" s="564"/>
      <c r="AE245" s="564"/>
    </row>
    <row r="246" spans="2:31" x14ac:dyDescent="0.35">
      <c r="B246" s="30" t="str">
        <f t="shared" si="59"/>
        <v>SAPN</v>
      </c>
      <c r="C246" s="30" t="str">
        <f t="shared" si="60"/>
        <v>Small business</v>
      </c>
      <c r="D246" s="30" t="str">
        <f t="shared" si="61"/>
        <v>flat rate</v>
      </c>
      <c r="F246" s="258"/>
      <c r="G246" s="64" t="s">
        <v>79</v>
      </c>
      <c r="H246" s="487"/>
      <c r="I246" s="487"/>
      <c r="J246" s="487">
        <f>SUM(J243:J245)</f>
        <v>344.72810660251821</v>
      </c>
      <c r="K246" s="564"/>
      <c r="L246" s="487"/>
      <c r="M246" s="564">
        <f>IF(OR(J246=0,Q246=""),"",Q246/J246-1)</f>
        <v>6.9600953810455835E-4</v>
      </c>
      <c r="N246" s="487"/>
      <c r="O246" s="487"/>
      <c r="P246" s="487"/>
      <c r="Q246" s="487">
        <f>SUM(Q243:Q245)</f>
        <v>344.96804065276632</v>
      </c>
      <c r="R246" s="564"/>
      <c r="S246" s="564"/>
      <c r="T246" s="611"/>
      <c r="U246" s="564"/>
      <c r="V246" s="564"/>
      <c r="W246" s="564"/>
      <c r="X246" s="564"/>
      <c r="Y246" s="564"/>
      <c r="Z246" s="564"/>
      <c r="AA246" s="564"/>
      <c r="AB246" s="564"/>
      <c r="AC246" s="564"/>
      <c r="AD246" s="564"/>
      <c r="AE246" s="564"/>
    </row>
    <row r="247" spans="2:31" s="570" customFormat="1" x14ac:dyDescent="0.35">
      <c r="B247" s="30" t="str">
        <f t="shared" si="59"/>
        <v>SAPN</v>
      </c>
      <c r="C247" s="30" t="str">
        <f t="shared" si="60"/>
        <v>Small business</v>
      </c>
      <c r="D247" s="30" t="str">
        <f t="shared" si="61"/>
        <v>flat rate</v>
      </c>
      <c r="F247" s="485"/>
      <c r="H247" s="574"/>
      <c r="I247" s="574"/>
      <c r="J247" s="574"/>
      <c r="K247" s="575"/>
      <c r="L247" s="574"/>
      <c r="M247" s="575"/>
      <c r="N247" s="574"/>
      <c r="O247" s="574"/>
      <c r="P247" s="574"/>
      <c r="Q247" s="574"/>
      <c r="R247" s="575"/>
      <c r="S247" s="575"/>
      <c r="T247" s="612"/>
      <c r="U247" s="575"/>
      <c r="V247" s="575"/>
      <c r="W247" s="575"/>
      <c r="X247" s="575"/>
      <c r="Y247" s="575"/>
      <c r="Z247" s="575"/>
      <c r="AA247" s="575"/>
      <c r="AB247" s="575"/>
      <c r="AC247" s="575"/>
      <c r="AD247" s="575"/>
      <c r="AE247" s="575"/>
    </row>
    <row r="248" spans="2:31" s="570" customFormat="1" x14ac:dyDescent="0.35">
      <c r="B248" s="571" t="s">
        <v>5</v>
      </c>
      <c r="C248" s="571" t="s">
        <v>13</v>
      </c>
      <c r="D248" s="571" t="s">
        <v>272</v>
      </c>
      <c r="F248" s="485"/>
      <c r="H248" s="574"/>
      <c r="I248" s="574"/>
      <c r="J248" s="574"/>
      <c r="K248" s="575"/>
      <c r="L248" s="574"/>
      <c r="M248" s="575"/>
      <c r="N248" s="574"/>
      <c r="O248" s="574"/>
      <c r="P248" s="574"/>
      <c r="Q248" s="574"/>
      <c r="R248" s="575"/>
      <c r="S248" s="575"/>
      <c r="T248" s="612"/>
      <c r="U248" s="575"/>
      <c r="V248" s="575"/>
      <c r="W248" s="575"/>
      <c r="X248" s="575"/>
      <c r="Y248" s="575"/>
      <c r="Z248" s="575"/>
      <c r="AA248" s="575"/>
      <c r="AB248" s="575"/>
      <c r="AC248" s="575"/>
      <c r="AD248" s="575"/>
      <c r="AE248" s="575"/>
    </row>
    <row r="249" spans="2:31" s="570" customFormat="1" x14ac:dyDescent="0.35">
      <c r="B249" s="570" t="str">
        <f t="shared" ref="B249:D256" si="62">B248</f>
        <v>SAPN</v>
      </c>
      <c r="C249" s="570" t="str">
        <f t="shared" si="62"/>
        <v>Small business</v>
      </c>
      <c r="D249" s="570" t="str">
        <f t="shared" si="62"/>
        <v>time of use</v>
      </c>
      <c r="E249" s="570" t="s">
        <v>19</v>
      </c>
      <c r="F249" s="485" cm="1">
        <f t="array" ref="F249">IFERROR(_xlfn.XLOOKUP(1,($B249=DistributionZone)*($C249=CustomerType)*($E249=tariffType)*(F$5=Description),valuesFY),0)</f>
        <v>10000</v>
      </c>
      <c r="G249" s="570" t="s">
        <v>220</v>
      </c>
      <c r="H249" s="574" cm="1">
        <f t="array" ref="H249">IFERROR(_xlfn.XLOOKUP(1,($B249=DistributionZone)*($C249=CustomerType)*(H$5=Desc_FixedOrVar)*($G249=Description),valuesPY),0)</f>
        <v>196.90647411009246</v>
      </c>
      <c r="I249" s="574"/>
      <c r="J249" s="574">
        <f>IF(AND(H249="",I249=""),"",H249+I249*$F249/1000)</f>
        <v>196.90647411009246</v>
      </c>
      <c r="K249" s="575" t="str">
        <f>IFERROR(J249/J253,"")</f>
        <v/>
      </c>
      <c r="L249" s="654"/>
      <c r="M249" s="575">
        <f>IF(OR(J249=0,Q249=""),"",Q249/J249-1)</f>
        <v>-9.1291440200169216E-2</v>
      </c>
      <c r="N249" s="654"/>
      <c r="O249" s="574" cm="1">
        <f t="array" ref="O249">IFERROR(_xlfn.XLOOKUP(1,($B249=DistributionZone)*($C249=CustomerType)*(O$5=Desc_FixedOrVar)*($G249=Description),valuesFY),0)</f>
        <v>178.93059850384478</v>
      </c>
      <c r="P249" s="574"/>
      <c r="Q249" s="574">
        <f>IF(AND(O249="",P249=""),"",O249+P249*$F249/1000)</f>
        <v>178.93059850384478</v>
      </c>
      <c r="R249" s="575">
        <f>IFERROR(Q249/Q253,"")</f>
        <v>0.61229353945505571</v>
      </c>
      <c r="S249" s="575"/>
      <c r="T249" s="612"/>
      <c r="U249" s="575"/>
      <c r="V249" s="575"/>
      <c r="W249" s="575"/>
      <c r="X249" s="575"/>
      <c r="Y249" s="575"/>
      <c r="Z249" s="575"/>
      <c r="AA249" s="575"/>
      <c r="AB249" s="575"/>
      <c r="AC249" s="575"/>
      <c r="AD249" s="575"/>
      <c r="AE249" s="575"/>
    </row>
    <row r="250" spans="2:31" s="570" customFormat="1" x14ac:dyDescent="0.35">
      <c r="B250" s="570" t="str">
        <f t="shared" si="62"/>
        <v>SAPN</v>
      </c>
      <c r="C250" s="570" t="str">
        <f t="shared" si="62"/>
        <v>Small business</v>
      </c>
      <c r="D250" s="570" t="str">
        <f t="shared" si="62"/>
        <v>time of use</v>
      </c>
      <c r="E250" s="570" t="s">
        <v>19</v>
      </c>
      <c r="F250" s="485">
        <f>F249</f>
        <v>10000</v>
      </c>
      <c r="G250" s="615" t="s">
        <v>222</v>
      </c>
      <c r="H250" s="574" cm="1">
        <f t="array" ref="H250">IFERROR(_xlfn.XLOOKUP(1,($B250=DistributionZone)*($C250=CustomerType)*(H$5=Desc_FixedOrVar)*($G250=Description),valuesPY),0)</f>
        <v>51.818256531164756</v>
      </c>
      <c r="I250" s="574"/>
      <c r="J250" s="574">
        <f>IF(AND(H250="",I250=""),"",H250+I250*$F250/1000)</f>
        <v>51.818256531164756</v>
      </c>
      <c r="K250" s="575" t="str">
        <f>IFERROR(J250/J253,"")</f>
        <v/>
      </c>
      <c r="L250" s="654"/>
      <c r="M250" s="575">
        <f>IF(OR(J250=0,Q250=""),"",Q250/J250-1)</f>
        <v>0.30341552485262513</v>
      </c>
      <c r="N250" s="654"/>
      <c r="O250" s="574" cm="1">
        <f t="array" ref="O250">IFERROR(_xlfn.XLOOKUP(1,($B250=DistributionZone)*($C250=CustomerType)*(O$5=Desc_FixedOrVar)*($G250=Description),valuesFY),0)</f>
        <v>67.540720033516081</v>
      </c>
      <c r="P250" s="574"/>
      <c r="Q250" s="574">
        <f>IF(AND(O250="",P250=""),"",O250+P250*$F250/1000)</f>
        <v>67.540720033516081</v>
      </c>
      <c r="R250" s="575">
        <f>IFERROR(Q250/Q253,"")</f>
        <v>0.23112171351606997</v>
      </c>
      <c r="S250" s="575"/>
      <c r="T250" s="612"/>
      <c r="U250" s="575"/>
      <c r="V250" s="575"/>
      <c r="W250" s="575"/>
      <c r="X250" s="575"/>
      <c r="Y250" s="575"/>
      <c r="Z250" s="575"/>
      <c r="AA250" s="575"/>
      <c r="AB250" s="575"/>
      <c r="AC250" s="575"/>
      <c r="AD250" s="575"/>
      <c r="AE250" s="575"/>
    </row>
    <row r="251" spans="2:31" s="570" customFormat="1" x14ac:dyDescent="0.35">
      <c r="B251" s="570" t="str">
        <f t="shared" si="62"/>
        <v>SAPN</v>
      </c>
      <c r="C251" s="570" t="str">
        <f t="shared" si="62"/>
        <v>Small business</v>
      </c>
      <c r="D251" s="570" t="str">
        <f t="shared" si="62"/>
        <v>time of use</v>
      </c>
      <c r="E251" s="570" t="s">
        <v>19</v>
      </c>
      <c r="F251" s="485">
        <f>F250</f>
        <v>10000</v>
      </c>
      <c r="G251" s="570" t="s">
        <v>158</v>
      </c>
      <c r="H251" s="574" cm="1">
        <f t="array" ref="H251">IFERROR(_xlfn.XLOOKUP(1,($B251=DistributionZone)*($C251=CustomerType)*(H$5=Desc_FixedOrVar)*($G251=Description),valuesPY),0)</f>
        <v>45.805818495391733</v>
      </c>
      <c r="I251" s="574"/>
      <c r="J251" s="574">
        <f>IF(AND(H251="",I251=""),"",H251+I251*$F251/1000)</f>
        <v>45.805818495391733</v>
      </c>
      <c r="K251" s="575" t="str">
        <f>IFERROR(J251/J253,"")</f>
        <v/>
      </c>
      <c r="L251" s="654"/>
      <c r="M251" s="575">
        <f>IF(OR(J251=0,Q251=""),"",Q251/J251-1)</f>
        <v>-2.066578138379882E-2</v>
      </c>
      <c r="N251" s="654"/>
      <c r="O251" s="574" cm="1">
        <f t="array" ref="O251">IFERROR(_xlfn.XLOOKUP(1,($B251=DistributionZone)*($C251=CustomerType)*(O$5=Desc_FixedOrVar)*($G251=Description),valuesFY),0)</f>
        <v>44.85920546426</v>
      </c>
      <c r="P251" s="574"/>
      <c r="Q251" s="574">
        <f>IF(AND(O251="",P251=""),"",O251+P251*$F251/1000)</f>
        <v>44.85920546426</v>
      </c>
      <c r="R251" s="575">
        <f>IFERROR(Q251/Q253,"")</f>
        <v>0.15350645401358301</v>
      </c>
      <c r="S251" s="575"/>
      <c r="T251" s="612"/>
      <c r="U251" s="575"/>
      <c r="V251" s="575"/>
      <c r="W251" s="575"/>
      <c r="X251" s="575"/>
      <c r="Y251" s="575"/>
      <c r="Z251" s="575"/>
      <c r="AA251" s="575"/>
      <c r="AB251" s="575"/>
      <c r="AC251" s="575"/>
      <c r="AD251" s="575"/>
      <c r="AE251" s="575"/>
    </row>
    <row r="252" spans="2:31" s="570" customFormat="1" x14ac:dyDescent="0.35">
      <c r="B252" s="570" t="str">
        <f t="shared" si="62"/>
        <v>SAPN</v>
      </c>
      <c r="C252" s="570" t="str">
        <f t="shared" si="62"/>
        <v>Small business</v>
      </c>
      <c r="D252" s="570" t="str">
        <f t="shared" si="62"/>
        <v>time of use</v>
      </c>
      <c r="E252" s="570" t="s">
        <v>19</v>
      </c>
      <c r="F252" s="485">
        <f>F251</f>
        <v>10000</v>
      </c>
      <c r="G252" s="570" t="s">
        <v>190</v>
      </c>
      <c r="H252" s="574" cm="1">
        <f t="array" ref="H252">IFERROR(_xlfn.XLOOKUP(1,($B252=DistributionZone)*($C252=CustomerType)*(H$5=Desc_FixedOrVar)*($G252=Description),valuesPY),0)</f>
        <v>2.0238391685145141</v>
      </c>
      <c r="I252" s="574"/>
      <c r="J252" s="574">
        <f>IF(AND(H252="",I252=""),"",H252+I252*$F252/1000)</f>
        <v>2.0238391685145141</v>
      </c>
      <c r="K252" s="575" t="str">
        <f>IFERROR(J252/J253,"")</f>
        <v/>
      </c>
      <c r="L252" s="654"/>
      <c r="M252" s="575">
        <f>IF(OR(J252=0,Q252=""),0,Q252/J252-1)</f>
        <v>-0.55551316983230059</v>
      </c>
      <c r="N252" s="654"/>
      <c r="O252" s="574" cm="1">
        <f t="array" ref="O252">IFERROR(_xlfn.XLOOKUP(1,($B252=DistributionZone)*($C252=CustomerType)*(O$5=Desc_FixedOrVar)*($G252=Description),valuesFY),0)</f>
        <v>0.89956985678224877</v>
      </c>
      <c r="P252" s="574"/>
      <c r="Q252" s="574">
        <f>IF(AND(O252="",P252=""),"",O252+P252*$F252/1000)</f>
        <v>0.89956985678224877</v>
      </c>
      <c r="R252" s="575">
        <f>IFERROR(Q252/Q253,"")</f>
        <v>3.0782930152913187E-3</v>
      </c>
      <c r="S252" s="575"/>
      <c r="T252" s="612"/>
      <c r="U252" s="575"/>
      <c r="V252" s="575"/>
      <c r="W252" s="575"/>
      <c r="X252" s="575"/>
      <c r="Y252" s="575"/>
      <c r="Z252" s="575"/>
      <c r="AA252" s="575"/>
      <c r="AB252" s="575"/>
      <c r="AC252" s="575"/>
      <c r="AD252" s="575"/>
      <c r="AE252" s="575"/>
    </row>
    <row r="253" spans="2:31" s="570" customFormat="1" x14ac:dyDescent="0.35">
      <c r="B253" s="570" t="str">
        <f t="shared" si="62"/>
        <v>SAPN</v>
      </c>
      <c r="C253" s="570" t="str">
        <f t="shared" si="62"/>
        <v>Small business</v>
      </c>
      <c r="D253" s="570" t="str">
        <f t="shared" si="62"/>
        <v>time of use</v>
      </c>
      <c r="E253" s="570" t="s">
        <v>272</v>
      </c>
      <c r="F253" s="485">
        <f>F252</f>
        <v>10000</v>
      </c>
      <c r="G253" s="571" t="s">
        <v>55</v>
      </c>
      <c r="H253" s="577">
        <f>IF($H$3=PY,0,SUM(H249:H252))</f>
        <v>0</v>
      </c>
      <c r="I253" s="577">
        <f>SUM(I249:I252)</f>
        <v>0</v>
      </c>
      <c r="J253" s="577">
        <f>IF($H$3=PY,0,IF(AND(H253="",I253=""),"",H253+I253*$F253/1000))</f>
        <v>0</v>
      </c>
      <c r="K253" s="578"/>
      <c r="L253" s="577"/>
      <c r="M253" s="578" t="str">
        <f>IF(OR(J253=0,Q253=""),"",Q253/J253-1)</f>
        <v/>
      </c>
      <c r="N253" s="577"/>
      <c r="O253" s="577">
        <f>SUM(O249:O252)</f>
        <v>292.23009385840311</v>
      </c>
      <c r="P253" s="577">
        <f>SUM(P249:P252)</f>
        <v>0</v>
      </c>
      <c r="Q253" s="577">
        <f>IF(AND(O253="",P253=""),"",O253+P253*$F253/1000)</f>
        <v>292.23009385840311</v>
      </c>
      <c r="R253" s="578"/>
      <c r="S253" s="578"/>
      <c r="T253" s="621"/>
      <c r="U253" s="578"/>
      <c r="V253" s="578"/>
      <c r="W253" s="578"/>
      <c r="X253" s="578"/>
      <c r="Y253" s="578"/>
      <c r="Z253" s="578"/>
      <c r="AA253" s="578"/>
      <c r="AB253" s="578"/>
      <c r="AC253" s="578"/>
      <c r="AD253" s="578"/>
      <c r="AE253" s="578"/>
    </row>
    <row r="254" spans="2:31" s="570" customFormat="1" x14ac:dyDescent="0.35">
      <c r="B254" s="570" t="str">
        <f t="shared" si="62"/>
        <v>SAPN</v>
      </c>
      <c r="C254" s="570" t="str">
        <f t="shared" si="62"/>
        <v>Small business</v>
      </c>
      <c r="D254" s="570" t="str">
        <f t="shared" si="62"/>
        <v>time of use</v>
      </c>
      <c r="E254" s="570" t="s">
        <v>272</v>
      </c>
      <c r="F254" s="485">
        <f>F253</f>
        <v>10000</v>
      </c>
      <c r="G254" s="570" t="s">
        <v>161</v>
      </c>
      <c r="H254" s="574"/>
      <c r="I254" s="574"/>
      <c r="J254" s="574">
        <f>J253*CPIPY</f>
        <v>0</v>
      </c>
      <c r="K254" s="575"/>
      <c r="L254" s="574"/>
      <c r="M254" s="575" t="str">
        <f>IF(OR(J254=0,Q254=""),"",Q254/J254-1)</f>
        <v/>
      </c>
      <c r="N254" s="574"/>
      <c r="O254" s="574"/>
      <c r="P254" s="574"/>
      <c r="Q254" s="574">
        <f>Q253*CPI</f>
        <v>21.377215825929934</v>
      </c>
      <c r="R254" s="575"/>
      <c r="S254" s="575"/>
      <c r="T254" s="612"/>
      <c r="U254" s="575"/>
      <c r="V254" s="575"/>
      <c r="W254" s="575"/>
      <c r="X254" s="575"/>
      <c r="Y254" s="575"/>
      <c r="Z254" s="575"/>
      <c r="AA254" s="575"/>
      <c r="AB254" s="575"/>
      <c r="AC254" s="575"/>
      <c r="AD254" s="575"/>
      <c r="AE254" s="575"/>
    </row>
    <row r="255" spans="2:31" s="570" customFormat="1" x14ac:dyDescent="0.35">
      <c r="B255" s="570" t="str">
        <f t="shared" si="62"/>
        <v>SAPN</v>
      </c>
      <c r="C255" s="570" t="str">
        <f t="shared" si="62"/>
        <v>Small business</v>
      </c>
      <c r="D255" s="570" t="str">
        <f t="shared" si="62"/>
        <v>time of use</v>
      </c>
      <c r="F255" s="485"/>
      <c r="G255" s="570" t="s">
        <v>38</v>
      </c>
      <c r="H255" s="574"/>
      <c r="I255" s="574"/>
      <c r="J255" s="574">
        <f>SUM(J253,J254)*GST</f>
        <v>0</v>
      </c>
      <c r="K255" s="575"/>
      <c r="L255" s="574"/>
      <c r="M255" s="575">
        <f>IF(OR(J255=0,Q255=""),0,Q255/J255-1)</f>
        <v>0</v>
      </c>
      <c r="N255" s="574"/>
      <c r="O255" s="574"/>
      <c r="P255" s="574"/>
      <c r="Q255" s="574">
        <f>SUM(Q253,Q254)*GST</f>
        <v>31.360730968433302</v>
      </c>
      <c r="R255" s="578"/>
      <c r="S255" s="578"/>
      <c r="T255" s="621"/>
      <c r="U255" s="578"/>
      <c r="V255" s="578"/>
      <c r="W255" s="578"/>
      <c r="X255" s="578"/>
      <c r="Y255" s="578"/>
      <c r="Z255" s="578"/>
      <c r="AA255" s="578"/>
      <c r="AB255" s="578"/>
      <c r="AC255" s="578"/>
      <c r="AD255" s="578"/>
      <c r="AE255" s="578"/>
    </row>
    <row r="256" spans="2:31" s="570" customFormat="1" x14ac:dyDescent="0.35">
      <c r="B256" s="570" t="str">
        <f t="shared" si="62"/>
        <v>SAPN</v>
      </c>
      <c r="C256" s="570" t="str">
        <f t="shared" si="62"/>
        <v>Small business</v>
      </c>
      <c r="D256" s="570" t="str">
        <f t="shared" si="62"/>
        <v>time of use</v>
      </c>
      <c r="E256" s="570" t="s">
        <v>272</v>
      </c>
      <c r="F256" s="485"/>
      <c r="G256" s="571" t="s">
        <v>79</v>
      </c>
      <c r="H256" s="577"/>
      <c r="I256" s="577"/>
      <c r="J256" s="577">
        <f>SUM(J253:J255)</f>
        <v>0</v>
      </c>
      <c r="K256" s="578"/>
      <c r="L256" s="577"/>
      <c r="M256" s="578" t="str">
        <f>IF(OR(J256=0,Q256=""),"",Q256/J256-1)</f>
        <v/>
      </c>
      <c r="N256" s="577"/>
      <c r="O256" s="577"/>
      <c r="P256" s="577"/>
      <c r="Q256" s="577">
        <f>SUM(Q253:Q255)</f>
        <v>344.96804065276632</v>
      </c>
      <c r="R256" s="578"/>
      <c r="S256" s="578"/>
      <c r="T256" s="621"/>
      <c r="U256" s="578"/>
      <c r="V256" s="578"/>
      <c r="W256" s="578"/>
      <c r="X256" s="578"/>
      <c r="Y256" s="578"/>
      <c r="Z256" s="578"/>
      <c r="AA256" s="578"/>
      <c r="AB256" s="578"/>
      <c r="AC256" s="578"/>
      <c r="AD256" s="578"/>
      <c r="AE256" s="578"/>
    </row>
    <row r="257" spans="2:31" x14ac:dyDescent="0.35">
      <c r="B257" s="30" t="str">
        <f>B246</f>
        <v>SAPN</v>
      </c>
      <c r="C257" s="30" t="str">
        <f>C246</f>
        <v>Small business</v>
      </c>
      <c r="D257" s="30" t="str">
        <f>D246</f>
        <v>flat rate</v>
      </c>
      <c r="F257" s="258"/>
      <c r="H257" s="482"/>
      <c r="I257" s="482"/>
      <c r="J257" s="482"/>
      <c r="K257" s="484"/>
      <c r="L257" s="482"/>
      <c r="M257" s="484"/>
      <c r="N257" s="482"/>
      <c r="O257" s="482"/>
      <c r="P257" s="482"/>
      <c r="Q257" s="482"/>
      <c r="R257" s="484"/>
      <c r="S257" s="484"/>
      <c r="T257" s="607"/>
      <c r="U257" s="484"/>
      <c r="V257" s="484"/>
      <c r="W257" s="484"/>
      <c r="X257" s="484"/>
      <c r="Y257" s="484"/>
      <c r="Z257" s="484"/>
      <c r="AA257" s="484"/>
      <c r="AB257" s="484"/>
      <c r="AC257" s="484"/>
      <c r="AD257" s="484"/>
      <c r="AE257" s="484"/>
    </row>
    <row r="258" spans="2:31" x14ac:dyDescent="0.35">
      <c r="F258" s="30"/>
      <c r="H258" s="30"/>
      <c r="I258" s="30"/>
      <c r="J258" s="30"/>
      <c r="K258" s="30"/>
      <c r="L258" s="30"/>
      <c r="M258" s="30"/>
      <c r="N258" s="30"/>
      <c r="O258" s="30"/>
      <c r="P258" s="30"/>
      <c r="Q258" s="30"/>
      <c r="R258" s="30"/>
      <c r="S258" s="30"/>
      <c r="U258" s="30"/>
      <c r="V258" s="30"/>
      <c r="W258" s="30"/>
      <c r="X258" s="30"/>
      <c r="Y258" s="30"/>
      <c r="Z258" s="30"/>
      <c r="AA258" s="30"/>
      <c r="AB258" s="30"/>
      <c r="AC258" s="30"/>
      <c r="AD258" s="30"/>
      <c r="AE258" s="30"/>
    </row>
    <row r="259" spans="2:31" x14ac:dyDescent="0.35">
      <c r="F259" s="30"/>
      <c r="H259" s="30"/>
      <c r="I259" s="30"/>
      <c r="J259" s="30"/>
      <c r="K259" s="30"/>
      <c r="L259" s="30"/>
      <c r="M259" s="30"/>
      <c r="N259" s="30"/>
      <c r="O259" s="30"/>
      <c r="P259" s="30"/>
      <c r="Q259" s="30"/>
      <c r="R259" s="30"/>
      <c r="S259" s="30"/>
      <c r="U259" s="30"/>
      <c r="V259" s="30"/>
      <c r="W259" s="30"/>
      <c r="X259" s="30"/>
      <c r="Y259" s="30"/>
      <c r="Z259" s="30"/>
      <c r="AA259" s="30"/>
      <c r="AB259" s="30"/>
      <c r="AC259" s="30"/>
      <c r="AD259" s="30"/>
      <c r="AE259" s="30"/>
    </row>
  </sheetData>
  <sheetProtection algorithmName="SHA-256" hashValue="W94R8GArDMlIIbaq8V7P/mMsKAghrEDeXqL9M+MFctU=" saltValue="LgQvfXLozHnxmvuwFw9vbA==" spinCount="100000" sheet="1" autoFilter="0"/>
  <mergeCells count="3">
    <mergeCell ref="A1:B1"/>
    <mergeCell ref="H3:K3"/>
    <mergeCell ref="O3:R3"/>
  </mergeCells>
  <conditionalFormatting sqref="B7:D17 B19:D27 B29:D37 B39:D47 B49:D57">
    <cfRule type="expression" dxfId="376" priority="2046">
      <formula>AND(B7=B6,MOD(ROW(),2)=0)</formula>
    </cfRule>
  </conditionalFormatting>
  <conditionalFormatting sqref="B13:D13 B43:D43 B63:D63 B83:D83 B113:D113 B133:D133 B143:D143 B163:D163 B183:D183 B213:D213 B233:D233">
    <cfRule type="expression" dxfId="375" priority="4532">
      <formula>AND(B13=B11,MOD(ROW(),2)=0)</formula>
    </cfRule>
    <cfRule type="expression" dxfId="374" priority="4531">
      <formula>AND(B13=B11,MOD(ROW(),2)=1)</formula>
    </cfRule>
  </conditionalFormatting>
  <conditionalFormatting sqref="B23:D23">
    <cfRule type="expression" dxfId="373" priority="198">
      <formula>AND(B23=B21,MOD(ROW(),2)=1)</formula>
    </cfRule>
    <cfRule type="expression" dxfId="372" priority="199">
      <formula>AND(B23=B21,MOD(ROW(),2)=0)</formula>
    </cfRule>
  </conditionalFormatting>
  <conditionalFormatting sqref="B29:D37 B19:D27 B49:D57 B7:D17 B39:D47">
    <cfRule type="expression" dxfId="371" priority="2045">
      <formula>AND(B7=B6,MOD(ROW(),2)=1)</formula>
    </cfRule>
  </conditionalFormatting>
  <conditionalFormatting sqref="B33:D33">
    <cfRule type="expression" dxfId="370" priority="1131">
      <formula>AND(B33=B31,MOD(ROW(),2)=0)</formula>
    </cfRule>
    <cfRule type="expression" dxfId="369" priority="1130">
      <formula>AND(B33=B31,MOD(ROW(),2)=1)</formula>
    </cfRule>
  </conditionalFormatting>
  <conditionalFormatting sqref="B34:D38">
    <cfRule type="expression" dxfId="368" priority="32">
      <formula>MOD(ROW(),2)=0</formula>
    </cfRule>
  </conditionalFormatting>
  <conditionalFormatting sqref="B44:D47 E46:AE46">
    <cfRule type="expression" dxfId="367" priority="1896">
      <formula>MOD(ROW(),2)=0</formula>
    </cfRule>
  </conditionalFormatting>
  <conditionalFormatting sqref="B53:D53">
    <cfRule type="expression" dxfId="366" priority="189">
      <formula>AND(B53=B51,MOD(ROW(),2)=1)</formula>
    </cfRule>
    <cfRule type="expression" dxfId="365" priority="190">
      <formula>AND(B53=B51,MOD(ROW(),2)=0)</formula>
    </cfRule>
  </conditionalFormatting>
  <conditionalFormatting sqref="B59:D67 B69:D77 B239:D247 B249:D256">
    <cfRule type="expression" dxfId="364" priority="1191">
      <formula>AND(B59=B58,MOD(ROW(),2)=0)</formula>
    </cfRule>
  </conditionalFormatting>
  <conditionalFormatting sqref="B64:D68">
    <cfRule type="expression" dxfId="363" priority="4">
      <formula>MOD(ROW(),2)=0</formula>
    </cfRule>
  </conditionalFormatting>
  <conditionalFormatting sqref="B69:D77 B249:D256 B59:D67 B239:D247">
    <cfRule type="expression" dxfId="362" priority="1190">
      <formula>AND(B59=B58,MOD(ROW(),2)=1)</formula>
    </cfRule>
  </conditionalFormatting>
  <conditionalFormatting sqref="B73:D73">
    <cfRule type="expression" dxfId="361" priority="176">
      <formula>AND(B73=B71,MOD(ROW(),2)=0)</formula>
    </cfRule>
    <cfRule type="expression" dxfId="360" priority="175">
      <formula>AND(B73=B71,MOD(ROW(),2)=1)</formula>
    </cfRule>
  </conditionalFormatting>
  <conditionalFormatting sqref="B79:D87">
    <cfRule type="expression" dxfId="359" priority="1184">
      <formula>AND(B79=B78,MOD(ROW(),2)=1)</formula>
    </cfRule>
    <cfRule type="expression" dxfId="358" priority="1185">
      <formula>AND(B79=B78,MOD(ROW(),2)=0)</formula>
    </cfRule>
  </conditionalFormatting>
  <conditionalFormatting sqref="B89:D97 B99:D107">
    <cfRule type="expression" dxfId="357" priority="1117">
      <formula>AND(B89=B88,MOD(ROW(),2)=0)</formula>
    </cfRule>
    <cfRule type="expression" dxfId="356" priority="1116">
      <formula>AND(B89=B88,MOD(ROW(),2)=1)</formula>
    </cfRule>
  </conditionalFormatting>
  <conditionalFormatting sqref="B98:D98">
    <cfRule type="expression" dxfId="355" priority="5">
      <formula>MOD(ROW(),2)=0</formula>
    </cfRule>
  </conditionalFormatting>
  <conditionalFormatting sqref="B108:D108">
    <cfRule type="expression" dxfId="354" priority="24">
      <formula>MOD(ROW(),2)=0</formula>
    </cfRule>
  </conditionalFormatting>
  <conditionalFormatting sqref="B109:D117 B119:D127">
    <cfRule type="expression" dxfId="353" priority="1111">
      <formula>AND(B109=B108,MOD(ROW(),2)=0)</formula>
    </cfRule>
  </conditionalFormatting>
  <conditionalFormatting sqref="B114:D118">
    <cfRule type="expression" dxfId="352" priority="6">
      <formula>MOD(ROW(),2)=0</formula>
    </cfRule>
  </conditionalFormatting>
  <conditionalFormatting sqref="B119:D127 B109:D117">
    <cfRule type="expression" dxfId="351" priority="1110">
      <formula>AND(B109=B108,MOD(ROW(),2)=1)</formula>
    </cfRule>
  </conditionalFormatting>
  <conditionalFormatting sqref="B123:D123">
    <cfRule type="expression" dxfId="350" priority="153">
      <formula>AND(B123=B121,MOD(ROW(),2)=0)</formula>
    </cfRule>
    <cfRule type="expression" dxfId="349" priority="152">
      <formula>AND(B123=B121,MOD(ROW(),2)=1)</formula>
    </cfRule>
  </conditionalFormatting>
  <conditionalFormatting sqref="B129:D137">
    <cfRule type="expression" dxfId="348" priority="1104">
      <formula>AND(B129=B128,MOD(ROW(),2)=1)</formula>
    </cfRule>
    <cfRule type="expression" dxfId="347" priority="1105">
      <formula>AND(B129=B128,MOD(ROW(),2)=0)</formula>
    </cfRule>
  </conditionalFormatting>
  <conditionalFormatting sqref="B139:D147 B149:D157">
    <cfRule type="expression" dxfId="346" priority="1099">
      <formula>AND(B139=B138,MOD(ROW(),2)=0)</formula>
    </cfRule>
  </conditionalFormatting>
  <conditionalFormatting sqref="B144:D148">
    <cfRule type="expression" dxfId="345" priority="7">
      <formula>MOD(ROW(),2)=0</formula>
    </cfRule>
  </conditionalFormatting>
  <conditionalFormatting sqref="B149:D157 B139:D147">
    <cfRule type="expression" dxfId="344" priority="1098">
      <formula>AND(B139=B138,MOD(ROW(),2)=1)</formula>
    </cfRule>
  </conditionalFormatting>
  <conditionalFormatting sqref="B153:D153">
    <cfRule type="expression" dxfId="343" priority="136">
      <formula>AND(B153=B151,MOD(ROW(),2)=1)</formula>
    </cfRule>
    <cfRule type="expression" dxfId="342" priority="137">
      <formula>AND(B153=B151,MOD(ROW(),2)=0)</formula>
    </cfRule>
  </conditionalFormatting>
  <conditionalFormatting sqref="B159:D167 B169:D177">
    <cfRule type="expression" dxfId="341" priority="1093">
      <formula>AND(B159=B158,MOD(ROW(),2)=0)</formula>
    </cfRule>
  </conditionalFormatting>
  <conditionalFormatting sqref="B164:D168">
    <cfRule type="expression" dxfId="340" priority="8">
      <formula>MOD(ROW(),2)=0</formula>
    </cfRule>
  </conditionalFormatting>
  <conditionalFormatting sqref="B169:D177 B159:D167">
    <cfRule type="expression" dxfId="339" priority="1092">
      <formula>AND(B159=B158,MOD(ROW(),2)=1)</formula>
    </cfRule>
  </conditionalFormatting>
  <conditionalFormatting sqref="B173:D173">
    <cfRule type="expression" dxfId="338" priority="120">
      <formula>AND(B173=B171,MOD(ROW(),2)=1)</formula>
    </cfRule>
    <cfRule type="expression" dxfId="337" priority="121">
      <formula>AND(B173=B171,MOD(ROW(),2)=0)</formula>
    </cfRule>
  </conditionalFormatting>
  <conditionalFormatting sqref="B179:D187">
    <cfRule type="expression" dxfId="336" priority="1086">
      <formula>AND(B179=B178,MOD(ROW(),2)=1)</formula>
    </cfRule>
    <cfRule type="expression" dxfId="335" priority="1087">
      <formula>AND(B179=B178,MOD(ROW(),2)=0)</formula>
    </cfRule>
  </conditionalFormatting>
  <conditionalFormatting sqref="B180:D188">
    <cfRule type="expression" dxfId="334" priority="17">
      <formula>MOD(ROW(),2)=0</formula>
    </cfRule>
  </conditionalFormatting>
  <conditionalFormatting sqref="B189:D197">
    <cfRule type="expression" dxfId="333" priority="1081">
      <formula>AND(B189=B188,MOD(ROW(),2)=0)</formula>
    </cfRule>
    <cfRule type="expression" dxfId="332" priority="1080">
      <formula>AND(B189=B188,MOD(ROW(),2)=1)</formula>
    </cfRule>
  </conditionalFormatting>
  <conditionalFormatting sqref="B192:D198">
    <cfRule type="expression" dxfId="331" priority="9">
      <formula>MOD(ROW(),2)=0</formula>
    </cfRule>
  </conditionalFormatting>
  <conditionalFormatting sqref="B199:D207">
    <cfRule type="expression" dxfId="330" priority="101">
      <formula>AND(B199=B198,MOD(ROW(),2)=0)</formula>
    </cfRule>
    <cfRule type="expression" dxfId="329" priority="100">
      <formula>AND(B199=B198,MOD(ROW(),2)=1)</formula>
    </cfRule>
  </conditionalFormatting>
  <conditionalFormatting sqref="B202:D207">
    <cfRule type="expression" dxfId="328" priority="60">
      <formula>MOD(ROW(),2)=0</formula>
    </cfRule>
  </conditionalFormatting>
  <conditionalFormatting sqref="B209:D217 B219:D227">
    <cfRule type="expression" dxfId="327" priority="1075">
      <formula>AND(B209=B208,MOD(ROW(),2)=0)</formula>
    </cfRule>
  </conditionalFormatting>
  <conditionalFormatting sqref="B214:D218">
    <cfRule type="expression" dxfId="326" priority="10">
      <formula>MOD(ROW(),2)=0</formula>
    </cfRule>
  </conditionalFormatting>
  <conditionalFormatting sqref="B219:D227 B209:D217">
    <cfRule type="expression" dxfId="325" priority="1074">
      <formula>AND(B209=B208,MOD(ROW(),2)=1)</formula>
    </cfRule>
  </conditionalFormatting>
  <conditionalFormatting sqref="B223:D223">
    <cfRule type="expression" dxfId="324" priority="91">
      <formula>AND(B223=B221,MOD(ROW(),2)=0)</formula>
    </cfRule>
    <cfRule type="expression" dxfId="323" priority="90">
      <formula>AND(B223=B221,MOD(ROW(),2)=1)</formula>
    </cfRule>
  </conditionalFormatting>
  <conditionalFormatting sqref="B229:D237">
    <cfRule type="expression" dxfId="322" priority="1069">
      <formula>AND(B229=B228,MOD(ROW(),2)=0)</formula>
    </cfRule>
    <cfRule type="expression" dxfId="321" priority="1068">
      <formula>AND(B229=B228,MOD(ROW(),2)=1)</formula>
    </cfRule>
  </conditionalFormatting>
  <conditionalFormatting sqref="B234:D238">
    <cfRule type="expression" dxfId="320" priority="11">
      <formula>MOD(ROW(),2)=0</formula>
    </cfRule>
  </conditionalFormatting>
  <conditionalFormatting sqref="B242:D247">
    <cfRule type="expression" dxfId="319" priority="62">
      <formula>MOD(ROW(),2)=0</formula>
    </cfRule>
  </conditionalFormatting>
  <conditionalFormatting sqref="B253:D253">
    <cfRule type="expression" dxfId="318" priority="78">
      <formula>AND(B253=B251,MOD(ROW(),2)=1)</formula>
    </cfRule>
    <cfRule type="expression" dxfId="317" priority="79">
      <formula>AND(B253=B251,MOD(ROW(),2)=0)</formula>
    </cfRule>
  </conditionalFormatting>
  <conditionalFormatting sqref="B253:D257">
    <cfRule type="expression" dxfId="316" priority="69">
      <formula>MOD(ROW(),2)=0</formula>
    </cfRule>
  </conditionalFormatting>
  <conditionalFormatting sqref="B257:D257">
    <cfRule type="expression" dxfId="315" priority="5328">
      <formula>AND(B257=B246,MOD(ROW(),2)=0)</formula>
    </cfRule>
    <cfRule type="expression" dxfId="314" priority="5327">
      <formula>AND(B257=B246,MOD(ROW(),2)=1)</formula>
    </cfRule>
  </conditionalFormatting>
  <conditionalFormatting sqref="B121:E122 B123:D127">
    <cfRule type="expression" dxfId="313" priority="147">
      <formula>MOD(ROW(),2)=0</formula>
    </cfRule>
  </conditionalFormatting>
  <conditionalFormatting sqref="B151:E152 B153:D157">
    <cfRule type="expression" dxfId="312" priority="128">
      <formula>MOD(ROW(),2)=0</formula>
    </cfRule>
  </conditionalFormatting>
  <conditionalFormatting sqref="B171:E172 J172:N172 B173:D177">
    <cfRule type="expression" dxfId="311" priority="116">
      <formula>MOD(ROW(),2)=0</formula>
    </cfRule>
  </conditionalFormatting>
  <conditionalFormatting sqref="B191:E191 G191:O191">
    <cfRule type="expression" dxfId="310" priority="218">
      <formula>MOD(ROW(),2)=0</formula>
    </cfRule>
  </conditionalFormatting>
  <conditionalFormatting sqref="B201:E201 G201:O201">
    <cfRule type="expression" dxfId="309" priority="93">
      <formula>MOD(ROW(),2)=0</formula>
    </cfRule>
  </conditionalFormatting>
  <conditionalFormatting sqref="B29:G34">
    <cfRule type="expression" dxfId="308" priority="213">
      <formula>MOD(ROW(),2)=0</formula>
    </cfRule>
  </conditionalFormatting>
  <conditionalFormatting sqref="B59:G64">
    <cfRule type="expression" dxfId="307" priority="211">
      <formula>MOD(ROW(),2)=0</formula>
    </cfRule>
  </conditionalFormatting>
  <conditionalFormatting sqref="B79:G79 F80:G84 E80:E86 B80:D87">
    <cfRule type="expression" dxfId="306" priority="210">
      <formula>MOD(ROW(),2)=0</formula>
    </cfRule>
  </conditionalFormatting>
  <conditionalFormatting sqref="B89:G94">
    <cfRule type="expression" dxfId="305" priority="209">
      <formula>MOD(ROW(),2)=0</formula>
    </cfRule>
  </conditionalFormatting>
  <conditionalFormatting sqref="B99:G104">
    <cfRule type="expression" dxfId="304" priority="140">
      <formula>MOD(ROW(),2)=0</formula>
    </cfRule>
  </conditionalFormatting>
  <conditionalFormatting sqref="B109:G114">
    <cfRule type="expression" dxfId="303" priority="208">
      <formula>MOD(ROW(),2)=0</formula>
    </cfRule>
  </conditionalFormatting>
  <conditionalFormatting sqref="B139:G144">
    <cfRule type="expression" dxfId="302" priority="49">
      <formula>MOD(ROW(),2)=0</formula>
    </cfRule>
  </conditionalFormatting>
  <conditionalFormatting sqref="B159:G164">
    <cfRule type="expression" dxfId="301" priority="205">
      <formula>MOD(ROW(),2)=0</formula>
    </cfRule>
  </conditionalFormatting>
  <conditionalFormatting sqref="B179:G179 F180:G184 E180:E186">
    <cfRule type="expression" dxfId="300" priority="204">
      <formula>MOD(ROW(),2)=0</formula>
    </cfRule>
  </conditionalFormatting>
  <conditionalFormatting sqref="B209:G214">
    <cfRule type="expression" dxfId="299" priority="202">
      <formula>MOD(ROW(),2)=0</formula>
    </cfRule>
  </conditionalFormatting>
  <conditionalFormatting sqref="B222:G222 B223:D227">
    <cfRule type="expression" dxfId="298" priority="86">
      <formula>MOD(ROW(),2)=0</formula>
    </cfRule>
  </conditionalFormatting>
  <conditionalFormatting sqref="B229:G234">
    <cfRule type="expression" dxfId="297" priority="201">
      <formula>MOD(ROW(),2)=0</formula>
    </cfRule>
  </conditionalFormatting>
  <conditionalFormatting sqref="B7:AE8 B9:G9 B10:D17 E16:AE18 B19:G19 B20:D27 B31:AE31 B87:AE89 H90:AE90 G91:O91 B95:AE97 B99:AE99 H100:AE100 G101:O101 H110:AE110 G111:AE111 B120:F120 H120:AE120 G121:AE121 F121:F124 B128:C128 H130:AE130 G131:AE131 B137:AE139 B145:AE147 B150:F150 B157:AE159 H160:AE160 G161:AE161 B170:F170 H170:AE170 G171:AE171 F171:F174 Q193:AE193 Q203:AE203">
    <cfRule type="expression" dxfId="296" priority="2042">
      <formula>MOD(ROW(),2)=0</formula>
    </cfRule>
  </conditionalFormatting>
  <conditionalFormatting sqref="B35:AE35 B37:AE37 H39:AE40 B39:F43 B41:AE41">
    <cfRule type="expression" dxfId="295" priority="1053">
      <formula>MOD(ROW(),2)=0</formula>
    </cfRule>
  </conditionalFormatting>
  <conditionalFormatting sqref="B44:AE48 H49:AE50 B49:F52 F51:AE51 F53 B53:D57">
    <cfRule type="expression" dxfId="294" priority="184">
      <formula>MOD(ROW(),2)=0</formula>
    </cfRule>
  </conditionalFormatting>
  <conditionalFormatting sqref="B57:AE58">
    <cfRule type="expression" dxfId="293" priority="29">
      <formula>MOD(ROW(),2)=0</formula>
    </cfRule>
  </conditionalFormatting>
  <conditionalFormatting sqref="B65:AE67 E66:AE68 B69:F70 G71:AE71 B71:E72 F71:F74">
    <cfRule type="expression" dxfId="292" priority="173">
      <formula>MOD(ROW(),2)=0</formula>
    </cfRule>
  </conditionalFormatting>
  <conditionalFormatting sqref="B105:AE107 E107:AE108 B109:AE109">
    <cfRule type="expression" dxfId="291" priority="42">
      <formula>MOD(ROW(),2)=0</formula>
    </cfRule>
  </conditionalFormatting>
  <conditionalFormatting sqref="B115:AE115">
    <cfRule type="expression" dxfId="290" priority="1623">
      <formula>MOD(ROW(),2)=0</formula>
    </cfRule>
  </conditionalFormatting>
  <conditionalFormatting sqref="B117:AE117 B127:AE127">
    <cfRule type="expression" dxfId="289" priority="1033">
      <formula>MOD(ROW(),2)=0</formula>
    </cfRule>
  </conditionalFormatting>
  <conditionalFormatting sqref="B125:AE125">
    <cfRule type="expression" dxfId="288" priority="150">
      <formula>MOD(ROW(),2)=0</formula>
    </cfRule>
  </conditionalFormatting>
  <conditionalFormatting sqref="B129:AE129 F130:G134 E130:E136 B130:D137">
    <cfRule type="expression" dxfId="287" priority="207">
      <formula>MOD(ROW(),2)=0</formula>
    </cfRule>
  </conditionalFormatting>
  <conditionalFormatting sqref="B149:AE149">
    <cfRule type="expression" dxfId="286" priority="133">
      <formula>MOD(ROW(),2)=0</formula>
    </cfRule>
  </conditionalFormatting>
  <conditionalFormatting sqref="B155:AE155">
    <cfRule type="expression" dxfId="285" priority="126">
      <formula>MOD(ROW(),2)=0</formula>
    </cfRule>
  </conditionalFormatting>
  <conditionalFormatting sqref="B195:AE197 E196:AE198 B199:AE200">
    <cfRule type="expression" dxfId="284" priority="92">
      <formula>MOD(ROW(),2)=0</formula>
    </cfRule>
  </conditionalFormatting>
  <conditionalFormatting sqref="B205:AE205 H209:AE210 G211:AE211">
    <cfRule type="expression" dxfId="283" priority="1042">
      <formula>MOD(ROW(),2)=0</formula>
    </cfRule>
  </conditionalFormatting>
  <conditionalFormatting sqref="B207:AE208">
    <cfRule type="expression" dxfId="282" priority="14">
      <formula>MOD(ROW(),2)=0</formula>
    </cfRule>
  </conditionalFormatting>
  <conditionalFormatting sqref="B215:AE217 E216:AE218 B219:F220 H219:AE220 F220:F224 B221:AE221">
    <cfRule type="expression" dxfId="281" priority="84">
      <formula>MOD(ROW(),2)=0</formula>
    </cfRule>
  </conditionalFormatting>
  <conditionalFormatting sqref="B225:AE225 B228:C228 E228:AE228 H229:AE230 G231:AE231">
    <cfRule type="expression" dxfId="280" priority="1040">
      <formula>MOD(ROW(),2)=0</formula>
    </cfRule>
  </conditionalFormatting>
  <conditionalFormatting sqref="B235:AE237 E236:AE238 B239:AE240 B241:E241 G241:AE241 F241:G244">
    <cfRule type="expression" dxfId="279" priority="200">
      <formula>MOD(ROW(),2)=0</formula>
    </cfRule>
  </conditionalFormatting>
  <conditionalFormatting sqref="B255:AE255 B257:AE257">
    <cfRule type="expression" dxfId="278" priority="1017">
      <formula>MOD(ROW(),2)=0</formula>
    </cfRule>
  </conditionalFormatting>
  <conditionalFormatting sqref="C40:C44 B73:D77 B75:AE75 B77:AE78 G81:AE81 B165:AE167 E166:AE168 B169:AE169 B175:AE175 B178:C178 E178:AE178 G181:AE181">
    <cfRule type="expression" dxfId="277" priority="1558">
      <formula>MOD(ROW(),2)=0</formula>
    </cfRule>
  </conditionalFormatting>
  <conditionalFormatting sqref="C50:C54">
    <cfRule type="expression" dxfId="276" priority="185">
      <formula>MOD(ROW(),2)=0</formula>
    </cfRule>
  </conditionalFormatting>
  <conditionalFormatting sqref="D18">
    <cfRule type="expression" dxfId="275" priority="3">
      <formula>MOD(ROW(),2)=0</formula>
    </cfRule>
  </conditionalFormatting>
  <conditionalFormatting sqref="D38">
    <cfRule type="expression" dxfId="274" priority="34">
      <formula>AND(D38=D37,MOD(ROW(),2)=0)</formula>
    </cfRule>
    <cfRule type="expression" dxfId="273" priority="33">
      <formula>AND(D38=D37,MOD(ROW(),2)=1)</formula>
    </cfRule>
  </conditionalFormatting>
  <conditionalFormatting sqref="D42:D45">
    <cfRule type="expression" dxfId="272" priority="1034">
      <formula>MOD(ROW(),2)=0</formula>
    </cfRule>
  </conditionalFormatting>
  <conditionalFormatting sqref="D52:D55">
    <cfRule type="expression" dxfId="271" priority="183">
      <formula>MOD(ROW(),2)=0</formula>
    </cfRule>
  </conditionalFormatting>
  <conditionalFormatting sqref="D58">
    <cfRule type="expression" dxfId="270" priority="31">
      <formula>AND(D58=D57,MOD(ROW(),2)=0)</formula>
    </cfRule>
    <cfRule type="expression" dxfId="269" priority="30">
      <formula>AND(D58=D57,MOD(ROW(),2)=1)</formula>
    </cfRule>
  </conditionalFormatting>
  <conditionalFormatting sqref="D88">
    <cfRule type="expression" dxfId="268" priority="28">
      <formula>AND(D88=D87,MOD(ROW(),2)=0)</formula>
    </cfRule>
    <cfRule type="expression" dxfId="267" priority="27">
      <formula>AND(D88=D87,MOD(ROW(),2)=1)</formula>
    </cfRule>
  </conditionalFormatting>
  <conditionalFormatting sqref="D108">
    <cfRule type="expression" dxfId="266" priority="25">
      <formula>AND(D108=D107,MOD(ROW(),2)=1)</formula>
    </cfRule>
    <cfRule type="expression" dxfId="265" priority="26">
      <formula>AND(D108=D107,MOD(ROW(),2)=0)</formula>
    </cfRule>
  </conditionalFormatting>
  <conditionalFormatting sqref="D138">
    <cfRule type="expression" dxfId="264" priority="22">
      <formula>AND(D138=D137,MOD(ROW(),2)=1)</formula>
    </cfRule>
    <cfRule type="expression" dxfId="263" priority="23">
      <formula>AND(D138=D137,MOD(ROW(),2)=0)</formula>
    </cfRule>
  </conditionalFormatting>
  <conditionalFormatting sqref="D158">
    <cfRule type="expression" dxfId="262" priority="21">
      <formula>AND(D158=D157,MOD(ROW(),2)=0)</formula>
    </cfRule>
    <cfRule type="expression" dxfId="261" priority="20">
      <formula>AND(D158=D157,MOD(ROW(),2)=1)</formula>
    </cfRule>
  </conditionalFormatting>
  <conditionalFormatting sqref="D188">
    <cfRule type="expression" dxfId="260" priority="18">
      <formula>AND(D188=D187,MOD(ROW(),2)=1)</formula>
    </cfRule>
    <cfRule type="expression" dxfId="259" priority="19">
      <formula>AND(D188=D187,MOD(ROW(),2)=0)</formula>
    </cfRule>
  </conditionalFormatting>
  <conditionalFormatting sqref="D208">
    <cfRule type="expression" dxfId="258" priority="15">
      <formula>AND(D208=D207,MOD(ROW(),2)=1)</formula>
    </cfRule>
    <cfRule type="expression" dxfId="257" priority="16">
      <formula>AND(D208=D207,MOD(ROW(),2)=0)</formula>
    </cfRule>
  </conditionalFormatting>
  <conditionalFormatting sqref="D238">
    <cfRule type="expression" dxfId="256" priority="13">
      <formula>AND(D238=D237,MOD(ROW(),2)=0)</formula>
    </cfRule>
    <cfRule type="expression" dxfId="255" priority="12">
      <formula>AND(D238=D237,MOD(ROW(),2)=1)</formula>
    </cfRule>
  </conditionalFormatting>
  <conditionalFormatting sqref="E53:E54">
    <cfRule type="expression" dxfId="254" priority="177">
      <formula>MOD(ROW(),2)=0</formula>
    </cfRule>
  </conditionalFormatting>
  <conditionalFormatting sqref="E64 G64:AE64 G244:AE244">
    <cfRule type="expression" dxfId="253" priority="1448">
      <formula>MOD(ROW(),2)=0</formula>
    </cfRule>
  </conditionalFormatting>
  <conditionalFormatting sqref="E73:E74">
    <cfRule type="expression" dxfId="252" priority="168">
      <formula>MOD(ROW(),2)=0</formula>
    </cfRule>
  </conditionalFormatting>
  <conditionalFormatting sqref="E114 G114:AE114">
    <cfRule type="expression" dxfId="251" priority="1445">
      <formula>MOD(ROW(),2)=0</formula>
    </cfRule>
  </conditionalFormatting>
  <conditionalFormatting sqref="E123:E124">
    <cfRule type="expression" dxfId="250" priority="138">
      <formula>MOD(ROW(),2)=0</formula>
    </cfRule>
  </conditionalFormatting>
  <conditionalFormatting sqref="E144 G144:AE144">
    <cfRule type="expression" dxfId="249" priority="1443">
      <formula>MOD(ROW(),2)=0</formula>
    </cfRule>
  </conditionalFormatting>
  <conditionalFormatting sqref="E153:E154">
    <cfRule type="expression" dxfId="248" priority="58">
      <formula>MOD(ROW(),2)=0</formula>
    </cfRule>
  </conditionalFormatting>
  <conditionalFormatting sqref="E164 G164:AE164">
    <cfRule type="expression" dxfId="247" priority="1442">
      <formula>MOD(ROW(),2)=0</formula>
    </cfRule>
  </conditionalFormatting>
  <conditionalFormatting sqref="E173:E174">
    <cfRule type="expression" dxfId="246" priority="56">
      <formula>MOD(ROW(),2)=0</formula>
    </cfRule>
  </conditionalFormatting>
  <conditionalFormatting sqref="E192:E194 G192:G194">
    <cfRule type="expression" dxfId="245" priority="1082">
      <formula>MOD(ROW(),2)=0</formula>
    </cfRule>
  </conditionalFormatting>
  <conditionalFormatting sqref="E202:E204">
    <cfRule type="expression" dxfId="244" priority="54">
      <formula>MOD(ROW(),2)=0</formula>
    </cfRule>
  </conditionalFormatting>
  <conditionalFormatting sqref="E214 G214:AE214">
    <cfRule type="expression" dxfId="243" priority="1439">
      <formula>MOD(ROW(),2)=0</formula>
    </cfRule>
  </conditionalFormatting>
  <conditionalFormatting sqref="E234 G234:AE234">
    <cfRule type="expression" dxfId="242" priority="1438">
      <formula>MOD(ROW(),2)=0</formula>
    </cfRule>
  </conditionalFormatting>
  <conditionalFormatting sqref="E242:E244">
    <cfRule type="expression" dxfId="241" priority="1064">
      <formula>MOD(ROW(),2)=0</formula>
    </cfRule>
  </conditionalFormatting>
  <conditionalFormatting sqref="E253:E254">
    <cfRule type="expression" dxfId="240" priority="50">
      <formula>MOD(ROW(),2)=0</formula>
    </cfRule>
  </conditionalFormatting>
  <conditionalFormatting sqref="E10:G14">
    <cfRule type="expression" dxfId="239" priority="214">
      <formula>MOD(ROW(),2)=0</formula>
    </cfRule>
  </conditionalFormatting>
  <conditionalFormatting sqref="E20:G24">
    <cfRule type="expression" dxfId="238" priority="191">
      <formula>MOD(ROW(),2)=0</formula>
    </cfRule>
  </conditionalFormatting>
  <conditionalFormatting sqref="E223:G224">
    <cfRule type="expression" dxfId="237" priority="52">
      <formula>MOD(ROW(),2)=0</formula>
    </cfRule>
  </conditionalFormatting>
  <conditionalFormatting sqref="E95:N95">
    <cfRule type="expression" dxfId="236" priority="1631">
      <formula>MOD(ROW(),2)=0</formula>
    </cfRule>
  </conditionalFormatting>
  <conditionalFormatting sqref="E145:N145">
    <cfRule type="expression" dxfId="235" priority="1045">
      <formula>MOD(ROW(),2)=0</formula>
    </cfRule>
  </conditionalFormatting>
  <conditionalFormatting sqref="E15:Q15">
    <cfRule type="expression" dxfId="234" priority="1054">
      <formula>MOD(ROW(),2)=0</formula>
    </cfRule>
  </conditionalFormatting>
  <conditionalFormatting sqref="E25:Q25">
    <cfRule type="expression" dxfId="233" priority="195">
      <formula>MOD(ROW(),2)=0</formula>
    </cfRule>
  </conditionalFormatting>
  <conditionalFormatting sqref="E26:AE27 B28:AE28">
    <cfRule type="expression" dxfId="232" priority="45">
      <formula>MOD(ROW(),2)=0</formula>
    </cfRule>
  </conditionalFormatting>
  <conditionalFormatting sqref="E34:AE34">
    <cfRule type="expression" dxfId="231" priority="1450">
      <formula>MOD(ROW(),2)=0</formula>
    </cfRule>
  </conditionalFormatting>
  <conditionalFormatting sqref="E36:AE38">
    <cfRule type="expression" dxfId="230" priority="1">
      <formula>MOD(ROW(),2)=0</formula>
    </cfRule>
  </conditionalFormatting>
  <conditionalFormatting sqref="E48:AE48">
    <cfRule type="expression" dxfId="229" priority="188">
      <formula>MOD(ROW(),2)=0</formula>
    </cfRule>
  </conditionalFormatting>
  <conditionalFormatting sqref="E56:AE56">
    <cfRule type="expression" dxfId="228" priority="44">
      <formula>MOD(ROW(),2)=0</formula>
    </cfRule>
  </conditionalFormatting>
  <conditionalFormatting sqref="E76:AE76">
    <cfRule type="expression" dxfId="227" priority="43">
      <formula>MOD(ROW(),2)=0</formula>
    </cfRule>
  </conditionalFormatting>
  <conditionalFormatting sqref="E96:AE98">
    <cfRule type="expression" dxfId="226" priority="167">
      <formula>MOD(ROW(),2)=0</formula>
    </cfRule>
  </conditionalFormatting>
  <conditionalFormatting sqref="E116:AE118">
    <cfRule type="expression" dxfId="225" priority="41">
      <formula>MOD(ROW(),2)=0</formula>
    </cfRule>
  </conditionalFormatting>
  <conditionalFormatting sqref="E126:AE128">
    <cfRule type="expression" dxfId="224" priority="40">
      <formula>MOD(ROW(),2)=0</formula>
    </cfRule>
  </conditionalFormatting>
  <conditionalFormatting sqref="E146:AE148">
    <cfRule type="expression" dxfId="223" priority="135">
      <formula>MOD(ROW(),2)=0</formula>
    </cfRule>
  </conditionalFormatting>
  <conditionalFormatting sqref="E156:AE158">
    <cfRule type="expression" dxfId="222" priority="39">
      <formula>MOD(ROW(),2)=0</formula>
    </cfRule>
  </conditionalFormatting>
  <conditionalFormatting sqref="E176:AE176">
    <cfRule type="expression" dxfId="221" priority="38">
      <formula>MOD(ROW(),2)=0</formula>
    </cfRule>
  </conditionalFormatting>
  <conditionalFormatting sqref="E206:AE206">
    <cfRule type="expression" dxfId="220" priority="37">
      <formula>MOD(ROW(),2)=0</formula>
    </cfRule>
  </conditionalFormatting>
  <conditionalFormatting sqref="E226:AE226">
    <cfRule type="expression" dxfId="219" priority="36">
      <formula>MOD(ROW(),2)=0</formula>
    </cfRule>
  </conditionalFormatting>
  <conditionalFormatting sqref="E245:AE248 B248:AE250 G251:AE251 B251:E252 F251:G254">
    <cfRule type="expression" dxfId="218" priority="63">
      <formula>MOD(ROW(),2)=0</formula>
    </cfRule>
  </conditionalFormatting>
  <conditionalFormatting sqref="E256:AE256">
    <cfRule type="expression" dxfId="217" priority="35">
      <formula>MOD(ROW(),2)=0</formula>
    </cfRule>
  </conditionalFormatting>
  <conditionalFormatting sqref="F151:F154">
    <cfRule type="expression" dxfId="216" priority="48">
      <formula>MOD(ROW(),2)=0</formula>
    </cfRule>
  </conditionalFormatting>
  <conditionalFormatting sqref="F191:F194">
    <cfRule type="expression" dxfId="215" priority="47">
      <formula>MOD(ROW(),2)=0</formula>
    </cfRule>
  </conditionalFormatting>
  <conditionalFormatting sqref="F201:F204">
    <cfRule type="expression" dxfId="214" priority="46">
      <formula>MOD(ROW(),2)=0</formula>
    </cfRule>
  </conditionalFormatting>
  <conditionalFormatting sqref="F85:N85">
    <cfRule type="expression" dxfId="213" priority="1639">
      <formula>MOD(ROW(),2)=0</formula>
    </cfRule>
  </conditionalFormatting>
  <conditionalFormatting sqref="F135:N135">
    <cfRule type="expression" dxfId="212" priority="1615">
      <formula>MOD(ROW(),2)=0</formula>
    </cfRule>
  </conditionalFormatting>
  <conditionalFormatting sqref="F54:AE54 B55:AE55 G61:AE61">
    <cfRule type="expression" dxfId="211" priority="1449">
      <formula>MOD(ROW(),2)=0</formula>
    </cfRule>
  </conditionalFormatting>
  <conditionalFormatting sqref="F85:AE86 E87:AE88">
    <cfRule type="expression" dxfId="210" priority="1876">
      <formula>MOD(ROW(),2)=0</formula>
    </cfRule>
  </conditionalFormatting>
  <conditionalFormatting sqref="F185:AE186 B187:AE187 E187:AE188 B189:AE190">
    <cfRule type="expression" dxfId="209" priority="203">
      <formula>MOD(ROW(),2)=0</formula>
    </cfRule>
  </conditionalFormatting>
  <conditionalFormatting sqref="F224:AE224">
    <cfRule type="expression" dxfId="208" priority="87">
      <formula>MOD(ROW(),2)=0</formula>
    </cfRule>
  </conditionalFormatting>
  <conditionalFormatting sqref="G39:G44">
    <cfRule type="expression" dxfId="207" priority="212">
      <formula>MOD(ROW(),2)=0</formula>
    </cfRule>
  </conditionalFormatting>
  <conditionalFormatting sqref="G49:G54">
    <cfRule type="expression" dxfId="206" priority="179">
      <formula>MOD(ROW(),2)=0</formula>
    </cfRule>
  </conditionalFormatting>
  <conditionalFormatting sqref="G69:G74">
    <cfRule type="expression" dxfId="205" priority="170">
      <formula>MOD(ROW(),2)=0</formula>
    </cfRule>
  </conditionalFormatting>
  <conditionalFormatting sqref="G120:G124">
    <cfRule type="expression" dxfId="204" priority="142">
      <formula>MOD(ROW(),2)=0</formula>
    </cfRule>
  </conditionalFormatting>
  <conditionalFormatting sqref="G150:G154">
    <cfRule type="expression" dxfId="203" priority="122">
      <formula>MOD(ROW(),2)=0</formula>
    </cfRule>
  </conditionalFormatting>
  <conditionalFormatting sqref="G170:G174">
    <cfRule type="expression" dxfId="202" priority="112">
      <formula>MOD(ROW(),2)=0</formula>
    </cfRule>
  </conditionalFormatting>
  <conditionalFormatting sqref="G202:G204">
    <cfRule type="expression" dxfId="201" priority="102">
      <formula>MOD(ROW(),2)=0</formula>
    </cfRule>
  </conditionalFormatting>
  <conditionalFormatting sqref="G219:G221">
    <cfRule type="expression" dxfId="200" priority="80">
      <formula>MOD(ROW(),2)=0</formula>
    </cfRule>
  </conditionalFormatting>
  <conditionalFormatting sqref="G74:AE74">
    <cfRule type="expression" dxfId="199" priority="172">
      <formula>MOD(ROW(),2)=0</formula>
    </cfRule>
  </conditionalFormatting>
  <conditionalFormatting sqref="G84:AE84">
    <cfRule type="expression" dxfId="198" priority="1447">
      <formula>MOD(ROW(),2)=0</formula>
    </cfRule>
  </conditionalFormatting>
  <conditionalFormatting sqref="G124:AE124">
    <cfRule type="expression" dxfId="197" priority="148">
      <formula>MOD(ROW(),2)=0</formula>
    </cfRule>
  </conditionalFormatting>
  <conditionalFormatting sqref="G134:AE134">
    <cfRule type="expression" dxfId="196" priority="1444">
      <formula>MOD(ROW(),2)=0</formula>
    </cfRule>
  </conditionalFormatting>
  <conditionalFormatting sqref="G154:AE154">
    <cfRule type="expression" dxfId="195" priority="129">
      <formula>MOD(ROW(),2)=0</formula>
    </cfRule>
  </conditionalFormatting>
  <conditionalFormatting sqref="G174:AE174">
    <cfRule type="expression" dxfId="194" priority="117">
      <formula>MOD(ROW(),2)=0</formula>
    </cfRule>
  </conditionalFormatting>
  <conditionalFormatting sqref="G184:AE184">
    <cfRule type="expression" dxfId="193" priority="1441">
      <formula>MOD(ROW(),2)=0</formula>
    </cfRule>
  </conditionalFormatting>
  <conditionalFormatting sqref="G254:AE254">
    <cfRule type="expression" dxfId="192" priority="72">
      <formula>MOD(ROW(),2)=0</formula>
    </cfRule>
  </conditionalFormatting>
  <conditionalFormatting sqref="H41:H43">
    <cfRule type="expression" dxfId="191" priority="235">
      <formula>MOD(ROW(),2)=0</formula>
    </cfRule>
  </conditionalFormatting>
  <conditionalFormatting sqref="H51:H53">
    <cfRule type="expression" dxfId="190" priority="180">
      <formula>MOD(ROW(),2)=0</formula>
    </cfRule>
  </conditionalFormatting>
  <conditionalFormatting sqref="H91:H93">
    <cfRule type="expression" dxfId="189" priority="237">
      <formula>MOD(ROW(),2)=0</formula>
    </cfRule>
  </conditionalFormatting>
  <conditionalFormatting sqref="H101:H103">
    <cfRule type="expression" dxfId="188" priority="155">
      <formula>MOD(ROW(),2)=0</formula>
    </cfRule>
  </conditionalFormatting>
  <conditionalFormatting sqref="H140:H143">
    <cfRule type="expression" dxfId="187" priority="224">
      <formula>MOD(ROW(),2)=0</formula>
    </cfRule>
  </conditionalFormatting>
  <conditionalFormatting sqref="H150:H153">
    <cfRule type="expression" dxfId="186" priority="123">
      <formula>MOD(ROW(),2)=0</formula>
    </cfRule>
  </conditionalFormatting>
  <conditionalFormatting sqref="H190:H193">
    <cfRule type="expression" dxfId="185" priority="233">
      <formula>MOD(ROW(),2)=0</formula>
    </cfRule>
  </conditionalFormatting>
  <conditionalFormatting sqref="H200:H203">
    <cfRule type="expression" dxfId="184" priority="94">
      <formula>MOD(ROW(),2)=0</formula>
    </cfRule>
  </conditionalFormatting>
  <conditionalFormatting sqref="H240:H243">
    <cfRule type="expression" dxfId="183" priority="231">
      <formula>MOD(ROW(),2)=0</formula>
    </cfRule>
  </conditionalFormatting>
  <conditionalFormatting sqref="H250:H253">
    <cfRule type="expression" dxfId="182" priority="64">
      <formula>MOD(ROW(),2)=0</formula>
    </cfRule>
  </conditionalFormatting>
  <conditionalFormatting sqref="H109:I112">
    <cfRule type="expression" dxfId="181" priority="1109">
      <formula>MOD(ROW(),2)=0</formula>
    </cfRule>
  </conditionalFormatting>
  <conditionalFormatting sqref="H119:I122">
    <cfRule type="expression" dxfId="180" priority="146">
      <formula>MOD(ROW(),2)=0</formula>
    </cfRule>
  </conditionalFormatting>
  <conditionalFormatting sqref="H129:I132">
    <cfRule type="expression" dxfId="179" priority="1103">
      <formula>MOD(ROW(),2)=0</formula>
    </cfRule>
  </conditionalFormatting>
  <conditionalFormatting sqref="H159:I162">
    <cfRule type="expression" dxfId="178" priority="1091">
      <formula>MOD(ROW(),2)=0</formula>
    </cfRule>
  </conditionalFormatting>
  <conditionalFormatting sqref="H169:I172">
    <cfRule type="expression" dxfId="177" priority="115">
      <formula>MOD(ROW(),2)=0</formula>
    </cfRule>
  </conditionalFormatting>
  <conditionalFormatting sqref="H209:I212">
    <cfRule type="expression" dxfId="176" priority="1073">
      <formula>MOD(ROW(),2)=0</formula>
    </cfRule>
  </conditionalFormatting>
  <conditionalFormatting sqref="H219:I222">
    <cfRule type="expression" dxfId="175" priority="85">
      <formula>MOD(ROW(),2)=0</formula>
    </cfRule>
  </conditionalFormatting>
  <conditionalFormatting sqref="H229:I232">
    <cfRule type="expression" dxfId="174" priority="1067">
      <formula>MOD(ROW(),2)=0</formula>
    </cfRule>
  </conditionalFormatting>
  <conditionalFormatting sqref="H39:N41">
    <cfRule type="expression" dxfId="173" priority="1757">
      <formula>MOD(ROW(),2)=0</formula>
    </cfRule>
  </conditionalFormatting>
  <conditionalFormatting sqref="H49:N51">
    <cfRule type="expression" dxfId="172" priority="187">
      <formula>MOD(ROW(),2)=0</formula>
    </cfRule>
  </conditionalFormatting>
  <conditionalFormatting sqref="H89:N91">
    <cfRule type="expression" dxfId="171" priority="1751">
      <formula>MOD(ROW(),2)=0</formula>
    </cfRule>
  </conditionalFormatting>
  <conditionalFormatting sqref="H99:N101">
    <cfRule type="expression" dxfId="170" priority="165">
      <formula>MOD(ROW(),2)=0</formula>
    </cfRule>
  </conditionalFormatting>
  <conditionalFormatting sqref="H113:N113">
    <cfRule type="expression" dxfId="169" priority="256">
      <formula>MOD(ROW(),2)=0</formula>
    </cfRule>
  </conditionalFormatting>
  <conditionalFormatting sqref="H123:N123">
    <cfRule type="expression" dxfId="168" priority="144">
      <formula>MOD(ROW(),2)=0</formula>
    </cfRule>
  </conditionalFormatting>
  <conditionalFormatting sqref="H133:N133">
    <cfRule type="expression" dxfId="167" priority="254">
      <formula>MOD(ROW(),2)=0</formula>
    </cfRule>
  </conditionalFormatting>
  <conditionalFormatting sqref="H139:N141">
    <cfRule type="expression" dxfId="166" priority="1745">
      <formula>MOD(ROW(),2)=0</formula>
    </cfRule>
  </conditionalFormatting>
  <conditionalFormatting sqref="H149:N151">
    <cfRule type="expression" dxfId="165" priority="132">
      <formula>MOD(ROW(),2)=0</formula>
    </cfRule>
  </conditionalFormatting>
  <conditionalFormatting sqref="H163:N163">
    <cfRule type="expression" dxfId="164" priority="250">
      <formula>MOD(ROW(),2)=0</formula>
    </cfRule>
  </conditionalFormatting>
  <conditionalFormatting sqref="H173:N173">
    <cfRule type="expression" dxfId="163" priority="114">
      <formula>MOD(ROW(),2)=0</formula>
    </cfRule>
  </conditionalFormatting>
  <conditionalFormatting sqref="H213:N213">
    <cfRule type="expression" dxfId="162" priority="244">
      <formula>MOD(ROW(),2)=0</formula>
    </cfRule>
  </conditionalFormatting>
  <conditionalFormatting sqref="H223:N223">
    <cfRule type="expression" dxfId="161" priority="82">
      <formula>MOD(ROW(),2)=0</formula>
    </cfRule>
  </conditionalFormatting>
  <conditionalFormatting sqref="H233:N233">
    <cfRule type="expression" dxfId="160" priority="242">
      <formula>MOD(ROW(),2)=0</formula>
    </cfRule>
  </conditionalFormatting>
  <conditionalFormatting sqref="H239:N241">
    <cfRule type="expression" dxfId="159" priority="1733">
      <formula>MOD(ROW(),2)=0</formula>
    </cfRule>
  </conditionalFormatting>
  <conditionalFormatting sqref="H249:N251">
    <cfRule type="expression" dxfId="158" priority="74">
      <formula>MOD(ROW(),2)=0</formula>
    </cfRule>
  </conditionalFormatting>
  <conditionalFormatting sqref="H14:Q14">
    <cfRule type="expression" dxfId="157" priority="1719">
      <formula>MOD(ROW(),2)=0</formula>
    </cfRule>
  </conditionalFormatting>
  <conditionalFormatting sqref="H24:Q24">
    <cfRule type="expression" dxfId="156" priority="196">
      <formula>MOD(ROW(),2)=0</formula>
    </cfRule>
  </conditionalFormatting>
  <conditionalFormatting sqref="H9:AE13">
    <cfRule type="expression" dxfId="155" priority="267">
      <formula>MOD(ROW(),2)=0</formula>
    </cfRule>
  </conditionalFormatting>
  <conditionalFormatting sqref="H19:AE23">
    <cfRule type="expression" dxfId="154" priority="194">
      <formula>MOD(ROW(),2)=0</formula>
    </cfRule>
  </conditionalFormatting>
  <conditionalFormatting sqref="H29:AE33">
    <cfRule type="expression" dxfId="153" priority="265">
      <formula>MOD(ROW(),2)=0</formula>
    </cfRule>
  </conditionalFormatting>
  <conditionalFormatting sqref="H59:AE63">
    <cfRule type="expression" dxfId="152" priority="261">
      <formula>MOD(ROW(),2)=0</formula>
    </cfRule>
  </conditionalFormatting>
  <conditionalFormatting sqref="H69:AE73">
    <cfRule type="expression" dxfId="151" priority="171">
      <formula>MOD(ROW(),2)=0</formula>
    </cfRule>
  </conditionalFormatting>
  <conditionalFormatting sqref="H79:AE83">
    <cfRule type="expression" dxfId="150" priority="259">
      <formula>MOD(ROW(),2)=0</formula>
    </cfRule>
  </conditionalFormatting>
  <conditionalFormatting sqref="H94:AE94">
    <cfRule type="expression" dxfId="149" priority="1446">
      <formula>MOD(ROW(),2)=0</formula>
    </cfRule>
  </conditionalFormatting>
  <conditionalFormatting sqref="H104:AE104">
    <cfRule type="expression" dxfId="148" priority="160">
      <formula>MOD(ROW(),2)=0</formula>
    </cfRule>
  </conditionalFormatting>
  <conditionalFormatting sqref="H140:AE140 G141:AE141">
    <cfRule type="expression" dxfId="147" priority="1744">
      <formula>MOD(ROW(),2)=0</formula>
    </cfRule>
  </conditionalFormatting>
  <conditionalFormatting sqref="H150:AE150 G151:AE151">
    <cfRule type="expression" dxfId="146" priority="131">
      <formula>MOD(ROW(),2)=0</formula>
    </cfRule>
  </conditionalFormatting>
  <conditionalFormatting sqref="H179:AE183">
    <cfRule type="expression" dxfId="145" priority="247">
      <formula>MOD(ROW(),2)=0</formula>
    </cfRule>
  </conditionalFormatting>
  <conditionalFormatting sqref="H194:AE194">
    <cfRule type="expression" dxfId="144" priority="1440">
      <formula>MOD(ROW(),2)=0</formula>
    </cfRule>
  </conditionalFormatting>
  <conditionalFormatting sqref="H204:AE204">
    <cfRule type="expression" dxfId="143" priority="103">
      <formula>MOD(ROW(),2)=0</formula>
    </cfRule>
  </conditionalFormatting>
  <conditionalFormatting sqref="I92:I93">
    <cfRule type="expression" dxfId="142" priority="258">
      <formula>MOD(ROW(),2)=0</formula>
    </cfRule>
  </conditionalFormatting>
  <conditionalFormatting sqref="I102:I103">
    <cfRule type="expression" dxfId="141" priority="157">
      <formula>MOD(ROW(),2)=0</formula>
    </cfRule>
  </conditionalFormatting>
  <conditionalFormatting sqref="I192:I193">
    <cfRule type="expression" dxfId="140" priority="246">
      <formula>MOD(ROW(),2)=0</formula>
    </cfRule>
  </conditionalFormatting>
  <conditionalFormatting sqref="I202:I203">
    <cfRule type="expression" dxfId="139" priority="96">
      <formula>MOD(ROW(),2)=0</formula>
    </cfRule>
  </conditionalFormatting>
  <conditionalFormatting sqref="I42:N43">
    <cfRule type="expression" dxfId="138" priority="264">
      <formula>MOD(ROW(),2)=0</formula>
    </cfRule>
  </conditionalFormatting>
  <conditionalFormatting sqref="I52:N53">
    <cfRule type="expression" dxfId="137" priority="182">
      <formula>MOD(ROW(),2)=0</formula>
    </cfRule>
  </conditionalFormatting>
  <conditionalFormatting sqref="I142:N143">
    <cfRule type="expression" dxfId="136" priority="251">
      <formula>MOD(ROW(),2)=0</formula>
    </cfRule>
  </conditionalFormatting>
  <conditionalFormatting sqref="I152:N153">
    <cfRule type="expression" dxfId="135" priority="124">
      <formula>MOD(ROW(),2)=0</formula>
    </cfRule>
  </conditionalFormatting>
  <conditionalFormatting sqref="I242:N243">
    <cfRule type="expression" dxfId="134" priority="239">
      <formula>MOD(ROW(),2)=0</formula>
    </cfRule>
  </conditionalFormatting>
  <conditionalFormatting sqref="I252:N253">
    <cfRule type="expression" dxfId="133" priority="65">
      <formula>MOD(ROW(),2)=0</formula>
    </cfRule>
  </conditionalFormatting>
  <conditionalFormatting sqref="J92:N92">
    <cfRule type="expression" dxfId="132" priority="1050">
      <formula>MOD(ROW(),2)=0</formula>
    </cfRule>
  </conditionalFormatting>
  <conditionalFormatting sqref="J102:N102">
    <cfRule type="expression" dxfId="131" priority="158">
      <formula>MOD(ROW(),2)=0</formula>
    </cfRule>
  </conditionalFormatting>
  <conditionalFormatting sqref="J112:N112">
    <cfRule type="expression" dxfId="130" priority="1049">
      <formula>MOD(ROW(),2)=0</formula>
    </cfRule>
  </conditionalFormatting>
  <conditionalFormatting sqref="J122:N122">
    <cfRule type="expression" dxfId="129" priority="145">
      <formula>MOD(ROW(),2)=0</formula>
    </cfRule>
  </conditionalFormatting>
  <conditionalFormatting sqref="J132:N132">
    <cfRule type="expression" dxfId="128" priority="1048">
      <formula>MOD(ROW(),2)=0</formula>
    </cfRule>
  </conditionalFormatting>
  <conditionalFormatting sqref="J162:N162">
    <cfRule type="expression" dxfId="127" priority="1094">
      <formula>MOD(ROW(),2)=0</formula>
    </cfRule>
  </conditionalFormatting>
  <conditionalFormatting sqref="J192:N192">
    <cfRule type="expression" dxfId="126" priority="1043">
      <formula>MOD(ROW(),2)=0</formula>
    </cfRule>
  </conditionalFormatting>
  <conditionalFormatting sqref="J202:N202">
    <cfRule type="expression" dxfId="125" priority="98">
      <formula>MOD(ROW(),2)=0</formula>
    </cfRule>
  </conditionalFormatting>
  <conditionalFormatting sqref="J212:N212">
    <cfRule type="expression" dxfId="124" priority="1041">
      <formula>MOD(ROW(),2)=0</formula>
    </cfRule>
  </conditionalFormatting>
  <conditionalFormatting sqref="J222:N222">
    <cfRule type="expression" dxfId="123" priority="83">
      <formula>MOD(ROW(),2)=0</formula>
    </cfRule>
  </conditionalFormatting>
  <conditionalFormatting sqref="J232:N232">
    <cfRule type="expression" dxfId="122" priority="1039">
      <formula>MOD(ROW(),2)=0</formula>
    </cfRule>
  </conditionalFormatting>
  <conditionalFormatting sqref="J93:O93 Q93">
    <cfRule type="expression" dxfId="121" priority="1637">
      <formula>MOD(ROW(),2)=0</formula>
    </cfRule>
  </conditionalFormatting>
  <conditionalFormatting sqref="J103:O103 Q103">
    <cfRule type="expression" dxfId="120" priority="163">
      <formula>MOD(ROW(),2)=0</formula>
    </cfRule>
  </conditionalFormatting>
  <conditionalFormatting sqref="J193:O193">
    <cfRule type="expression" dxfId="119" priority="1589">
      <formula>MOD(ROW(),2)=0</formula>
    </cfRule>
  </conditionalFormatting>
  <conditionalFormatting sqref="J203:O203">
    <cfRule type="expression" dxfId="118" priority="106">
      <formula>MOD(ROW(),2)=0</formula>
    </cfRule>
  </conditionalFormatting>
  <conditionalFormatting sqref="J109:P111">
    <cfRule type="expression" dxfId="117" priority="1748">
      <formula>MOD(ROW(),2)=0</formula>
    </cfRule>
  </conditionalFormatting>
  <conditionalFormatting sqref="J119:P121">
    <cfRule type="expression" dxfId="116" priority="151">
      <formula>MOD(ROW(),2)=0</formula>
    </cfRule>
  </conditionalFormatting>
  <conditionalFormatting sqref="J129:P131">
    <cfRule type="expression" dxfId="115" priority="1746">
      <formula>MOD(ROW(),2)=0</formula>
    </cfRule>
  </conditionalFormatting>
  <conditionalFormatting sqref="J159:P161">
    <cfRule type="expression" dxfId="114" priority="1742">
      <formula>MOD(ROW(),2)=0</formula>
    </cfRule>
  </conditionalFormatting>
  <conditionalFormatting sqref="J169:P171">
    <cfRule type="expression" dxfId="113" priority="119">
      <formula>MOD(ROW(),2)=0</formula>
    </cfRule>
  </conditionalFormatting>
  <conditionalFormatting sqref="J209:P211">
    <cfRule type="expression" dxfId="112" priority="1736">
      <formula>MOD(ROW(),2)=0</formula>
    </cfRule>
  </conditionalFormatting>
  <conditionalFormatting sqref="J219:P221">
    <cfRule type="expression" dxfId="111" priority="89">
      <formula>MOD(ROW(),2)=0</formula>
    </cfRule>
  </conditionalFormatting>
  <conditionalFormatting sqref="J217:AE217 B227:AE227 J237:AE237">
    <cfRule type="expression" dxfId="110" priority="1021">
      <formula>MOD(ROW(),2)=0</formula>
    </cfRule>
  </conditionalFormatting>
  <conditionalFormatting sqref="J247:AE247">
    <cfRule type="expression" dxfId="109" priority="67">
      <formula>MOD(ROW(),2)=0</formula>
    </cfRule>
  </conditionalFormatting>
  <conditionalFormatting sqref="O140:O143">
    <cfRule type="expression" dxfId="108" priority="1095">
      <formula>MOD(ROW(),2)=0</formula>
    </cfRule>
  </conditionalFormatting>
  <conditionalFormatting sqref="O150:O153">
    <cfRule type="expression" dxfId="107" priority="127">
      <formula>MOD(ROW(),2)=0</formula>
    </cfRule>
  </conditionalFormatting>
  <conditionalFormatting sqref="O240:O243">
    <cfRule type="expression" dxfId="106" priority="1059">
      <formula>MOD(ROW(),2)=0</formula>
    </cfRule>
  </conditionalFormatting>
  <conditionalFormatting sqref="O250:O253">
    <cfRule type="expression" dxfId="105" priority="68">
      <formula>MOD(ROW(),2)=0</formula>
    </cfRule>
  </conditionalFormatting>
  <conditionalFormatting sqref="O112:P113">
    <cfRule type="expression" dxfId="104" priority="255">
      <formula>MOD(ROW(),2)=0</formula>
    </cfRule>
  </conditionalFormatting>
  <conditionalFormatting sqref="O122:P123">
    <cfRule type="expression" dxfId="103" priority="143">
      <formula>MOD(ROW(),2)=0</formula>
    </cfRule>
  </conditionalFormatting>
  <conditionalFormatting sqref="O132:P133">
    <cfRule type="expression" dxfId="102" priority="253">
      <formula>MOD(ROW(),2)=0</formula>
    </cfRule>
  </conditionalFormatting>
  <conditionalFormatting sqref="O139:P139">
    <cfRule type="expression" dxfId="101" priority="1835">
      <formula>MOD(ROW(),2)=0</formula>
    </cfRule>
  </conditionalFormatting>
  <conditionalFormatting sqref="O162:P163">
    <cfRule type="expression" dxfId="100" priority="249">
      <formula>MOD(ROW(),2)=0</formula>
    </cfRule>
  </conditionalFormatting>
  <conditionalFormatting sqref="O172:P173">
    <cfRule type="expression" dxfId="99" priority="113">
      <formula>MOD(ROW(),2)=0</formula>
    </cfRule>
  </conditionalFormatting>
  <conditionalFormatting sqref="O189:P193">
    <cfRule type="expression" dxfId="98" priority="245">
      <formula>MOD(ROW(),2)=0</formula>
    </cfRule>
  </conditionalFormatting>
  <conditionalFormatting sqref="O199:P203">
    <cfRule type="expression" dxfId="97" priority="95">
      <formula>MOD(ROW(),2)=0</formula>
    </cfRule>
  </conditionalFormatting>
  <conditionalFormatting sqref="O212:P213">
    <cfRule type="expression" dxfId="96" priority="243">
      <formula>MOD(ROW(),2)=0</formula>
    </cfRule>
  </conditionalFormatting>
  <conditionalFormatting sqref="O222:P223">
    <cfRule type="expression" dxfId="95" priority="81">
      <formula>MOD(ROW(),2)=0</formula>
    </cfRule>
  </conditionalFormatting>
  <conditionalFormatting sqref="O229:P231">
    <cfRule type="expression" dxfId="94" priority="1734">
      <formula>MOD(ROW(),2)=0</formula>
    </cfRule>
  </conditionalFormatting>
  <conditionalFormatting sqref="O94:Q95">
    <cfRule type="expression" dxfId="93" priority="1630">
      <formula>MOD(ROW(),2)=0</formula>
    </cfRule>
  </conditionalFormatting>
  <conditionalFormatting sqref="O104:Q105">
    <cfRule type="expression" dxfId="92" priority="161">
      <formula>MOD(ROW(),2)=0</formula>
    </cfRule>
  </conditionalFormatting>
  <conditionalFormatting sqref="O194:Q195">
    <cfRule type="expression" dxfId="91" priority="1582">
      <formula>MOD(ROW(),2)=0</formula>
    </cfRule>
  </conditionalFormatting>
  <conditionalFormatting sqref="O204:Q205">
    <cfRule type="expression" dxfId="90" priority="104">
      <formula>MOD(ROW(),2)=0</formula>
    </cfRule>
  </conditionalFormatting>
  <conditionalFormatting sqref="O34:AE36">
    <cfRule type="expression" dxfId="89" priority="1662">
      <formula>MOD(ROW(),2)=0</formula>
    </cfRule>
  </conditionalFormatting>
  <conditionalFormatting sqref="O39:AE43">
    <cfRule type="expression" dxfId="88" priority="263">
      <formula>MOD(ROW(),2)=0</formula>
    </cfRule>
  </conditionalFormatting>
  <conditionalFormatting sqref="O49:AE53">
    <cfRule type="expression" dxfId="87" priority="181">
      <formula>MOD(ROW(),2)=0</formula>
    </cfRule>
  </conditionalFormatting>
  <conditionalFormatting sqref="O84:AE85">
    <cfRule type="expression" dxfId="86" priority="1638">
      <formula>MOD(ROW(),2)=0</formula>
    </cfRule>
  </conditionalFormatting>
  <conditionalFormatting sqref="O89:AE93">
    <cfRule type="expression" dxfId="85" priority="257">
      <formula>MOD(ROW(),2)=0</formula>
    </cfRule>
  </conditionalFormatting>
  <conditionalFormatting sqref="O99:AE103">
    <cfRule type="expression" dxfId="84" priority="156">
      <formula>MOD(ROW(),2)=0</formula>
    </cfRule>
  </conditionalFormatting>
  <conditionalFormatting sqref="O114:AE115">
    <cfRule type="expression" dxfId="83" priority="1622">
      <formula>MOD(ROW(),2)=0</formula>
    </cfRule>
  </conditionalFormatting>
  <conditionalFormatting sqref="O124:AE125">
    <cfRule type="expression" dxfId="82" priority="149">
      <formula>MOD(ROW(),2)=0</formula>
    </cfRule>
  </conditionalFormatting>
  <conditionalFormatting sqref="O134:AE135">
    <cfRule type="expression" dxfId="81" priority="1614">
      <formula>MOD(ROW(),2)=0</formula>
    </cfRule>
  </conditionalFormatting>
  <conditionalFormatting sqref="O144:AE145">
    <cfRule type="expression" dxfId="80" priority="1606">
      <formula>MOD(ROW(),2)=0</formula>
    </cfRule>
  </conditionalFormatting>
  <conditionalFormatting sqref="O154:AE155">
    <cfRule type="expression" dxfId="79" priority="130">
      <formula>MOD(ROW(),2)=0</formula>
    </cfRule>
  </conditionalFormatting>
  <conditionalFormatting sqref="O164:AE165">
    <cfRule type="expression" dxfId="78" priority="1598">
      <formula>MOD(ROW(),2)=0</formula>
    </cfRule>
  </conditionalFormatting>
  <conditionalFormatting sqref="O174:AE175">
    <cfRule type="expression" dxfId="77" priority="118">
      <formula>MOD(ROW(),2)=0</formula>
    </cfRule>
  </conditionalFormatting>
  <conditionalFormatting sqref="O184:AE185">
    <cfRule type="expression" dxfId="76" priority="1590">
      <formula>MOD(ROW(),2)=0</formula>
    </cfRule>
  </conditionalFormatting>
  <conditionalFormatting sqref="O214:AE215">
    <cfRule type="expression" dxfId="75" priority="1574">
      <formula>MOD(ROW(),2)=0</formula>
    </cfRule>
  </conditionalFormatting>
  <conditionalFormatting sqref="O224:AE225">
    <cfRule type="expression" dxfId="74" priority="88">
      <formula>MOD(ROW(),2)=0</formula>
    </cfRule>
  </conditionalFormatting>
  <conditionalFormatting sqref="O232:AE233">
    <cfRule type="expression" dxfId="73" priority="241">
      <formula>MOD(ROW(),2)=0</formula>
    </cfRule>
  </conditionalFormatting>
  <conditionalFormatting sqref="O244:AE245">
    <cfRule type="expression" dxfId="72" priority="1646">
      <formula>MOD(ROW(),2)=0</formula>
    </cfRule>
  </conditionalFormatting>
  <conditionalFormatting sqref="O254:AE255">
    <cfRule type="expression" dxfId="71" priority="73">
      <formula>MOD(ROW(),2)=0</formula>
    </cfRule>
  </conditionalFormatting>
  <conditionalFormatting sqref="P142:P143">
    <cfRule type="expression" dxfId="70" priority="252">
      <formula>MOD(ROW(),2)=0</formula>
    </cfRule>
  </conditionalFormatting>
  <conditionalFormatting sqref="P152:P153">
    <cfRule type="expression" dxfId="69" priority="125">
      <formula>MOD(ROW(),2)=0</formula>
    </cfRule>
  </conditionalFormatting>
  <conditionalFormatting sqref="P242:P243">
    <cfRule type="expression" dxfId="68" priority="240">
      <formula>MOD(ROW(),2)=0</formula>
    </cfRule>
  </conditionalFormatting>
  <conditionalFormatting sqref="P252:P253">
    <cfRule type="expression" dxfId="67" priority="66">
      <formula>MOD(ROW(),2)=0</formula>
    </cfRule>
  </conditionalFormatting>
  <conditionalFormatting sqref="Q167 B177:AE177">
    <cfRule type="expression" dxfId="66" priority="1031">
      <formula>MOD(ROW(),2)=0</formula>
    </cfRule>
  </conditionalFormatting>
  <conditionalFormatting sqref="Q192:Q193">
    <cfRule type="expression" dxfId="65" priority="1055">
      <formula>MOD(ROW(),2)=0</formula>
    </cfRule>
  </conditionalFormatting>
  <conditionalFormatting sqref="Q197">
    <cfRule type="expression" dxfId="64" priority="1022">
      <formula>MOD(ROW(),2)=0</formula>
    </cfRule>
  </conditionalFormatting>
  <conditionalFormatting sqref="Q202:Q203">
    <cfRule type="expression" dxfId="63" priority="99">
      <formula>MOD(ROW(),2)=0</formula>
    </cfRule>
  </conditionalFormatting>
  <conditionalFormatting sqref="Q109:AE113 B119:AE119 Q119:AE123">
    <cfRule type="expression" dxfId="62" priority="1856">
      <formula>MOD(ROW(),2)=0</formula>
    </cfRule>
  </conditionalFormatting>
  <conditionalFormatting sqref="Q129:AE133 F135:AE136 E137:AE138">
    <cfRule type="expression" dxfId="61" priority="1847">
      <formula>MOD(ROW(),2)=0</formula>
    </cfRule>
  </conditionalFormatting>
  <conditionalFormatting sqref="Q139:AE143">
    <cfRule type="expression" dxfId="60" priority="1838">
      <formula>MOD(ROW(),2)=0</formula>
    </cfRule>
  </conditionalFormatting>
  <conditionalFormatting sqref="Q149:AE153">
    <cfRule type="expression" dxfId="59" priority="134">
      <formula>MOD(ROW(),2)=0</formula>
    </cfRule>
  </conditionalFormatting>
  <conditionalFormatting sqref="Q159:AE163 Q169:AE173">
    <cfRule type="expression" dxfId="58" priority="1827">
      <formula>MOD(ROW(),2)=0</formula>
    </cfRule>
  </conditionalFormatting>
  <conditionalFormatting sqref="Q189:AE191">
    <cfRule type="expression" dxfId="57" priority="1809">
      <formula>MOD(ROW(),2)=0</formula>
    </cfRule>
  </conditionalFormatting>
  <conditionalFormatting sqref="Q199:AE201">
    <cfRule type="expression" dxfId="56" priority="108">
      <formula>MOD(ROW(),2)=0</formula>
    </cfRule>
  </conditionalFormatting>
  <conditionalFormatting sqref="Q209:AE213 Q219:AE223">
    <cfRule type="expression" dxfId="55" priority="1798">
      <formula>MOD(ROW(),2)=0</formula>
    </cfRule>
  </conditionalFormatting>
  <conditionalFormatting sqref="Q239:AE243">
    <cfRule type="expression" dxfId="54" priority="1780">
      <formula>MOD(ROW(),2)=0</formula>
    </cfRule>
  </conditionalFormatting>
  <conditionalFormatting sqref="Q249:AE253">
    <cfRule type="expression" dxfId="53" priority="75">
      <formula>MOD(ROW(),2)=0</formula>
    </cfRule>
  </conditionalFormatting>
  <conditionalFormatting sqref="R14:AE15">
    <cfRule type="expression" dxfId="52" priority="1721">
      <formula>MOD(ROW(),2)=0</formula>
    </cfRule>
  </conditionalFormatting>
  <conditionalFormatting sqref="R24:AE25">
    <cfRule type="expression" dxfId="51" priority="197">
      <formula>MOD(ROW(),2)=0</formula>
    </cfRule>
  </conditionalFormatting>
  <conditionalFormatting sqref="R44:AE45">
    <cfRule type="expression" dxfId="50" priority="1718">
      <formula>MOD(ROW(),2)=0</formula>
    </cfRule>
  </conditionalFormatting>
  <conditionalFormatting sqref="R54:AE55">
    <cfRule type="expression" dxfId="49" priority="186">
      <formula>MOD(ROW(),2)=0</formula>
    </cfRule>
  </conditionalFormatting>
  <conditionalFormatting sqref="R64:AE65">
    <cfRule type="expression" dxfId="48" priority="1715">
      <formula>MOD(ROW(),2)=0</formula>
    </cfRule>
  </conditionalFormatting>
  <conditionalFormatting sqref="R74:AE75">
    <cfRule type="expression" dxfId="47" priority="174">
      <formula>MOD(ROW(),2)=0</formula>
    </cfRule>
  </conditionalFormatting>
  <conditionalFormatting sqref="R93:AE95 E94">
    <cfRule type="expression" dxfId="46" priority="1709">
      <formula>MOD(ROW(),2)=0</formula>
    </cfRule>
  </conditionalFormatting>
  <conditionalFormatting sqref="R103:AE105">
    <cfRule type="expression" dxfId="45" priority="164">
      <formula>MOD(ROW(),2)=0</formula>
    </cfRule>
  </conditionalFormatting>
  <conditionalFormatting sqref="R192:AE195">
    <cfRule type="expression" dxfId="44" priority="604">
      <formula>MOD(ROW(),2)=0</formula>
    </cfRule>
  </conditionalFormatting>
  <conditionalFormatting sqref="R202:AE205">
    <cfRule type="expression" dxfId="43" priority="97">
      <formula>MOD(ROW(),2)=0</formula>
    </cfRule>
  </conditionalFormatting>
  <hyperlinks>
    <hyperlink ref="A1" location="Index!A1" display="&lt;&lt;Back to Index" xr:uid="{271806FF-0D5A-4F33-BB81-36C2F6FC7264}"/>
  </hyperlinks>
  <pageMargins left="0.7" right="0.7" top="0.75" bottom="0.75" header="0.3" footer="0.3"/>
  <pageSetup paperSize="9" orientation="portrait" r:id="rId1"/>
  <headerFooter>
    <oddHeader>&amp;C&amp;"Calibri"&amp;10&amp;KFF0000 OFFICIAL SENSITIVE&amp;1#_x000D_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0" tint="-0.249977111117893"/>
  </sheetPr>
  <dimension ref="F9:H14"/>
  <sheetViews>
    <sheetView workbookViewId="0">
      <selection activeCell="C8" sqref="C8"/>
    </sheetView>
  </sheetViews>
  <sheetFormatPr defaultColWidth="8.81640625" defaultRowHeight="14.5" x14ac:dyDescent="0.35"/>
  <cols>
    <col min="1" max="16384" width="8.81640625" style="2"/>
  </cols>
  <sheetData>
    <row r="9" spans="6:8" ht="35" x14ac:dyDescent="0.35">
      <c r="F9" s="765" t="s">
        <v>145</v>
      </c>
      <c r="G9" s="30"/>
      <c r="H9" s="30"/>
    </row>
    <row r="10" spans="6:8" ht="35" x14ac:dyDescent="0.35">
      <c r="F10" s="765" t="str">
        <f>"DMO "&amp;FY</f>
        <v>DMO 2026-27</v>
      </c>
      <c r="G10" s="30"/>
      <c r="H10" s="30"/>
    </row>
    <row r="11" spans="6:8" ht="23" x14ac:dyDescent="0.35">
      <c r="F11" s="766"/>
      <c r="G11" s="30"/>
      <c r="H11" s="30"/>
    </row>
    <row r="12" spans="6:8" ht="23.5" x14ac:dyDescent="0.35">
      <c r="F12" s="3"/>
    </row>
    <row r="13" spans="6:8" x14ac:dyDescent="0.35">
      <c r="F13" s="4"/>
    </row>
    <row r="14" spans="6:8" x14ac:dyDescent="0.35">
      <c r="F14" s="4"/>
    </row>
  </sheetData>
  <sheetProtection algorithmName="SHA-256" hashValue="en+tVY9kTbKfSB8f3+q75BLGbWKaOqAOmpdiH7Sf7mA=" saltValue="xFtuqskPzfIZEanGUiqChQ==" spinCount="100000" sheet="1" formatCells="0" formatColumns="0" formatRows="0" insertColumns="0" insertRows="0" insertHyperlinks="0" deleteColumns="0" deleteRows="0" sort="0" autoFilter="0" pivotTables="0"/>
  <pageMargins left="0.7" right="0.7" top="0.75" bottom="0.75" header="0.3" footer="0.3"/>
  <headerFooter>
    <oddHeader>&amp;C&amp;"Calibri"&amp;10&amp;KFF0000 OFFICIAL SENSITIVE&amp;1#_x000D_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0" tint="-0.249977111117893"/>
  </sheetPr>
  <dimension ref="A1:X516"/>
  <sheetViews>
    <sheetView showGridLines="0" zoomScale="85" zoomScaleNormal="85" workbookViewId="0">
      <pane xSplit="3" ySplit="3" topLeftCell="F4" activePane="bottomRight" state="frozen"/>
      <selection pane="topRight" activeCell="D1" sqref="D1"/>
      <selection pane="bottomLeft" activeCell="A4" sqref="A4"/>
      <selection pane="bottomRight" activeCell="B2" sqref="B2"/>
    </sheetView>
  </sheetViews>
  <sheetFormatPr defaultColWidth="8.81640625" defaultRowHeight="14" x14ac:dyDescent="0.35"/>
  <cols>
    <col min="1" max="1" width="1.81640625" style="30" customWidth="1"/>
    <col min="2" max="2" width="18.54296875" style="511" bestFit="1" customWidth="1"/>
    <col min="3" max="3" width="24.26953125" style="511" bestFit="1" customWidth="1"/>
    <col min="4" max="4" width="17.81640625" style="511" customWidth="1"/>
    <col min="5" max="5" width="17.1796875" style="511" customWidth="1"/>
    <col min="6" max="6" width="31.1796875" style="511" bestFit="1" customWidth="1"/>
    <col min="7" max="7" width="28.54296875" style="511" customWidth="1"/>
    <col min="8" max="8" width="12.81640625" style="511" customWidth="1"/>
    <col min="9" max="10" width="14.26953125" style="66" bestFit="1" customWidth="1"/>
    <col min="11" max="11" width="10" style="30" bestFit="1" customWidth="1"/>
    <col min="12" max="12" width="96.453125" style="511" bestFit="1" customWidth="1"/>
    <col min="13" max="13" width="115.90625" style="781" customWidth="1"/>
    <col min="14" max="14" width="15.81640625" style="30" bestFit="1" customWidth="1"/>
    <col min="15" max="20" width="5.81640625" style="30" customWidth="1"/>
    <col min="21" max="16384" width="8.81640625" style="30"/>
  </cols>
  <sheetData>
    <row r="1" spans="1:14" x14ac:dyDescent="0.35">
      <c r="A1" s="914" t="s">
        <v>18</v>
      </c>
      <c r="B1" s="816"/>
      <c r="C1" s="511" t="s">
        <v>172</v>
      </c>
    </row>
    <row r="2" spans="1:14" s="62" customFormat="1" ht="18" x14ac:dyDescent="0.35">
      <c r="A2" s="61" t="s">
        <v>90</v>
      </c>
      <c r="B2" s="512"/>
      <c r="C2" s="512"/>
      <c r="D2" s="12"/>
      <c r="E2" s="512"/>
      <c r="F2" s="512"/>
      <c r="G2" s="512"/>
      <c r="H2" s="790"/>
      <c r="I2" s="385"/>
      <c r="J2" s="791"/>
    </row>
    <row r="3" spans="1:14" s="64" customFormat="1" x14ac:dyDescent="0.35">
      <c r="B3" s="361" t="s">
        <v>1</v>
      </c>
      <c r="C3" s="361" t="s">
        <v>10</v>
      </c>
      <c r="D3" s="361" t="s">
        <v>84</v>
      </c>
      <c r="E3" s="361" t="s">
        <v>85</v>
      </c>
      <c r="F3" s="361" t="s">
        <v>86</v>
      </c>
      <c r="G3" s="361" t="s">
        <v>32</v>
      </c>
      <c r="H3" s="361" t="s">
        <v>66</v>
      </c>
      <c r="I3" s="363" t="str">
        <f>PY</f>
        <v>2025-26</v>
      </c>
      <c r="J3" s="363" t="str">
        <f>FY</f>
        <v>2026-27</v>
      </c>
      <c r="K3" s="363" t="s">
        <v>26</v>
      </c>
      <c r="L3" s="361" t="str">
        <f>"Source for "&amp;PY</f>
        <v>Source for 2025-26</v>
      </c>
      <c r="M3" s="361" t="str">
        <f>"Source for "&amp;FY</f>
        <v>Source for 2026-27</v>
      </c>
      <c r="N3" s="361" t="s">
        <v>54</v>
      </c>
    </row>
    <row r="4" spans="1:14" s="66" customFormat="1" x14ac:dyDescent="0.35">
      <c r="B4" s="379" t="s">
        <v>249</v>
      </c>
      <c r="C4" s="379"/>
      <c r="D4" s="379"/>
      <c r="E4" s="379"/>
      <c r="F4" s="379"/>
      <c r="G4" s="379" t="s">
        <v>250</v>
      </c>
      <c r="H4" s="379"/>
      <c r="I4" s="792" t="s">
        <v>247</v>
      </c>
      <c r="J4" s="792" t="s">
        <v>255</v>
      </c>
      <c r="K4" s="793" t="s">
        <v>253</v>
      </c>
      <c r="L4" s="794" t="s">
        <v>390</v>
      </c>
      <c r="M4" s="794"/>
      <c r="N4" s="513"/>
    </row>
    <row r="5" spans="1:14" s="66" customFormat="1" x14ac:dyDescent="0.35">
      <c r="B5" s="379" t="s">
        <v>249</v>
      </c>
      <c r="C5" s="379"/>
      <c r="D5" s="379"/>
      <c r="E5" s="379"/>
      <c r="F5" s="379"/>
      <c r="G5" s="379" t="s">
        <v>251</v>
      </c>
      <c r="H5" s="379"/>
      <c r="I5" s="792" t="s">
        <v>247</v>
      </c>
      <c r="J5" s="792" t="s">
        <v>215</v>
      </c>
      <c r="K5" s="793" t="s">
        <v>253</v>
      </c>
      <c r="L5" s="794" t="s">
        <v>390</v>
      </c>
      <c r="M5" s="794"/>
      <c r="N5" s="513"/>
    </row>
    <row r="6" spans="1:14" s="66" customFormat="1" x14ac:dyDescent="0.35">
      <c r="B6" s="379" t="s">
        <v>249</v>
      </c>
      <c r="C6" s="379"/>
      <c r="D6" s="379"/>
      <c r="E6" s="379"/>
      <c r="F6" s="379"/>
      <c r="G6" s="379" t="s">
        <v>122</v>
      </c>
      <c r="H6" s="379"/>
      <c r="I6" s="792" t="s">
        <v>247</v>
      </c>
      <c r="J6" s="795" t="str">
        <f>'Network Tariff codes'!D8</f>
        <v>Final</v>
      </c>
      <c r="K6" s="793"/>
      <c r="L6" s="794" t="s">
        <v>390</v>
      </c>
      <c r="M6" s="794"/>
      <c r="N6" s="513"/>
    </row>
    <row r="7" spans="1:14" s="66" customFormat="1" x14ac:dyDescent="0.35">
      <c r="B7" s="379" t="s">
        <v>249</v>
      </c>
      <c r="C7" s="379"/>
      <c r="D7" s="379"/>
      <c r="E7" s="379"/>
      <c r="F7" s="379"/>
      <c r="G7" s="379" t="s">
        <v>301</v>
      </c>
      <c r="H7" s="379"/>
      <c r="I7" s="796"/>
      <c r="J7" s="796">
        <f>'Network Tariff codes'!D10</f>
        <v>5.6768000000000152E-2</v>
      </c>
      <c r="K7" s="793" t="s">
        <v>27</v>
      </c>
      <c r="L7" s="794" t="s">
        <v>315</v>
      </c>
      <c r="M7" s="794"/>
      <c r="N7" s="513"/>
    </row>
    <row r="8" spans="1:14" s="66" customFormat="1" x14ac:dyDescent="0.35">
      <c r="B8" s="379" t="s">
        <v>249</v>
      </c>
      <c r="C8" s="379"/>
      <c r="D8" s="379"/>
      <c r="E8" s="379"/>
      <c r="F8" s="379"/>
      <c r="G8" s="30" t="str">
        <f>"Fct CPI "&amp;FY&amp;" adjustment for 30 Jun 2026 retail costs"</f>
        <v>Fct CPI 2026-27 adjustment for 30 Jun 2026 retail costs</v>
      </c>
      <c r="H8" s="379"/>
      <c r="I8" s="796"/>
      <c r="J8" s="796">
        <f>'Network Tariff codes'!D9</f>
        <v>7.3152000000000106E-2</v>
      </c>
      <c r="K8" s="793" t="s">
        <v>27</v>
      </c>
      <c r="L8" s="794"/>
      <c r="M8" s="794" t="s">
        <v>449</v>
      </c>
      <c r="N8" s="513"/>
    </row>
    <row r="9" spans="1:14" s="66" customFormat="1" x14ac:dyDescent="0.35">
      <c r="B9" s="379" t="s">
        <v>249</v>
      </c>
      <c r="C9" s="379"/>
      <c r="D9" s="379"/>
      <c r="E9" s="379"/>
      <c r="F9" s="379"/>
      <c r="G9" s="379" t="s">
        <v>31</v>
      </c>
      <c r="H9" s="379"/>
      <c r="I9" s="797">
        <v>365</v>
      </c>
      <c r="J9" s="797">
        <v>365</v>
      </c>
      <c r="K9" s="793" t="s">
        <v>252</v>
      </c>
      <c r="L9" s="794" t="s">
        <v>390</v>
      </c>
      <c r="M9" s="794"/>
      <c r="N9" s="513"/>
    </row>
    <row r="10" spans="1:14" s="66" customFormat="1" x14ac:dyDescent="0.35">
      <c r="B10" s="379" t="s">
        <v>249</v>
      </c>
      <c r="C10" s="379"/>
      <c r="D10" s="379"/>
      <c r="E10" s="379"/>
      <c r="F10" s="379"/>
      <c r="G10" s="379" t="s">
        <v>216</v>
      </c>
      <c r="H10" s="379"/>
      <c r="I10" s="797">
        <v>365</v>
      </c>
      <c r="J10" s="797">
        <v>365</v>
      </c>
      <c r="K10" s="793" t="s">
        <v>252</v>
      </c>
      <c r="L10" s="794" t="s">
        <v>390</v>
      </c>
      <c r="M10" s="794"/>
      <c r="N10" s="513"/>
    </row>
    <row r="11" spans="1:14" s="66" customFormat="1" x14ac:dyDescent="0.35">
      <c r="B11" s="379" t="s">
        <v>249</v>
      </c>
      <c r="C11" s="379"/>
      <c r="D11" s="379"/>
      <c r="E11" s="379"/>
      <c r="F11" s="379"/>
      <c r="G11" s="379" t="s">
        <v>38</v>
      </c>
      <c r="H11" s="379"/>
      <c r="I11" s="797">
        <v>0.1</v>
      </c>
      <c r="J11" s="783">
        <v>0.1</v>
      </c>
      <c r="K11" s="793" t="s">
        <v>27</v>
      </c>
      <c r="L11" s="794" t="s">
        <v>390</v>
      </c>
      <c r="M11" s="794"/>
      <c r="N11" s="513"/>
    </row>
    <row r="12" spans="1:14" s="66" customFormat="1" x14ac:dyDescent="0.35">
      <c r="B12" s="379" t="s">
        <v>2</v>
      </c>
      <c r="C12" s="379" t="str">
        <f t="shared" ref="C12:C15" si="0">IF(D12="","All",D12&amp;" "&amp;E12)</f>
        <v>Residential Flat rate</v>
      </c>
      <c r="D12" s="379" t="s">
        <v>6</v>
      </c>
      <c r="E12" s="379" t="s">
        <v>19</v>
      </c>
      <c r="F12" s="379" t="s">
        <v>19</v>
      </c>
      <c r="G12" s="379" t="s">
        <v>69</v>
      </c>
      <c r="H12" s="379" t="s">
        <v>47</v>
      </c>
      <c r="I12" s="792">
        <v>161.0675</v>
      </c>
      <c r="J12" s="792">
        <v>137.22</v>
      </c>
      <c r="K12" s="793" t="s">
        <v>44</v>
      </c>
      <c r="L12" s="794" t="s">
        <v>224</v>
      </c>
      <c r="M12" s="798" t="s">
        <v>423</v>
      </c>
      <c r="N12" s="513">
        <f t="shared" ref="N12:N15" si="1">IFERROR(IF(K12="%",J12-I12,J12/I12-1),"")</f>
        <v>-0.14805904356869015</v>
      </c>
    </row>
    <row r="13" spans="1:14" s="66" customFormat="1" x14ac:dyDescent="0.35">
      <c r="B13" s="379" t="s">
        <v>2</v>
      </c>
      <c r="C13" s="379" t="str">
        <f t="shared" si="0"/>
        <v>All</v>
      </c>
      <c r="D13" s="379"/>
      <c r="E13" s="379" t="s">
        <v>285</v>
      </c>
      <c r="F13" s="379" t="s">
        <v>14</v>
      </c>
      <c r="G13" s="379" t="s">
        <v>69</v>
      </c>
      <c r="H13" s="379" t="s">
        <v>47</v>
      </c>
      <c r="I13" s="792">
        <v>115.48249999999999</v>
      </c>
      <c r="J13" s="792">
        <v>114.23</v>
      </c>
      <c r="K13" s="793" t="s">
        <v>44</v>
      </c>
      <c r="L13" s="794" t="s">
        <v>224</v>
      </c>
      <c r="M13" s="798" t="s">
        <v>423</v>
      </c>
      <c r="N13" s="513">
        <f t="shared" si="1"/>
        <v>-1.0845799147056745E-2</v>
      </c>
    </row>
    <row r="14" spans="1:14" s="66" customFormat="1" x14ac:dyDescent="0.35">
      <c r="B14" s="379" t="s">
        <v>2</v>
      </c>
      <c r="C14" s="379" t="str">
        <f t="shared" si="0"/>
        <v>All</v>
      </c>
      <c r="D14" s="379"/>
      <c r="E14" s="379" t="s">
        <v>285</v>
      </c>
      <c r="F14" s="379" t="s">
        <v>15</v>
      </c>
      <c r="G14" s="379" t="s">
        <v>69</v>
      </c>
      <c r="H14" s="379" t="s">
        <v>47</v>
      </c>
      <c r="I14" s="792">
        <v>113.69499999999999</v>
      </c>
      <c r="J14" s="792">
        <v>118.56</v>
      </c>
      <c r="K14" s="793" t="s">
        <v>44</v>
      </c>
      <c r="L14" s="794" t="s">
        <v>224</v>
      </c>
      <c r="M14" s="798" t="s">
        <v>423</v>
      </c>
      <c r="N14" s="513">
        <f t="shared" si="1"/>
        <v>4.27899204010731E-2</v>
      </c>
    </row>
    <row r="15" spans="1:14" s="66" customFormat="1" x14ac:dyDescent="0.35">
      <c r="B15" s="379" t="s">
        <v>2</v>
      </c>
      <c r="C15" s="379" t="str">
        <f t="shared" si="0"/>
        <v>Small business Flat rate</v>
      </c>
      <c r="D15" s="379" t="s">
        <v>13</v>
      </c>
      <c r="E15" s="379" t="s">
        <v>19</v>
      </c>
      <c r="F15" s="379" t="s">
        <v>19</v>
      </c>
      <c r="G15" s="379" t="s">
        <v>69</v>
      </c>
      <c r="H15" s="379" t="s">
        <v>47</v>
      </c>
      <c r="I15" s="792">
        <v>161.0675</v>
      </c>
      <c r="J15" s="792">
        <v>137.22</v>
      </c>
      <c r="K15" s="793" t="s">
        <v>44</v>
      </c>
      <c r="L15" s="794" t="s">
        <v>224</v>
      </c>
      <c r="M15" s="798" t="s">
        <v>423</v>
      </c>
      <c r="N15" s="513">
        <f t="shared" si="1"/>
        <v>-0.14805904356869015</v>
      </c>
    </row>
    <row r="16" spans="1:14" s="66" customFormat="1" x14ac:dyDescent="0.35">
      <c r="B16" s="379" t="s">
        <v>2</v>
      </c>
      <c r="C16" s="379" t="str">
        <f t="shared" ref="C16:C47" si="2">IF(D16="","All",D16&amp;" "&amp;E16)</f>
        <v>All</v>
      </c>
      <c r="D16" s="379"/>
      <c r="E16" s="379"/>
      <c r="F16" s="379"/>
      <c r="G16" s="379" t="s">
        <v>70</v>
      </c>
      <c r="H16" s="379" t="s">
        <v>47</v>
      </c>
      <c r="I16" s="792">
        <v>0.15378802592718904</v>
      </c>
      <c r="J16" s="792">
        <v>0.12361238575222523</v>
      </c>
      <c r="K16" s="793" t="s">
        <v>44</v>
      </c>
      <c r="L16" s="794" t="s">
        <v>231</v>
      </c>
      <c r="M16" s="798" t="s">
        <v>425</v>
      </c>
      <c r="N16" s="513">
        <f t="shared" ref="N16:N47" si="3">IFERROR(IF(K16="%",J16-I16,J16/I16-1),"")</f>
        <v>-0.19621579764116659</v>
      </c>
    </row>
    <row r="17" spans="2:14" s="66" customFormat="1" x14ac:dyDescent="0.35">
      <c r="B17" s="379" t="s">
        <v>2</v>
      </c>
      <c r="C17" s="379" t="str">
        <f t="shared" si="2"/>
        <v>All</v>
      </c>
      <c r="D17" s="379"/>
      <c r="E17" s="379"/>
      <c r="F17" s="379"/>
      <c r="G17" s="379" t="s">
        <v>77</v>
      </c>
      <c r="H17" s="379" t="s">
        <v>47</v>
      </c>
      <c r="I17" s="792">
        <v>0.57443</v>
      </c>
      <c r="J17" s="792">
        <v>0.51939999999999997</v>
      </c>
      <c r="K17" s="793" t="s">
        <v>44</v>
      </c>
      <c r="L17" s="794" t="s">
        <v>232</v>
      </c>
      <c r="M17" s="798" t="s">
        <v>425</v>
      </c>
      <c r="N17" s="513">
        <f t="shared" si="3"/>
        <v>-9.5799314102675726E-2</v>
      </c>
    </row>
    <row r="18" spans="2:14" s="66" customFormat="1" x14ac:dyDescent="0.35">
      <c r="B18" s="379" t="s">
        <v>2</v>
      </c>
      <c r="C18" s="379" t="str">
        <f t="shared" si="2"/>
        <v>All</v>
      </c>
      <c r="D18" s="379"/>
      <c r="E18" s="379"/>
      <c r="F18" s="379"/>
      <c r="G18" s="379" t="s">
        <v>77</v>
      </c>
      <c r="H18" s="379" t="s">
        <v>46</v>
      </c>
      <c r="I18" s="792">
        <v>0.26533344915475288</v>
      </c>
      <c r="J18" s="792">
        <v>0.25172</v>
      </c>
      <c r="K18" s="793" t="s">
        <v>45</v>
      </c>
      <c r="L18" s="794" t="s">
        <v>232</v>
      </c>
      <c r="M18" s="798" t="s">
        <v>425</v>
      </c>
      <c r="N18" s="513">
        <f t="shared" si="3"/>
        <v>-5.1306946780060758E-2</v>
      </c>
    </row>
    <row r="19" spans="2:14" s="66" customFormat="1" x14ac:dyDescent="0.35">
      <c r="B19" s="379" t="s">
        <v>2</v>
      </c>
      <c r="C19" s="379" t="str">
        <f t="shared" si="2"/>
        <v>All</v>
      </c>
      <c r="D19" s="379"/>
      <c r="E19" s="379"/>
      <c r="F19" s="379"/>
      <c r="G19" s="379" t="s">
        <v>71</v>
      </c>
      <c r="H19" s="379" t="s">
        <v>47</v>
      </c>
      <c r="I19" s="792">
        <v>5.2786233739509421E-2</v>
      </c>
      <c r="J19" s="792">
        <v>0.12737410774067126</v>
      </c>
      <c r="K19" s="793" t="s">
        <v>44</v>
      </c>
      <c r="L19" s="794" t="s">
        <v>233</v>
      </c>
      <c r="M19" s="798" t="s">
        <v>425</v>
      </c>
      <c r="N19" s="513">
        <f t="shared" si="3"/>
        <v>1.413017537285187</v>
      </c>
    </row>
    <row r="20" spans="2:14" s="66" customFormat="1" x14ac:dyDescent="0.35">
      <c r="B20" s="379" t="s">
        <v>2</v>
      </c>
      <c r="C20" s="379" t="str">
        <f t="shared" si="2"/>
        <v>All</v>
      </c>
      <c r="D20" s="379"/>
      <c r="E20" s="379"/>
      <c r="F20" s="379"/>
      <c r="G20" s="379" t="s">
        <v>173</v>
      </c>
      <c r="H20" s="379" t="s">
        <v>47</v>
      </c>
      <c r="I20" s="792">
        <v>0.11507709849820914</v>
      </c>
      <c r="J20" s="792">
        <v>0</v>
      </c>
      <c r="K20" s="793" t="s">
        <v>44</v>
      </c>
      <c r="L20" s="794" t="s">
        <v>233</v>
      </c>
      <c r="M20" s="798" t="s">
        <v>425</v>
      </c>
      <c r="N20" s="513">
        <f t="shared" si="3"/>
        <v>-1</v>
      </c>
    </row>
    <row r="21" spans="2:14" s="66" customFormat="1" x14ac:dyDescent="0.35">
      <c r="B21" s="379" t="s">
        <v>2</v>
      </c>
      <c r="C21" s="379" t="str">
        <f t="shared" si="2"/>
        <v>All</v>
      </c>
      <c r="D21" s="379"/>
      <c r="E21" s="379"/>
      <c r="F21" s="379"/>
      <c r="G21" s="379" t="s">
        <v>130</v>
      </c>
      <c r="H21" s="379" t="s">
        <v>47</v>
      </c>
      <c r="I21" s="792">
        <v>2.8625958258186368</v>
      </c>
      <c r="J21" s="792">
        <v>2.6986289456311892</v>
      </c>
      <c r="K21" s="793" t="s">
        <v>44</v>
      </c>
      <c r="L21" s="794" t="s">
        <v>234</v>
      </c>
      <c r="M21" s="798" t="s">
        <v>425</v>
      </c>
      <c r="N21" s="513">
        <f t="shared" si="3"/>
        <v>-5.7279088688867552E-2</v>
      </c>
    </row>
    <row r="22" spans="2:14" s="66" customFormat="1" x14ac:dyDescent="0.35">
      <c r="B22" s="379" t="s">
        <v>2</v>
      </c>
      <c r="C22" s="379" t="str">
        <f t="shared" si="2"/>
        <v>All</v>
      </c>
      <c r="D22" s="379"/>
      <c r="E22" s="379"/>
      <c r="F22" s="379"/>
      <c r="G22" s="379" t="s">
        <v>73</v>
      </c>
      <c r="H22" s="379" t="s">
        <v>47</v>
      </c>
      <c r="I22" s="792">
        <v>6.1170426505850894</v>
      </c>
      <c r="J22" s="792">
        <v>3.1513746555504474</v>
      </c>
      <c r="K22" s="793" t="s">
        <v>44</v>
      </c>
      <c r="L22" s="794" t="s">
        <v>235</v>
      </c>
      <c r="M22" s="794" t="s">
        <v>444</v>
      </c>
      <c r="N22" s="513">
        <f t="shared" si="3"/>
        <v>-0.48482055209325359</v>
      </c>
    </row>
    <row r="23" spans="2:14" s="66" customFormat="1" x14ac:dyDescent="0.35">
      <c r="B23" s="379" t="s">
        <v>2</v>
      </c>
      <c r="C23" s="379" t="str">
        <f t="shared" si="2"/>
        <v>All</v>
      </c>
      <c r="D23" s="379"/>
      <c r="E23" s="379"/>
      <c r="F23" s="379"/>
      <c r="G23" s="379" t="s">
        <v>74</v>
      </c>
      <c r="H23" s="379" t="s">
        <v>47</v>
      </c>
      <c r="I23" s="792">
        <v>5.1359999999999992</v>
      </c>
      <c r="J23" s="792">
        <v>4.484</v>
      </c>
      <c r="K23" s="793" t="s">
        <v>44</v>
      </c>
      <c r="L23" s="794" t="s">
        <v>235</v>
      </c>
      <c r="M23" s="794" t="s">
        <v>445</v>
      </c>
      <c r="N23" s="513">
        <f t="shared" si="3"/>
        <v>-0.12694704049844219</v>
      </c>
    </row>
    <row r="24" spans="2:14" s="66" customFormat="1" x14ac:dyDescent="0.35">
      <c r="B24" s="379" t="s">
        <v>2</v>
      </c>
      <c r="C24" s="379" t="str">
        <f t="shared" si="2"/>
        <v>All</v>
      </c>
      <c r="D24" s="379"/>
      <c r="E24" s="379"/>
      <c r="F24" s="379"/>
      <c r="G24" s="379" t="s">
        <v>75</v>
      </c>
      <c r="H24" s="379" t="s">
        <v>47</v>
      </c>
      <c r="I24" s="792">
        <v>2.1292191637289464</v>
      </c>
      <c r="J24" s="792">
        <v>2.7795905819202815</v>
      </c>
      <c r="K24" s="793" t="s">
        <v>44</v>
      </c>
      <c r="L24" s="794" t="s">
        <v>236</v>
      </c>
      <c r="M24" s="794" t="s">
        <v>446</v>
      </c>
      <c r="N24" s="513">
        <f t="shared" si="3"/>
        <v>0.30545066908580987</v>
      </c>
    </row>
    <row r="25" spans="2:14" s="66" customFormat="1" x14ac:dyDescent="0.35">
      <c r="B25" s="379" t="s">
        <v>2</v>
      </c>
      <c r="C25" s="379" t="str">
        <f t="shared" si="2"/>
        <v>All</v>
      </c>
      <c r="D25" s="379"/>
      <c r="E25" s="379"/>
      <c r="F25" s="379"/>
      <c r="G25" s="379" t="s">
        <v>155</v>
      </c>
      <c r="H25" s="379" t="s">
        <v>47</v>
      </c>
      <c r="I25" s="792">
        <v>1.8634456011480964</v>
      </c>
      <c r="J25" s="792">
        <v>0.18735366719444529</v>
      </c>
      <c r="K25" s="793" t="s">
        <v>44</v>
      </c>
      <c r="L25" s="794" t="s">
        <v>242</v>
      </c>
      <c r="M25" s="794" t="s">
        <v>447</v>
      </c>
      <c r="N25" s="513">
        <f t="shared" si="3"/>
        <v>-0.8994584724775363</v>
      </c>
    </row>
    <row r="26" spans="2:14" s="66" customFormat="1" x14ac:dyDescent="0.35">
      <c r="B26" s="379" t="s">
        <v>2</v>
      </c>
      <c r="C26" s="379" t="str">
        <f t="shared" si="2"/>
        <v>Residential Flat rate</v>
      </c>
      <c r="D26" s="379" t="s">
        <v>6</v>
      </c>
      <c r="E26" s="379" t="s">
        <v>19</v>
      </c>
      <c r="F26" s="379" t="s">
        <v>19</v>
      </c>
      <c r="G26" s="379" t="s">
        <v>72</v>
      </c>
      <c r="H26" s="379" t="s">
        <v>47</v>
      </c>
      <c r="I26" s="796">
        <v>4.4759199666666305E-2</v>
      </c>
      <c r="J26" s="796">
        <v>4.594824771428585E-2</v>
      </c>
      <c r="K26" s="793" t="s">
        <v>27</v>
      </c>
      <c r="L26" s="794" t="s">
        <v>237</v>
      </c>
      <c r="M26" s="794" t="s">
        <v>424</v>
      </c>
      <c r="N26" s="513">
        <f t="shared" si="3"/>
        <v>1.1890480476195453E-3</v>
      </c>
    </row>
    <row r="27" spans="2:14" s="66" customFormat="1" x14ac:dyDescent="0.35">
      <c r="B27" s="379" t="s">
        <v>2</v>
      </c>
      <c r="C27" s="379" t="str">
        <f t="shared" si="2"/>
        <v>Residential time of use</v>
      </c>
      <c r="D27" s="379" t="s">
        <v>6</v>
      </c>
      <c r="E27" s="379" t="s">
        <v>272</v>
      </c>
      <c r="F27" s="379" t="s">
        <v>272</v>
      </c>
      <c r="G27" s="379" t="s">
        <v>72</v>
      </c>
      <c r="H27" s="379" t="s">
        <v>47</v>
      </c>
      <c r="I27" s="796"/>
      <c r="J27" s="796">
        <v>4.594824771428585E-2</v>
      </c>
      <c r="K27" s="793" t="s">
        <v>27</v>
      </c>
      <c r="L27" s="794" t="s">
        <v>304</v>
      </c>
      <c r="M27" s="794" t="s">
        <v>424</v>
      </c>
      <c r="N27" s="513">
        <f t="shared" si="3"/>
        <v>4.594824771428585E-2</v>
      </c>
    </row>
    <row r="28" spans="2:14" s="66" customFormat="1" x14ac:dyDescent="0.35">
      <c r="B28" s="379" t="s">
        <v>2</v>
      </c>
      <c r="C28" s="379" t="str">
        <f t="shared" si="2"/>
        <v>All</v>
      </c>
      <c r="D28" s="379"/>
      <c r="E28" s="379" t="s">
        <v>285</v>
      </c>
      <c r="F28" s="379" t="s">
        <v>14</v>
      </c>
      <c r="G28" s="379" t="s">
        <v>72</v>
      </c>
      <c r="H28" s="379" t="s">
        <v>47</v>
      </c>
      <c r="I28" s="796">
        <v>4.4759199666666305E-2</v>
      </c>
      <c r="J28" s="796">
        <v>4.594824771428585E-2</v>
      </c>
      <c r="K28" s="793" t="s">
        <v>27</v>
      </c>
      <c r="L28" s="794" t="s">
        <v>237</v>
      </c>
      <c r="M28" s="794" t="s">
        <v>424</v>
      </c>
      <c r="N28" s="513">
        <f t="shared" si="3"/>
        <v>1.1890480476195453E-3</v>
      </c>
    </row>
    <row r="29" spans="2:14" s="66" customFormat="1" x14ac:dyDescent="0.35">
      <c r="B29" s="379" t="s">
        <v>2</v>
      </c>
      <c r="C29" s="379" t="str">
        <f t="shared" si="2"/>
        <v>All</v>
      </c>
      <c r="D29" s="379"/>
      <c r="E29" s="379" t="s">
        <v>285</v>
      </c>
      <c r="F29" s="379" t="s">
        <v>15</v>
      </c>
      <c r="G29" s="379" t="s">
        <v>72</v>
      </c>
      <c r="H29" s="379" t="s">
        <v>47</v>
      </c>
      <c r="I29" s="796">
        <v>4.4759199666666305E-2</v>
      </c>
      <c r="J29" s="796">
        <v>4.594824771428585E-2</v>
      </c>
      <c r="K29" s="793" t="s">
        <v>27</v>
      </c>
      <c r="L29" s="794" t="s">
        <v>237</v>
      </c>
      <c r="M29" s="794" t="s">
        <v>424</v>
      </c>
      <c r="N29" s="513">
        <f t="shared" si="3"/>
        <v>1.1890480476195453E-3</v>
      </c>
    </row>
    <row r="30" spans="2:14" s="66" customFormat="1" x14ac:dyDescent="0.35">
      <c r="B30" s="379" t="s">
        <v>2</v>
      </c>
      <c r="C30" s="379" t="str">
        <f t="shared" si="2"/>
        <v>Small business Flat rate</v>
      </c>
      <c r="D30" s="379" t="s">
        <v>13</v>
      </c>
      <c r="E30" s="379" t="s">
        <v>19</v>
      </c>
      <c r="F30" s="379" t="s">
        <v>19</v>
      </c>
      <c r="G30" s="379" t="s">
        <v>72</v>
      </c>
      <c r="H30" s="379" t="s">
        <v>47</v>
      </c>
      <c r="I30" s="796">
        <v>4.4759199666666305E-2</v>
      </c>
      <c r="J30" s="796">
        <v>4.594824771428585E-2</v>
      </c>
      <c r="K30" s="793" t="s">
        <v>27</v>
      </c>
      <c r="L30" s="794" t="s">
        <v>237</v>
      </c>
      <c r="M30" s="794" t="s">
        <v>424</v>
      </c>
      <c r="N30" s="513">
        <f t="shared" si="3"/>
        <v>1.1890480476195453E-3</v>
      </c>
    </row>
    <row r="31" spans="2:14" s="66" customFormat="1" x14ac:dyDescent="0.35">
      <c r="B31" s="379" t="s">
        <v>2</v>
      </c>
      <c r="C31" s="379" t="str">
        <f t="shared" si="2"/>
        <v>Small business time of use</v>
      </c>
      <c r="D31" s="379" t="s">
        <v>13</v>
      </c>
      <c r="E31" s="379" t="s">
        <v>272</v>
      </c>
      <c r="F31" s="379" t="s">
        <v>272</v>
      </c>
      <c r="G31" s="379" t="s">
        <v>72</v>
      </c>
      <c r="H31" s="379" t="s">
        <v>47</v>
      </c>
      <c r="I31" s="796"/>
      <c r="J31" s="796">
        <v>4.594824771428585E-2</v>
      </c>
      <c r="K31" s="793" t="s">
        <v>27</v>
      </c>
      <c r="L31" s="794" t="s">
        <v>304</v>
      </c>
      <c r="M31" s="794" t="s">
        <v>424</v>
      </c>
      <c r="N31" s="513">
        <f t="shared" si="3"/>
        <v>4.594824771428585E-2</v>
      </c>
    </row>
    <row r="32" spans="2:14" s="66" customFormat="1" x14ac:dyDescent="0.35">
      <c r="B32" s="379" t="s">
        <v>2</v>
      </c>
      <c r="C32" s="379" t="str">
        <f t="shared" si="2"/>
        <v xml:space="preserve">Residential </v>
      </c>
      <c r="D32" s="379" t="s">
        <v>6</v>
      </c>
      <c r="E32" s="379"/>
      <c r="F32" s="379"/>
      <c r="G32" s="379" t="s">
        <v>220</v>
      </c>
      <c r="H32" s="379" t="s">
        <v>46</v>
      </c>
      <c r="I32" s="792">
        <v>186.09139457871049</v>
      </c>
      <c r="J32" s="792">
        <v>165.62820907481881</v>
      </c>
      <c r="K32" s="793" t="s">
        <v>68</v>
      </c>
      <c r="L32" s="799" t="s">
        <v>219</v>
      </c>
      <c r="M32" s="800" t="s">
        <v>381</v>
      </c>
      <c r="N32" s="513">
        <f t="shared" si="3"/>
        <v>-0.10996309394218884</v>
      </c>
    </row>
    <row r="33" spans="2:14" s="66" customFormat="1" x14ac:dyDescent="0.35">
      <c r="B33" s="379" t="s">
        <v>2</v>
      </c>
      <c r="C33" s="379" t="str">
        <f t="shared" si="2"/>
        <v xml:space="preserve">Residential </v>
      </c>
      <c r="D33" s="379" t="s">
        <v>6</v>
      </c>
      <c r="E33" s="379"/>
      <c r="F33" s="379"/>
      <c r="G33" s="379" t="s">
        <v>220</v>
      </c>
      <c r="H33" s="379" t="s">
        <v>46</v>
      </c>
      <c r="I33" s="792">
        <v>186.09139457871049</v>
      </c>
      <c r="J33" s="792">
        <v>165.62820907481881</v>
      </c>
      <c r="K33" s="793" t="s">
        <v>68</v>
      </c>
      <c r="L33" s="799" t="s">
        <v>219</v>
      </c>
      <c r="M33" s="800" t="s">
        <v>381</v>
      </c>
      <c r="N33" s="513">
        <f t="shared" si="3"/>
        <v>-0.10996309394218884</v>
      </c>
    </row>
    <row r="34" spans="2:14" s="66" customFormat="1" x14ac:dyDescent="0.35">
      <c r="B34" s="379" t="s">
        <v>2</v>
      </c>
      <c r="C34" s="379" t="str">
        <f t="shared" si="2"/>
        <v xml:space="preserve">Small business </v>
      </c>
      <c r="D34" s="379" t="s">
        <v>13</v>
      </c>
      <c r="E34" s="379"/>
      <c r="F34" s="379"/>
      <c r="G34" s="379" t="s">
        <v>220</v>
      </c>
      <c r="H34" s="379" t="s">
        <v>46</v>
      </c>
      <c r="I34" s="792">
        <v>252.45618972980961</v>
      </c>
      <c r="J34" s="792">
        <v>215.20789867122156</v>
      </c>
      <c r="K34" s="793" t="s">
        <v>68</v>
      </c>
      <c r="L34" s="799" t="s">
        <v>219</v>
      </c>
      <c r="M34" s="800" t="s">
        <v>381</v>
      </c>
      <c r="N34" s="513">
        <f t="shared" si="3"/>
        <v>-0.14754358409058188</v>
      </c>
    </row>
    <row r="35" spans="2:14" s="66" customFormat="1" x14ac:dyDescent="0.35">
      <c r="B35" s="379" t="s">
        <v>2</v>
      </c>
      <c r="C35" s="379" t="str">
        <f t="shared" si="2"/>
        <v xml:space="preserve">Residential </v>
      </c>
      <c r="D35" s="379" t="s">
        <v>6</v>
      </c>
      <c r="E35" s="379"/>
      <c r="F35" s="379"/>
      <c r="G35" s="379" t="s">
        <v>222</v>
      </c>
      <c r="H35" s="379" t="s">
        <v>46</v>
      </c>
      <c r="I35" s="792">
        <v>45.577390441413243</v>
      </c>
      <c r="J35" s="792">
        <v>56.180728120492574</v>
      </c>
      <c r="K35" s="793" t="s">
        <v>68</v>
      </c>
      <c r="L35" s="794" t="s">
        <v>223</v>
      </c>
      <c r="M35" s="794" t="s">
        <v>452</v>
      </c>
      <c r="N35" s="513">
        <f t="shared" si="3"/>
        <v>0.23264468580554709</v>
      </c>
    </row>
    <row r="36" spans="2:14" s="66" customFormat="1" x14ac:dyDescent="0.35">
      <c r="B36" s="379" t="s">
        <v>2</v>
      </c>
      <c r="C36" s="379" t="str">
        <f t="shared" si="2"/>
        <v xml:space="preserve">Residential </v>
      </c>
      <c r="D36" s="379" t="s">
        <v>6</v>
      </c>
      <c r="E36" s="379"/>
      <c r="F36" s="379"/>
      <c r="G36" s="379" t="s">
        <v>222</v>
      </c>
      <c r="H36" s="379" t="s">
        <v>46</v>
      </c>
      <c r="I36" s="792">
        <v>45.577390441413243</v>
      </c>
      <c r="J36" s="792">
        <v>56.180728120492574</v>
      </c>
      <c r="K36" s="793" t="s">
        <v>68</v>
      </c>
      <c r="L36" s="794" t="s">
        <v>223</v>
      </c>
      <c r="M36" s="794" t="s">
        <v>452</v>
      </c>
      <c r="N36" s="513">
        <f t="shared" si="3"/>
        <v>0.23264468580554709</v>
      </c>
    </row>
    <row r="37" spans="2:14" s="66" customFormat="1" x14ac:dyDescent="0.35">
      <c r="B37" s="379" t="s">
        <v>2</v>
      </c>
      <c r="C37" s="379" t="str">
        <f t="shared" si="2"/>
        <v xml:space="preserve">Small business </v>
      </c>
      <c r="D37" s="379" t="s">
        <v>13</v>
      </c>
      <c r="E37" s="379"/>
      <c r="F37" s="379"/>
      <c r="G37" s="379" t="s">
        <v>222</v>
      </c>
      <c r="H37" s="379" t="s">
        <v>46</v>
      </c>
      <c r="I37" s="792">
        <v>28.10061422123151</v>
      </c>
      <c r="J37" s="792">
        <v>43.848877891572798</v>
      </c>
      <c r="K37" s="793" t="s">
        <v>68</v>
      </c>
      <c r="L37" s="794" t="s">
        <v>223</v>
      </c>
      <c r="M37" s="794" t="s">
        <v>452</v>
      </c>
      <c r="N37" s="513">
        <f t="shared" si="3"/>
        <v>0.56042417956980595</v>
      </c>
    </row>
    <row r="38" spans="2:14" s="66" customFormat="1" x14ac:dyDescent="0.35">
      <c r="B38" s="379" t="s">
        <v>2</v>
      </c>
      <c r="C38" s="379" t="str">
        <f t="shared" si="2"/>
        <v xml:space="preserve">Residential </v>
      </c>
      <c r="D38" s="379" t="s">
        <v>6</v>
      </c>
      <c r="E38" s="379"/>
      <c r="F38" s="379"/>
      <c r="G38" s="379" t="s">
        <v>190</v>
      </c>
      <c r="H38" s="379" t="s">
        <v>46</v>
      </c>
      <c r="I38" s="792">
        <v>1.6463360479383711</v>
      </c>
      <c r="J38" s="792">
        <v>0.99436313742889981</v>
      </c>
      <c r="K38" s="793" t="s">
        <v>68</v>
      </c>
      <c r="L38" s="794" t="s">
        <v>223</v>
      </c>
      <c r="M38" s="794" t="s">
        <v>452</v>
      </c>
      <c r="N38" s="513">
        <f t="shared" si="3"/>
        <v>-0.39601447792260036</v>
      </c>
    </row>
    <row r="39" spans="2:14" s="66" customFormat="1" x14ac:dyDescent="0.35">
      <c r="B39" s="379" t="s">
        <v>2</v>
      </c>
      <c r="C39" s="379" t="str">
        <f t="shared" si="2"/>
        <v xml:space="preserve">Small business </v>
      </c>
      <c r="D39" s="379" t="s">
        <v>13</v>
      </c>
      <c r="E39" s="379"/>
      <c r="F39" s="379"/>
      <c r="G39" s="379" t="s">
        <v>190</v>
      </c>
      <c r="H39" s="379" t="s">
        <v>46</v>
      </c>
      <c r="I39" s="792">
        <v>1.944522213723721</v>
      </c>
      <c r="J39" s="792">
        <v>1.907125805778999</v>
      </c>
      <c r="K39" s="793" t="s">
        <v>68</v>
      </c>
      <c r="L39" s="794" t="s">
        <v>223</v>
      </c>
      <c r="M39" s="794" t="s">
        <v>452</v>
      </c>
      <c r="N39" s="513">
        <f t="shared" si="3"/>
        <v>-1.9231669188858769E-2</v>
      </c>
    </row>
    <row r="40" spans="2:14" s="66" customFormat="1" x14ac:dyDescent="0.35">
      <c r="B40" s="379" t="s">
        <v>2</v>
      </c>
      <c r="C40" s="379" t="str">
        <f t="shared" si="2"/>
        <v xml:space="preserve">Residential </v>
      </c>
      <c r="D40" s="379" t="s">
        <v>6</v>
      </c>
      <c r="E40" s="379"/>
      <c r="F40" s="379"/>
      <c r="G40" s="379" t="s">
        <v>158</v>
      </c>
      <c r="H40" s="379" t="s">
        <v>46</v>
      </c>
      <c r="I40" s="792">
        <v>35.525753173047072</v>
      </c>
      <c r="J40" s="792">
        <v>36.036602421289579</v>
      </c>
      <c r="K40" s="793" t="s">
        <v>68</v>
      </c>
      <c r="L40" s="794" t="s">
        <v>219</v>
      </c>
      <c r="M40" s="800" t="s">
        <v>381</v>
      </c>
      <c r="N40" s="513">
        <f t="shared" si="3"/>
        <v>1.4379688046419314E-2</v>
      </c>
    </row>
    <row r="41" spans="2:14" s="66" customFormat="1" x14ac:dyDescent="0.35">
      <c r="B41" s="379" t="s">
        <v>2</v>
      </c>
      <c r="C41" s="379" t="str">
        <f t="shared" si="2"/>
        <v xml:space="preserve">Small business </v>
      </c>
      <c r="D41" s="379" t="s">
        <v>13</v>
      </c>
      <c r="E41" s="379"/>
      <c r="F41" s="379"/>
      <c r="G41" s="379" t="s">
        <v>158</v>
      </c>
      <c r="H41" s="379" t="s">
        <v>46</v>
      </c>
      <c r="I41" s="792">
        <v>80.485123659685812</v>
      </c>
      <c r="J41" s="792">
        <v>72.800552209229352</v>
      </c>
      <c r="K41" s="793" t="s">
        <v>68</v>
      </c>
      <c r="L41" s="794" t="s">
        <v>219</v>
      </c>
      <c r="M41" s="800" t="s">
        <v>381</v>
      </c>
      <c r="N41" s="513">
        <f t="shared" si="3"/>
        <v>-9.5478159205532598E-2</v>
      </c>
    </row>
    <row r="42" spans="2:14" s="66" customFormat="1" x14ac:dyDescent="0.35">
      <c r="B42" s="379" t="s">
        <v>4</v>
      </c>
      <c r="C42" s="379" t="str">
        <f t="shared" si="2"/>
        <v>Residential Flat rate</v>
      </c>
      <c r="D42" s="379" t="s">
        <v>6</v>
      </c>
      <c r="E42" s="379" t="s">
        <v>19</v>
      </c>
      <c r="F42" s="379" t="s">
        <v>19</v>
      </c>
      <c r="G42" s="379" t="s">
        <v>69</v>
      </c>
      <c r="H42" s="379" t="s">
        <v>47</v>
      </c>
      <c r="I42" s="792">
        <v>167.4675</v>
      </c>
      <c r="J42" s="792">
        <v>144.56</v>
      </c>
      <c r="K42" s="793" t="s">
        <v>44</v>
      </c>
      <c r="L42" s="794" t="s">
        <v>224</v>
      </c>
      <c r="M42" s="798" t="s">
        <v>423</v>
      </c>
      <c r="N42" s="513">
        <f t="shared" si="3"/>
        <v>-0.13678773493364382</v>
      </c>
    </row>
    <row r="43" spans="2:14" s="66" customFormat="1" x14ac:dyDescent="0.35">
      <c r="B43" s="379" t="s">
        <v>4</v>
      </c>
      <c r="C43" s="379" t="str">
        <f t="shared" si="2"/>
        <v>All</v>
      </c>
      <c r="D43" s="379"/>
      <c r="E43" s="379" t="s">
        <v>285</v>
      </c>
      <c r="F43" s="379" t="s">
        <v>14</v>
      </c>
      <c r="G43" s="379" t="s">
        <v>69</v>
      </c>
      <c r="H43" s="379" t="s">
        <v>47</v>
      </c>
      <c r="I43" s="792">
        <v>118.46</v>
      </c>
      <c r="J43" s="792">
        <v>105.55</v>
      </c>
      <c r="K43" s="793" t="s">
        <v>44</v>
      </c>
      <c r="L43" s="794" t="s">
        <v>224</v>
      </c>
      <c r="M43" s="798" t="s">
        <v>423</v>
      </c>
      <c r="N43" s="513">
        <f t="shared" si="3"/>
        <v>-0.10898193483032248</v>
      </c>
    </row>
    <row r="44" spans="2:14" s="66" customFormat="1" x14ac:dyDescent="0.35">
      <c r="B44" s="379" t="s">
        <v>4</v>
      </c>
      <c r="C44" s="379" t="str">
        <f t="shared" si="2"/>
        <v>All</v>
      </c>
      <c r="D44" s="379"/>
      <c r="E44" s="379" t="s">
        <v>285</v>
      </c>
      <c r="F44" s="379" t="s">
        <v>15</v>
      </c>
      <c r="G44" s="379" t="s">
        <v>69</v>
      </c>
      <c r="H44" s="379" t="s">
        <v>47</v>
      </c>
      <c r="I44" s="792">
        <v>118.46</v>
      </c>
      <c r="J44" s="792">
        <v>93.2</v>
      </c>
      <c r="K44" s="793" t="s">
        <v>44</v>
      </c>
      <c r="L44" s="794" t="s">
        <v>224</v>
      </c>
      <c r="M44" s="798" t="s">
        <v>423</v>
      </c>
      <c r="N44" s="513">
        <f t="shared" si="3"/>
        <v>-0.21323653553942257</v>
      </c>
    </row>
    <row r="45" spans="2:14" s="66" customFormat="1" x14ac:dyDescent="0.35">
      <c r="B45" s="379" t="s">
        <v>4</v>
      </c>
      <c r="C45" s="379" t="str">
        <f t="shared" si="2"/>
        <v>Small business Flat rate</v>
      </c>
      <c r="D45" s="379" t="s">
        <v>13</v>
      </c>
      <c r="E45" s="379" t="s">
        <v>19</v>
      </c>
      <c r="F45" s="379" t="s">
        <v>19</v>
      </c>
      <c r="G45" s="379" t="s">
        <v>69</v>
      </c>
      <c r="H45" s="379" t="s">
        <v>47</v>
      </c>
      <c r="I45" s="792">
        <v>167.4675</v>
      </c>
      <c r="J45" s="792">
        <v>144.56</v>
      </c>
      <c r="K45" s="793" t="s">
        <v>44</v>
      </c>
      <c r="L45" s="794" t="s">
        <v>224</v>
      </c>
      <c r="M45" s="798" t="s">
        <v>423</v>
      </c>
      <c r="N45" s="513">
        <f t="shared" si="3"/>
        <v>-0.13678773493364382</v>
      </c>
    </row>
    <row r="46" spans="2:14" s="66" customFormat="1" x14ac:dyDescent="0.35">
      <c r="B46" s="379" t="s">
        <v>4</v>
      </c>
      <c r="C46" s="379" t="str">
        <f t="shared" si="2"/>
        <v>All</v>
      </c>
      <c r="D46" s="379"/>
      <c r="E46" s="379"/>
      <c r="F46" s="379"/>
      <c r="G46" s="379" t="s">
        <v>70</v>
      </c>
      <c r="H46" s="379" t="s">
        <v>47</v>
      </c>
      <c r="I46" s="792">
        <v>0.15378802592718904</v>
      </c>
      <c r="J46" s="792">
        <v>0.12361238575222523</v>
      </c>
      <c r="K46" s="793" t="s">
        <v>44</v>
      </c>
      <c r="L46" s="794" t="s">
        <v>231</v>
      </c>
      <c r="M46" s="798" t="s">
        <v>426</v>
      </c>
      <c r="N46" s="513">
        <f t="shared" si="3"/>
        <v>-0.19621579764116659</v>
      </c>
    </row>
    <row r="47" spans="2:14" s="66" customFormat="1" x14ac:dyDescent="0.35">
      <c r="B47" s="379" t="s">
        <v>4</v>
      </c>
      <c r="C47" s="379" t="str">
        <f t="shared" si="2"/>
        <v>All</v>
      </c>
      <c r="D47" s="379"/>
      <c r="E47" s="379"/>
      <c r="F47" s="379"/>
      <c r="G47" s="379" t="s">
        <v>77</v>
      </c>
      <c r="H47" s="379" t="s">
        <v>47</v>
      </c>
      <c r="I47" s="792">
        <v>0.57443</v>
      </c>
      <c r="J47" s="792">
        <v>0.51939999999999997</v>
      </c>
      <c r="K47" s="793" t="s">
        <v>44</v>
      </c>
      <c r="L47" s="794" t="s">
        <v>232</v>
      </c>
      <c r="M47" s="798" t="s">
        <v>426</v>
      </c>
      <c r="N47" s="513">
        <f t="shared" si="3"/>
        <v>-9.5799314102675726E-2</v>
      </c>
    </row>
    <row r="48" spans="2:14" s="66" customFormat="1" x14ac:dyDescent="0.35">
      <c r="B48" s="379" t="str">
        <f>+B47</f>
        <v>Endeavour</v>
      </c>
      <c r="C48" s="379" t="str">
        <f t="shared" ref="C48:C79" si="4">IF(D48="","All",D48&amp;" "&amp;E48)</f>
        <v>All</v>
      </c>
      <c r="D48" s="379"/>
      <c r="E48" s="379"/>
      <c r="F48" s="379"/>
      <c r="G48" s="379" t="s">
        <v>77</v>
      </c>
      <c r="H48" s="379" t="s">
        <v>46</v>
      </c>
      <c r="I48" s="792">
        <v>0.26533344915475288</v>
      </c>
      <c r="J48" s="792">
        <v>0.25172</v>
      </c>
      <c r="K48" s="793" t="s">
        <v>45</v>
      </c>
      <c r="L48" s="794" t="s">
        <v>232</v>
      </c>
      <c r="M48" s="798" t="s">
        <v>426</v>
      </c>
      <c r="N48" s="513">
        <f t="shared" ref="N48:N79" si="5">IFERROR(IF(K48="%",J48-I48,J48/I48-1),"")</f>
        <v>-5.1306946780060758E-2</v>
      </c>
    </row>
    <row r="49" spans="2:14" s="66" customFormat="1" x14ac:dyDescent="0.35">
      <c r="B49" s="379" t="s">
        <v>4</v>
      </c>
      <c r="C49" s="379" t="str">
        <f t="shared" si="4"/>
        <v>All</v>
      </c>
      <c r="D49" s="379"/>
      <c r="E49" s="379"/>
      <c r="F49" s="379"/>
      <c r="G49" s="379" t="s">
        <v>71</v>
      </c>
      <c r="H49" s="379" t="s">
        <v>47</v>
      </c>
      <c r="I49" s="792">
        <v>5.2786233739509421E-2</v>
      </c>
      <c r="J49" s="792">
        <v>0.12737410774067126</v>
      </c>
      <c r="K49" s="793" t="s">
        <v>44</v>
      </c>
      <c r="L49" s="794" t="s">
        <v>238</v>
      </c>
      <c r="M49" s="798" t="s">
        <v>426</v>
      </c>
      <c r="N49" s="513">
        <f t="shared" si="5"/>
        <v>1.413017537285187</v>
      </c>
    </row>
    <row r="50" spans="2:14" s="66" customFormat="1" x14ac:dyDescent="0.35">
      <c r="B50" s="379" t="s">
        <v>4</v>
      </c>
      <c r="C50" s="379" t="str">
        <f t="shared" si="4"/>
        <v>All</v>
      </c>
      <c r="D50" s="379"/>
      <c r="E50" s="379"/>
      <c r="F50" s="379"/>
      <c r="G50" s="379" t="s">
        <v>173</v>
      </c>
      <c r="H50" s="379" t="s">
        <v>47</v>
      </c>
      <c r="I50" s="792">
        <v>0.11507709849820914</v>
      </c>
      <c r="J50" s="792">
        <v>0</v>
      </c>
      <c r="K50" s="793" t="s">
        <v>44</v>
      </c>
      <c r="L50" s="794" t="s">
        <v>238</v>
      </c>
      <c r="M50" s="798" t="s">
        <v>426</v>
      </c>
      <c r="N50" s="513">
        <f t="shared" si="5"/>
        <v>-1</v>
      </c>
    </row>
    <row r="51" spans="2:14" s="66" customFormat="1" x14ac:dyDescent="0.35">
      <c r="B51" s="379" t="s">
        <v>4</v>
      </c>
      <c r="C51" s="379" t="str">
        <f t="shared" si="4"/>
        <v>All</v>
      </c>
      <c r="D51" s="379"/>
      <c r="E51" s="379"/>
      <c r="F51" s="379"/>
      <c r="G51" s="379" t="s">
        <v>130</v>
      </c>
      <c r="H51" s="379" t="s">
        <v>47</v>
      </c>
      <c r="I51" s="792">
        <v>3.1348835402205433</v>
      </c>
      <c r="J51" s="792">
        <v>2.9079343410522429</v>
      </c>
      <c r="K51" s="793" t="s">
        <v>44</v>
      </c>
      <c r="L51" s="794" t="s">
        <v>234</v>
      </c>
      <c r="M51" s="798" t="s">
        <v>426</v>
      </c>
      <c r="N51" s="513">
        <f t="shared" si="5"/>
        <v>-7.2394778388588654E-2</v>
      </c>
    </row>
    <row r="52" spans="2:14" s="66" customFormat="1" x14ac:dyDescent="0.35">
      <c r="B52" s="379" t="s">
        <v>4</v>
      </c>
      <c r="C52" s="379" t="str">
        <f t="shared" si="4"/>
        <v>All</v>
      </c>
      <c r="D52" s="379"/>
      <c r="E52" s="379"/>
      <c r="F52" s="379"/>
      <c r="G52" s="379" t="s">
        <v>73</v>
      </c>
      <c r="H52" s="379" t="s">
        <v>47</v>
      </c>
      <c r="I52" s="792">
        <v>6.1170426505850894</v>
      </c>
      <c r="J52" s="792">
        <v>3.1513746555504474</v>
      </c>
      <c r="K52" s="793" t="s">
        <v>44</v>
      </c>
      <c r="L52" s="794" t="s">
        <v>235</v>
      </c>
      <c r="M52" s="794" t="s">
        <v>444</v>
      </c>
      <c r="N52" s="513">
        <f t="shared" si="5"/>
        <v>-0.48482055209325359</v>
      </c>
    </row>
    <row r="53" spans="2:14" s="66" customFormat="1" x14ac:dyDescent="0.35">
      <c r="B53" s="379" t="s">
        <v>4</v>
      </c>
      <c r="C53" s="379" t="str">
        <f t="shared" si="4"/>
        <v>All</v>
      </c>
      <c r="D53" s="379"/>
      <c r="E53" s="379"/>
      <c r="F53" s="379"/>
      <c r="G53" s="379" t="s">
        <v>74</v>
      </c>
      <c r="H53" s="379" t="s">
        <v>47</v>
      </c>
      <c r="I53" s="792">
        <v>5.1359999999999992</v>
      </c>
      <c r="J53" s="792">
        <v>4.484</v>
      </c>
      <c r="K53" s="793" t="s">
        <v>44</v>
      </c>
      <c r="L53" s="794" t="s">
        <v>235</v>
      </c>
      <c r="M53" s="794" t="s">
        <v>445</v>
      </c>
      <c r="N53" s="513">
        <f t="shared" si="5"/>
        <v>-0.12694704049844219</v>
      </c>
    </row>
    <row r="54" spans="2:14" s="66" customFormat="1" x14ac:dyDescent="0.35">
      <c r="B54" s="379" t="s">
        <v>4</v>
      </c>
      <c r="C54" s="379" t="str">
        <f t="shared" si="4"/>
        <v>All</v>
      </c>
      <c r="D54" s="379"/>
      <c r="E54" s="379"/>
      <c r="F54" s="379"/>
      <c r="G54" s="379" t="s">
        <v>75</v>
      </c>
      <c r="H54" s="379" t="s">
        <v>47</v>
      </c>
      <c r="I54" s="792">
        <v>2.1292191637289464</v>
      </c>
      <c r="J54" s="792">
        <v>2.7795905819202815</v>
      </c>
      <c r="K54" s="793" t="s">
        <v>44</v>
      </c>
      <c r="L54" s="794" t="s">
        <v>236</v>
      </c>
      <c r="M54" s="794" t="s">
        <v>446</v>
      </c>
      <c r="N54" s="513">
        <f t="shared" si="5"/>
        <v>0.30545066908580987</v>
      </c>
    </row>
    <row r="55" spans="2:14" s="66" customFormat="1" x14ac:dyDescent="0.35">
      <c r="B55" s="379" t="s">
        <v>4</v>
      </c>
      <c r="C55" s="379" t="str">
        <f t="shared" si="4"/>
        <v>All</v>
      </c>
      <c r="D55" s="379"/>
      <c r="E55" s="379"/>
      <c r="F55" s="379"/>
      <c r="G55" s="379" t="s">
        <v>155</v>
      </c>
      <c r="H55" s="379" t="s">
        <v>47</v>
      </c>
      <c r="I55" s="792">
        <v>1.8634456011480964</v>
      </c>
      <c r="J55" s="792">
        <v>0.18735366719444529</v>
      </c>
      <c r="K55" s="793" t="s">
        <v>44</v>
      </c>
      <c r="L55" s="794" t="s">
        <v>242</v>
      </c>
      <c r="M55" s="794" t="s">
        <v>447</v>
      </c>
      <c r="N55" s="513">
        <f t="shared" si="5"/>
        <v>-0.8994584724775363</v>
      </c>
    </row>
    <row r="56" spans="2:14" s="66" customFormat="1" x14ac:dyDescent="0.35">
      <c r="B56" s="379" t="s">
        <v>4</v>
      </c>
      <c r="C56" s="379" t="str">
        <f t="shared" si="4"/>
        <v>Residential Flat rate</v>
      </c>
      <c r="D56" s="379" t="s">
        <v>6</v>
      </c>
      <c r="E56" s="379" t="s">
        <v>19</v>
      </c>
      <c r="F56" s="379" t="s">
        <v>19</v>
      </c>
      <c r="G56" s="379" t="s">
        <v>72</v>
      </c>
      <c r="H56" s="379" t="s">
        <v>47</v>
      </c>
      <c r="I56" s="796">
        <v>6.3681200000000215E-2</v>
      </c>
      <c r="J56" s="796">
        <v>5.9134477142857245E-2</v>
      </c>
      <c r="K56" s="793" t="s">
        <v>27</v>
      </c>
      <c r="L56" s="794" t="s">
        <v>237</v>
      </c>
      <c r="M56" s="794" t="s">
        <v>424</v>
      </c>
      <c r="N56" s="513">
        <f t="shared" si="5"/>
        <v>-4.5467228571429708E-3</v>
      </c>
    </row>
    <row r="57" spans="2:14" s="66" customFormat="1" x14ac:dyDescent="0.35">
      <c r="B57" s="379" t="s">
        <v>4</v>
      </c>
      <c r="C57" s="379" t="str">
        <f t="shared" si="4"/>
        <v>Residential time of use</v>
      </c>
      <c r="D57" s="379" t="s">
        <v>6</v>
      </c>
      <c r="E57" s="379" t="s">
        <v>272</v>
      </c>
      <c r="F57" s="379" t="s">
        <v>272</v>
      </c>
      <c r="G57" s="379" t="s">
        <v>72</v>
      </c>
      <c r="H57" s="379" t="s">
        <v>47</v>
      </c>
      <c r="I57" s="796"/>
      <c r="J57" s="796">
        <v>5.9134477142857245E-2</v>
      </c>
      <c r="K57" s="793" t="s">
        <v>27</v>
      </c>
      <c r="L57" s="794" t="s">
        <v>304</v>
      </c>
      <c r="M57" s="794" t="s">
        <v>424</v>
      </c>
      <c r="N57" s="513">
        <f t="shared" si="5"/>
        <v>5.9134477142857245E-2</v>
      </c>
    </row>
    <row r="58" spans="2:14" s="66" customFormat="1" x14ac:dyDescent="0.35">
      <c r="B58" s="379" t="s">
        <v>4</v>
      </c>
      <c r="C58" s="379" t="str">
        <f t="shared" si="4"/>
        <v>All</v>
      </c>
      <c r="D58" s="379"/>
      <c r="E58" s="379" t="s">
        <v>285</v>
      </c>
      <c r="F58" s="379" t="s">
        <v>14</v>
      </c>
      <c r="G58" s="379" t="s">
        <v>72</v>
      </c>
      <c r="H58" s="379" t="s">
        <v>47</v>
      </c>
      <c r="I58" s="796">
        <v>6.3681200000000215E-2</v>
      </c>
      <c r="J58" s="796">
        <v>5.9134477142857245E-2</v>
      </c>
      <c r="K58" s="793" t="s">
        <v>27</v>
      </c>
      <c r="L58" s="794" t="s">
        <v>237</v>
      </c>
      <c r="M58" s="794" t="s">
        <v>424</v>
      </c>
      <c r="N58" s="513">
        <f t="shared" si="5"/>
        <v>-4.5467228571429708E-3</v>
      </c>
    </row>
    <row r="59" spans="2:14" s="66" customFormat="1" x14ac:dyDescent="0.35">
      <c r="B59" s="379" t="s">
        <v>4</v>
      </c>
      <c r="C59" s="379" t="str">
        <f t="shared" si="4"/>
        <v>All</v>
      </c>
      <c r="D59" s="379"/>
      <c r="E59" s="379" t="s">
        <v>285</v>
      </c>
      <c r="F59" s="379" t="s">
        <v>15</v>
      </c>
      <c r="G59" s="379" t="s">
        <v>72</v>
      </c>
      <c r="H59" s="379" t="s">
        <v>47</v>
      </c>
      <c r="I59" s="796">
        <v>6.3681200000000215E-2</v>
      </c>
      <c r="J59" s="796">
        <v>5.9134477142857245E-2</v>
      </c>
      <c r="K59" s="793" t="s">
        <v>27</v>
      </c>
      <c r="L59" s="794" t="s">
        <v>237</v>
      </c>
      <c r="M59" s="794" t="s">
        <v>424</v>
      </c>
      <c r="N59" s="513">
        <f t="shared" si="5"/>
        <v>-4.5467228571429708E-3</v>
      </c>
    </row>
    <row r="60" spans="2:14" s="66" customFormat="1" x14ac:dyDescent="0.35">
      <c r="B60" s="379" t="s">
        <v>4</v>
      </c>
      <c r="C60" s="379" t="str">
        <f t="shared" si="4"/>
        <v>Small business Flat rate</v>
      </c>
      <c r="D60" s="379" t="s">
        <v>13</v>
      </c>
      <c r="E60" s="379" t="s">
        <v>19</v>
      </c>
      <c r="F60" s="379" t="s">
        <v>19</v>
      </c>
      <c r="G60" s="379" t="s">
        <v>72</v>
      </c>
      <c r="H60" s="379" t="s">
        <v>47</v>
      </c>
      <c r="I60" s="796">
        <v>6.3681200000000215E-2</v>
      </c>
      <c r="J60" s="796">
        <v>5.9134477142857245E-2</v>
      </c>
      <c r="K60" s="793" t="s">
        <v>27</v>
      </c>
      <c r="L60" s="794" t="s">
        <v>237</v>
      </c>
      <c r="M60" s="794" t="s">
        <v>424</v>
      </c>
      <c r="N60" s="513">
        <f t="shared" si="5"/>
        <v>-4.5467228571429708E-3</v>
      </c>
    </row>
    <row r="61" spans="2:14" s="66" customFormat="1" x14ac:dyDescent="0.35">
      <c r="B61" s="379" t="s">
        <v>4</v>
      </c>
      <c r="C61" s="379" t="str">
        <f t="shared" si="4"/>
        <v xml:space="preserve">Residential </v>
      </c>
      <c r="D61" s="379" t="s">
        <v>6</v>
      </c>
      <c r="E61" s="379"/>
      <c r="F61" s="379"/>
      <c r="G61" s="379" t="s">
        <v>220</v>
      </c>
      <c r="H61" s="379" t="s">
        <v>46</v>
      </c>
      <c r="I61" s="792">
        <v>186.09139457871049</v>
      </c>
      <c r="J61" s="792">
        <v>165.62820907481881</v>
      </c>
      <c r="K61" s="793" t="s">
        <v>68</v>
      </c>
      <c r="L61" s="799" t="s">
        <v>219</v>
      </c>
      <c r="M61" s="800" t="s">
        <v>381</v>
      </c>
      <c r="N61" s="513">
        <f t="shared" si="5"/>
        <v>-0.10996309394218884</v>
      </c>
    </row>
    <row r="62" spans="2:14" s="66" customFormat="1" x14ac:dyDescent="0.35">
      <c r="B62" s="379" t="s">
        <v>4</v>
      </c>
      <c r="C62" s="379" t="str">
        <f t="shared" si="4"/>
        <v xml:space="preserve">Residential </v>
      </c>
      <c r="D62" s="379" t="s">
        <v>6</v>
      </c>
      <c r="E62" s="379"/>
      <c r="F62" s="379"/>
      <c r="G62" s="379" t="s">
        <v>220</v>
      </c>
      <c r="H62" s="379" t="s">
        <v>46</v>
      </c>
      <c r="I62" s="792">
        <v>186.09139457871049</v>
      </c>
      <c r="J62" s="792">
        <v>165.62820907481881</v>
      </c>
      <c r="K62" s="793" t="s">
        <v>68</v>
      </c>
      <c r="L62" s="799" t="s">
        <v>219</v>
      </c>
      <c r="M62" s="800" t="s">
        <v>381</v>
      </c>
      <c r="N62" s="513">
        <f t="shared" si="5"/>
        <v>-0.10996309394218884</v>
      </c>
    </row>
    <row r="63" spans="2:14" s="66" customFormat="1" x14ac:dyDescent="0.35">
      <c r="B63" s="379" t="s">
        <v>4</v>
      </c>
      <c r="C63" s="379" t="str">
        <f t="shared" si="4"/>
        <v xml:space="preserve">Small business </v>
      </c>
      <c r="D63" s="379" t="s">
        <v>13</v>
      </c>
      <c r="E63" s="379"/>
      <c r="F63" s="379"/>
      <c r="G63" s="379" t="s">
        <v>220</v>
      </c>
      <c r="H63" s="379" t="s">
        <v>46</v>
      </c>
      <c r="I63" s="792">
        <v>252.45618972980961</v>
      </c>
      <c r="J63" s="792">
        <v>215.20789867122156</v>
      </c>
      <c r="K63" s="793" t="s">
        <v>68</v>
      </c>
      <c r="L63" s="799" t="s">
        <v>219</v>
      </c>
      <c r="M63" s="800" t="s">
        <v>381</v>
      </c>
      <c r="N63" s="513">
        <f t="shared" si="5"/>
        <v>-0.14754358409058188</v>
      </c>
    </row>
    <row r="64" spans="2:14" s="66" customFormat="1" x14ac:dyDescent="0.35">
      <c r="B64" s="379" t="s">
        <v>4</v>
      </c>
      <c r="C64" s="379" t="str">
        <f t="shared" si="4"/>
        <v xml:space="preserve">Residential </v>
      </c>
      <c r="D64" s="379" t="s">
        <v>6</v>
      </c>
      <c r="E64" s="379"/>
      <c r="F64" s="379"/>
      <c r="G64" s="379" t="s">
        <v>222</v>
      </c>
      <c r="H64" s="379" t="s">
        <v>46</v>
      </c>
      <c r="I64" s="792">
        <v>72.359052830514813</v>
      </c>
      <c r="J64" s="792">
        <v>84.729836528690328</v>
      </c>
      <c r="K64" s="793" t="s">
        <v>68</v>
      </c>
      <c r="L64" s="794" t="s">
        <v>223</v>
      </c>
      <c r="M64" s="794" t="s">
        <v>452</v>
      </c>
      <c r="N64" s="513">
        <f t="shared" si="5"/>
        <v>0.17096386995489499</v>
      </c>
    </row>
    <row r="65" spans="2:15" s="66" customFormat="1" x14ac:dyDescent="0.35">
      <c r="B65" s="379" t="s">
        <v>4</v>
      </c>
      <c r="C65" s="379" t="str">
        <f t="shared" si="4"/>
        <v xml:space="preserve">Residential </v>
      </c>
      <c r="D65" s="379" t="s">
        <v>6</v>
      </c>
      <c r="E65" s="379"/>
      <c r="F65" s="379"/>
      <c r="G65" s="379" t="s">
        <v>222</v>
      </c>
      <c r="H65" s="379" t="s">
        <v>46</v>
      </c>
      <c r="I65" s="792">
        <v>72.359052830514813</v>
      </c>
      <c r="J65" s="792">
        <v>84.729836528690328</v>
      </c>
      <c r="K65" s="793" t="s">
        <v>68</v>
      </c>
      <c r="L65" s="794" t="s">
        <v>223</v>
      </c>
      <c r="M65" s="794" t="s">
        <v>452</v>
      </c>
      <c r="N65" s="513">
        <f t="shared" si="5"/>
        <v>0.17096386995489499</v>
      </c>
    </row>
    <row r="66" spans="2:15" s="66" customFormat="1" x14ac:dyDescent="0.35">
      <c r="B66" s="379" t="s">
        <v>4</v>
      </c>
      <c r="C66" s="379" t="str">
        <f t="shared" si="4"/>
        <v xml:space="preserve">Small business </v>
      </c>
      <c r="D66" s="379" t="s">
        <v>13</v>
      </c>
      <c r="E66" s="379"/>
      <c r="F66" s="379"/>
      <c r="G66" s="379" t="s">
        <v>222</v>
      </c>
      <c r="H66" s="379" t="s">
        <v>46</v>
      </c>
      <c r="I66" s="792">
        <v>52.298151831253932</v>
      </c>
      <c r="J66" s="792">
        <v>72.135378979971065</v>
      </c>
      <c r="K66" s="793" t="s">
        <v>68</v>
      </c>
      <c r="L66" s="794" t="s">
        <v>223</v>
      </c>
      <c r="M66" s="794" t="s">
        <v>452</v>
      </c>
      <c r="N66" s="513">
        <f t="shared" si="5"/>
        <v>0.37931029021301277</v>
      </c>
    </row>
    <row r="67" spans="2:15" s="66" customFormat="1" x14ac:dyDescent="0.35">
      <c r="B67" s="379" t="s">
        <v>4</v>
      </c>
      <c r="C67" s="379" t="str">
        <f t="shared" si="4"/>
        <v xml:space="preserve">Residential </v>
      </c>
      <c r="D67" s="379" t="s">
        <v>6</v>
      </c>
      <c r="E67" s="379"/>
      <c r="F67" s="379"/>
      <c r="G67" s="379" t="s">
        <v>190</v>
      </c>
      <c r="H67" s="379" t="s">
        <v>46</v>
      </c>
      <c r="I67" s="792">
        <v>2.2147765876568317</v>
      </c>
      <c r="J67" s="792">
        <v>0.72815978812055704</v>
      </c>
      <c r="K67" s="793" t="s">
        <v>68</v>
      </c>
      <c r="L67" s="794" t="s">
        <v>223</v>
      </c>
      <c r="M67" s="794" t="s">
        <v>452</v>
      </c>
      <c r="N67" s="513">
        <f t="shared" si="5"/>
        <v>-0.6712265281389268</v>
      </c>
    </row>
    <row r="68" spans="2:15" s="66" customFormat="1" x14ac:dyDescent="0.35">
      <c r="B68" s="379" t="s">
        <v>4</v>
      </c>
      <c r="C68" s="379" t="str">
        <f t="shared" si="4"/>
        <v xml:space="preserve">Small business </v>
      </c>
      <c r="D68" s="379" t="s">
        <v>13</v>
      </c>
      <c r="E68" s="379"/>
      <c r="F68" s="379"/>
      <c r="G68" s="379" t="s">
        <v>190</v>
      </c>
      <c r="H68" s="379" t="s">
        <v>46</v>
      </c>
      <c r="I68" s="792">
        <v>3.7592921594354225</v>
      </c>
      <c r="J68" s="792">
        <v>0.88791611359946643</v>
      </c>
      <c r="K68" s="793" t="s">
        <v>68</v>
      </c>
      <c r="L68" s="794" t="s">
        <v>223</v>
      </c>
      <c r="M68" s="794" t="s">
        <v>452</v>
      </c>
      <c r="N68" s="513">
        <f t="shared" si="5"/>
        <v>-0.76380763294204423</v>
      </c>
    </row>
    <row r="69" spans="2:15" s="66" customFormat="1" x14ac:dyDescent="0.35">
      <c r="B69" s="379" t="s">
        <v>4</v>
      </c>
      <c r="C69" s="379" t="str">
        <f t="shared" si="4"/>
        <v xml:space="preserve">Residential </v>
      </c>
      <c r="D69" s="379" t="s">
        <v>6</v>
      </c>
      <c r="E69" s="379"/>
      <c r="F69" s="379"/>
      <c r="G69" s="379" t="s">
        <v>158</v>
      </c>
      <c r="H69" s="379" t="s">
        <v>46</v>
      </c>
      <c r="I69" s="792">
        <v>35.525753173047072</v>
      </c>
      <c r="J69" s="792">
        <v>36.036602421289579</v>
      </c>
      <c r="K69" s="793" t="s">
        <v>68</v>
      </c>
      <c r="L69" s="794" t="s">
        <v>219</v>
      </c>
      <c r="M69" s="800" t="s">
        <v>381</v>
      </c>
      <c r="N69" s="513">
        <f t="shared" si="5"/>
        <v>1.4379688046419314E-2</v>
      </c>
    </row>
    <row r="70" spans="2:15" s="66" customFormat="1" x14ac:dyDescent="0.35">
      <c r="B70" s="379" t="s">
        <v>4</v>
      </c>
      <c r="C70" s="379" t="str">
        <f t="shared" si="4"/>
        <v xml:space="preserve">Small business </v>
      </c>
      <c r="D70" s="379" t="s">
        <v>13</v>
      </c>
      <c r="E70" s="379"/>
      <c r="F70" s="379"/>
      <c r="G70" s="379" t="s">
        <v>158</v>
      </c>
      <c r="H70" s="379" t="s">
        <v>46</v>
      </c>
      <c r="I70" s="792">
        <v>80.485123659685812</v>
      </c>
      <c r="J70" s="792">
        <v>72.800552209229352</v>
      </c>
      <c r="K70" s="793" t="s">
        <v>68</v>
      </c>
      <c r="L70" s="794" t="s">
        <v>219</v>
      </c>
      <c r="M70" s="800" t="s">
        <v>381</v>
      </c>
      <c r="N70" s="513">
        <f t="shared" si="5"/>
        <v>-9.5478159205532598E-2</v>
      </c>
    </row>
    <row r="71" spans="2:15" s="66" customFormat="1" x14ac:dyDescent="0.35">
      <c r="B71" s="379" t="s">
        <v>3</v>
      </c>
      <c r="C71" s="379" t="str">
        <f t="shared" si="4"/>
        <v>Residential Flat rate</v>
      </c>
      <c r="D71" s="379" t="s">
        <v>6</v>
      </c>
      <c r="E71" s="379" t="s">
        <v>19</v>
      </c>
      <c r="F71" s="379" t="s">
        <v>19</v>
      </c>
      <c r="G71" s="379" t="s">
        <v>69</v>
      </c>
      <c r="H71" s="379" t="s">
        <v>47</v>
      </c>
      <c r="I71" s="792">
        <v>165.17</v>
      </c>
      <c r="J71" s="792">
        <v>139.63999999999999</v>
      </c>
      <c r="K71" s="793" t="s">
        <v>44</v>
      </c>
      <c r="L71" s="794" t="s">
        <v>224</v>
      </c>
      <c r="M71" s="798" t="s">
        <v>423</v>
      </c>
      <c r="N71" s="513">
        <f t="shared" si="5"/>
        <v>-0.1545680208270267</v>
      </c>
      <c r="O71" s="801"/>
    </row>
    <row r="72" spans="2:15" s="66" customFormat="1" x14ac:dyDescent="0.35">
      <c r="B72" s="379" t="s">
        <v>3</v>
      </c>
      <c r="C72" s="379" t="str">
        <f t="shared" si="4"/>
        <v>All</v>
      </c>
      <c r="D72" s="379"/>
      <c r="E72" s="379" t="s">
        <v>285</v>
      </c>
      <c r="F72" s="379" t="s">
        <v>14</v>
      </c>
      <c r="G72" s="379" t="s">
        <v>69</v>
      </c>
      <c r="H72" s="379" t="s">
        <v>47</v>
      </c>
      <c r="I72" s="792">
        <v>115.47</v>
      </c>
      <c r="J72" s="792">
        <v>114.21</v>
      </c>
      <c r="K72" s="793" t="s">
        <v>44</v>
      </c>
      <c r="L72" s="794" t="s">
        <v>224</v>
      </c>
      <c r="M72" s="798" t="s">
        <v>423</v>
      </c>
      <c r="N72" s="513">
        <f t="shared" si="5"/>
        <v>-1.0911925175370318E-2</v>
      </c>
      <c r="O72" s="801"/>
    </row>
    <row r="73" spans="2:15" s="66" customFormat="1" x14ac:dyDescent="0.35">
      <c r="B73" s="379" t="s">
        <v>3</v>
      </c>
      <c r="C73" s="379" t="str">
        <f t="shared" si="4"/>
        <v>All</v>
      </c>
      <c r="D73" s="379"/>
      <c r="E73" s="379" t="s">
        <v>285</v>
      </c>
      <c r="F73" s="379" t="s">
        <v>15</v>
      </c>
      <c r="G73" s="379" t="s">
        <v>69</v>
      </c>
      <c r="H73" s="379" t="s">
        <v>47</v>
      </c>
      <c r="I73" s="792">
        <v>115.47</v>
      </c>
      <c r="J73" s="792">
        <v>114.21</v>
      </c>
      <c r="K73" s="793" t="s">
        <v>44</v>
      </c>
      <c r="L73" s="794" t="s">
        <v>224</v>
      </c>
      <c r="M73" s="798" t="s">
        <v>423</v>
      </c>
      <c r="N73" s="513">
        <f t="shared" si="5"/>
        <v>-1.0911925175370318E-2</v>
      </c>
      <c r="O73" s="801"/>
    </row>
    <row r="74" spans="2:15" s="66" customFormat="1" x14ac:dyDescent="0.35">
      <c r="B74" s="379" t="s">
        <v>3</v>
      </c>
      <c r="C74" s="379" t="str">
        <f t="shared" si="4"/>
        <v>Small business Flat rate</v>
      </c>
      <c r="D74" s="379" t="s">
        <v>13</v>
      </c>
      <c r="E74" s="379" t="s">
        <v>19</v>
      </c>
      <c r="F74" s="379" t="s">
        <v>19</v>
      </c>
      <c r="G74" s="379" t="s">
        <v>69</v>
      </c>
      <c r="H74" s="379" t="s">
        <v>47</v>
      </c>
      <c r="I74" s="792">
        <v>165.17</v>
      </c>
      <c r="J74" s="792">
        <v>139.63999999999999</v>
      </c>
      <c r="K74" s="793" t="s">
        <v>44</v>
      </c>
      <c r="L74" s="794" t="s">
        <v>224</v>
      </c>
      <c r="M74" s="798" t="s">
        <v>423</v>
      </c>
      <c r="N74" s="513">
        <f t="shared" si="5"/>
        <v>-0.1545680208270267</v>
      </c>
      <c r="O74" s="801"/>
    </row>
    <row r="75" spans="2:15" s="66" customFormat="1" x14ac:dyDescent="0.35">
      <c r="B75" s="379" t="s">
        <v>3</v>
      </c>
      <c r="C75" s="379" t="str">
        <f t="shared" si="4"/>
        <v>All</v>
      </c>
      <c r="D75" s="379"/>
      <c r="E75" s="379"/>
      <c r="F75" s="379"/>
      <c r="G75" s="379" t="s">
        <v>70</v>
      </c>
      <c r="H75" s="379" t="s">
        <v>47</v>
      </c>
      <c r="I75" s="792">
        <v>0.15378802592718904</v>
      </c>
      <c r="J75" s="792">
        <v>0.12361238575222523</v>
      </c>
      <c r="K75" s="793" t="s">
        <v>44</v>
      </c>
      <c r="L75" s="794" t="s">
        <v>231</v>
      </c>
      <c r="M75" s="798" t="s">
        <v>427</v>
      </c>
      <c r="N75" s="513">
        <f t="shared" si="5"/>
        <v>-0.19621579764116659</v>
      </c>
      <c r="O75" s="801"/>
    </row>
    <row r="76" spans="2:15" s="66" customFormat="1" x14ac:dyDescent="0.35">
      <c r="B76" s="379" t="s">
        <v>3</v>
      </c>
      <c r="C76" s="379" t="str">
        <f t="shared" si="4"/>
        <v>All</v>
      </c>
      <c r="D76" s="379"/>
      <c r="E76" s="379"/>
      <c r="F76" s="379"/>
      <c r="G76" s="379" t="s">
        <v>77</v>
      </c>
      <c r="H76" s="379" t="s">
        <v>47</v>
      </c>
      <c r="I76" s="792">
        <v>0.57443</v>
      </c>
      <c r="J76" s="792">
        <v>0.51939999999999997</v>
      </c>
      <c r="K76" s="793" t="s">
        <v>44</v>
      </c>
      <c r="L76" s="794" t="s">
        <v>232</v>
      </c>
      <c r="M76" s="798" t="s">
        <v>427</v>
      </c>
      <c r="N76" s="513">
        <f t="shared" si="5"/>
        <v>-9.5799314102675726E-2</v>
      </c>
      <c r="O76" s="801"/>
    </row>
    <row r="77" spans="2:15" s="66" customFormat="1" x14ac:dyDescent="0.35">
      <c r="B77" s="379" t="str">
        <f>+B76</f>
        <v>Essential</v>
      </c>
      <c r="C77" s="379" t="str">
        <f t="shared" si="4"/>
        <v>All</v>
      </c>
      <c r="D77" s="379"/>
      <c r="E77" s="379"/>
      <c r="F77" s="379"/>
      <c r="G77" s="379" t="s">
        <v>77</v>
      </c>
      <c r="H77" s="379" t="s">
        <v>46</v>
      </c>
      <c r="I77" s="792">
        <v>0.26533344915475288</v>
      </c>
      <c r="J77" s="792">
        <v>0.25172</v>
      </c>
      <c r="K77" s="793" t="s">
        <v>45</v>
      </c>
      <c r="L77" s="794" t="s">
        <v>232</v>
      </c>
      <c r="M77" s="798" t="s">
        <v>427</v>
      </c>
      <c r="N77" s="513">
        <f t="shared" si="5"/>
        <v>-5.1306946780060758E-2</v>
      </c>
    </row>
    <row r="78" spans="2:15" s="66" customFormat="1" x14ac:dyDescent="0.35">
      <c r="B78" s="379" t="s">
        <v>3</v>
      </c>
      <c r="C78" s="379" t="str">
        <f t="shared" si="4"/>
        <v>All</v>
      </c>
      <c r="D78" s="379"/>
      <c r="E78" s="379"/>
      <c r="F78" s="379"/>
      <c r="G78" s="379" t="s">
        <v>71</v>
      </c>
      <c r="H78" s="379" t="s">
        <v>47</v>
      </c>
      <c r="I78" s="792">
        <v>5.2786233739509421E-2</v>
      </c>
      <c r="J78" s="792">
        <v>0.12737410774067126</v>
      </c>
      <c r="K78" s="793" t="s">
        <v>44</v>
      </c>
      <c r="L78" s="794" t="s">
        <v>239</v>
      </c>
      <c r="M78" s="798" t="s">
        <v>427</v>
      </c>
      <c r="N78" s="513">
        <f t="shared" si="5"/>
        <v>1.413017537285187</v>
      </c>
      <c r="O78" s="801"/>
    </row>
    <row r="79" spans="2:15" s="66" customFormat="1" x14ac:dyDescent="0.35">
      <c r="B79" s="379" t="s">
        <v>3</v>
      </c>
      <c r="C79" s="379" t="str">
        <f t="shared" si="4"/>
        <v>All</v>
      </c>
      <c r="D79" s="379"/>
      <c r="E79" s="379"/>
      <c r="F79" s="379"/>
      <c r="G79" s="379" t="str">
        <f>+G50</f>
        <v>June 2022 Event Cost</v>
      </c>
      <c r="H79" s="379" t="s">
        <v>47</v>
      </c>
      <c r="I79" s="792">
        <v>0.11507709849820914</v>
      </c>
      <c r="J79" s="792">
        <v>0</v>
      </c>
      <c r="K79" s="793" t="s">
        <v>44</v>
      </c>
      <c r="L79" s="794" t="s">
        <v>239</v>
      </c>
      <c r="M79" s="798" t="s">
        <v>427</v>
      </c>
      <c r="N79" s="513">
        <f t="shared" si="5"/>
        <v>-1</v>
      </c>
      <c r="O79" s="801"/>
    </row>
    <row r="80" spans="2:15" s="66" customFormat="1" x14ac:dyDescent="0.35">
      <c r="B80" s="379" t="s">
        <v>3</v>
      </c>
      <c r="C80" s="379" t="str">
        <f t="shared" ref="C80:C111" si="6">IF(D80="","All",D80&amp;" "&amp;E80)</f>
        <v>All</v>
      </c>
      <c r="D80" s="379"/>
      <c r="E80" s="379"/>
      <c r="F80" s="379"/>
      <c r="G80" s="379" t="s">
        <v>130</v>
      </c>
      <c r="H80" s="379" t="s">
        <v>47</v>
      </c>
      <c r="I80" s="792">
        <v>2.8459749804305119</v>
      </c>
      <c r="J80" s="792">
        <v>2.6204008648102182</v>
      </c>
      <c r="K80" s="793" t="s">
        <v>44</v>
      </c>
      <c r="L80" s="794" t="s">
        <v>234</v>
      </c>
      <c r="M80" s="798" t="s">
        <v>427</v>
      </c>
      <c r="N80" s="513">
        <f t="shared" ref="N80:N111" si="7">IFERROR(IF(K80="%",J80-I80,J80/I80-1),"")</f>
        <v>-7.9260751472302493E-2</v>
      </c>
      <c r="O80" s="801"/>
    </row>
    <row r="81" spans="2:15" s="66" customFormat="1" x14ac:dyDescent="0.35">
      <c r="B81" s="379" t="s">
        <v>3</v>
      </c>
      <c r="C81" s="379" t="str">
        <f t="shared" si="6"/>
        <v>All</v>
      </c>
      <c r="D81" s="379"/>
      <c r="E81" s="379"/>
      <c r="F81" s="379"/>
      <c r="G81" s="379" t="s">
        <v>73</v>
      </c>
      <c r="H81" s="379" t="s">
        <v>47</v>
      </c>
      <c r="I81" s="792">
        <v>6.1170426505850894</v>
      </c>
      <c r="J81" s="792">
        <v>3.1513746555504474</v>
      </c>
      <c r="K81" s="793" t="s">
        <v>44</v>
      </c>
      <c r="L81" s="794" t="s">
        <v>235</v>
      </c>
      <c r="M81" s="794" t="s">
        <v>444</v>
      </c>
      <c r="N81" s="513">
        <f t="shared" si="7"/>
        <v>-0.48482055209325359</v>
      </c>
      <c r="O81" s="801"/>
    </row>
    <row r="82" spans="2:15" s="66" customFormat="1" x14ac:dyDescent="0.35">
      <c r="B82" s="379" t="s">
        <v>3</v>
      </c>
      <c r="C82" s="379" t="str">
        <f t="shared" si="6"/>
        <v>All</v>
      </c>
      <c r="D82" s="379"/>
      <c r="E82" s="379"/>
      <c r="F82" s="379"/>
      <c r="G82" s="379" t="s">
        <v>74</v>
      </c>
      <c r="H82" s="379" t="s">
        <v>47</v>
      </c>
      <c r="I82" s="792">
        <v>5.1359999999999992</v>
      </c>
      <c r="J82" s="792">
        <v>4.484</v>
      </c>
      <c r="K82" s="793" t="s">
        <v>44</v>
      </c>
      <c r="L82" s="794" t="s">
        <v>235</v>
      </c>
      <c r="M82" s="794" t="s">
        <v>445</v>
      </c>
      <c r="N82" s="513">
        <f t="shared" si="7"/>
        <v>-0.12694704049844219</v>
      </c>
      <c r="O82" s="801"/>
    </row>
    <row r="83" spans="2:15" s="66" customFormat="1" x14ac:dyDescent="0.35">
      <c r="B83" s="379" t="s">
        <v>3</v>
      </c>
      <c r="C83" s="379" t="str">
        <f t="shared" si="6"/>
        <v>All</v>
      </c>
      <c r="D83" s="379"/>
      <c r="E83" s="379"/>
      <c r="F83" s="379"/>
      <c r="G83" s="379" t="s">
        <v>75</v>
      </c>
      <c r="H83" s="379" t="s">
        <v>47</v>
      </c>
      <c r="I83" s="792">
        <v>2.1292191637289464</v>
      </c>
      <c r="J83" s="792">
        <v>2.7795905819202815</v>
      </c>
      <c r="K83" s="793" t="s">
        <v>44</v>
      </c>
      <c r="L83" s="794" t="s">
        <v>236</v>
      </c>
      <c r="M83" s="794" t="s">
        <v>446</v>
      </c>
      <c r="N83" s="513">
        <f t="shared" si="7"/>
        <v>0.30545066908580987</v>
      </c>
      <c r="O83" s="801"/>
    </row>
    <row r="84" spans="2:15" s="66" customFormat="1" x14ac:dyDescent="0.35">
      <c r="B84" s="379" t="s">
        <v>3</v>
      </c>
      <c r="C84" s="379" t="str">
        <f t="shared" si="6"/>
        <v>All</v>
      </c>
      <c r="D84" s="379"/>
      <c r="E84" s="379"/>
      <c r="F84" s="379"/>
      <c r="G84" s="379" t="s">
        <v>155</v>
      </c>
      <c r="H84" s="379" t="s">
        <v>47</v>
      </c>
      <c r="I84" s="792">
        <v>1.8634456011480964</v>
      </c>
      <c r="J84" s="792">
        <v>0.18735366719444529</v>
      </c>
      <c r="K84" s="793" t="s">
        <v>44</v>
      </c>
      <c r="L84" s="794" t="s">
        <v>242</v>
      </c>
      <c r="M84" s="794" t="s">
        <v>446</v>
      </c>
      <c r="N84" s="513">
        <f t="shared" si="7"/>
        <v>-0.8994584724775363</v>
      </c>
      <c r="O84" s="801"/>
    </row>
    <row r="85" spans="2:15" s="66" customFormat="1" x14ac:dyDescent="0.35">
      <c r="B85" s="379" t="s">
        <v>4</v>
      </c>
      <c r="C85" s="379" t="str">
        <f t="shared" si="6"/>
        <v>Small business time of use</v>
      </c>
      <c r="D85" s="379" t="s">
        <v>13</v>
      </c>
      <c r="E85" s="379" t="s">
        <v>272</v>
      </c>
      <c r="F85" s="379" t="s">
        <v>272</v>
      </c>
      <c r="G85" s="379" t="s">
        <v>72</v>
      </c>
      <c r="H85" s="379" t="s">
        <v>47</v>
      </c>
      <c r="I85" s="796"/>
      <c r="J85" s="796">
        <v>5.9134477142857245E-2</v>
      </c>
      <c r="K85" s="793" t="s">
        <v>27</v>
      </c>
      <c r="L85" s="794" t="s">
        <v>304</v>
      </c>
      <c r="M85" s="794" t="s">
        <v>424</v>
      </c>
      <c r="N85" s="513">
        <f t="shared" si="7"/>
        <v>5.9134477142857245E-2</v>
      </c>
    </row>
    <row r="86" spans="2:15" s="66" customFormat="1" x14ac:dyDescent="0.35">
      <c r="B86" s="379" t="s">
        <v>3</v>
      </c>
      <c r="C86" s="379" t="str">
        <f t="shared" si="6"/>
        <v>Residential Flat rate</v>
      </c>
      <c r="D86" s="379" t="s">
        <v>6</v>
      </c>
      <c r="E86" s="379" t="s">
        <v>19</v>
      </c>
      <c r="F86" s="379" t="s">
        <v>19</v>
      </c>
      <c r="G86" s="379" t="s">
        <v>72</v>
      </c>
      <c r="H86" s="379" t="s">
        <v>47</v>
      </c>
      <c r="I86" s="796">
        <v>3.9240320921052563E-2</v>
      </c>
      <c r="J86" s="796">
        <v>4.5397224705882255E-2</v>
      </c>
      <c r="K86" s="793" t="s">
        <v>27</v>
      </c>
      <c r="L86" s="794" t="s">
        <v>237</v>
      </c>
      <c r="M86" s="794" t="s">
        <v>424</v>
      </c>
      <c r="N86" s="513">
        <f t="shared" si="7"/>
        <v>6.1569037848296926E-3</v>
      </c>
      <c r="O86" s="801"/>
    </row>
    <row r="87" spans="2:15" s="66" customFormat="1" x14ac:dyDescent="0.35">
      <c r="B87" s="379" t="s">
        <v>3</v>
      </c>
      <c r="C87" s="379" t="str">
        <f t="shared" si="6"/>
        <v>Residential time of use</v>
      </c>
      <c r="D87" s="379" t="s">
        <v>6</v>
      </c>
      <c r="E87" s="379" t="s">
        <v>272</v>
      </c>
      <c r="F87" s="379" t="s">
        <v>272</v>
      </c>
      <c r="G87" s="379" t="s">
        <v>72</v>
      </c>
      <c r="H87" s="379" t="s">
        <v>47</v>
      </c>
      <c r="I87" s="796"/>
      <c r="J87" s="796">
        <v>4.5397224705882255E-2</v>
      </c>
      <c r="K87" s="793" t="s">
        <v>27</v>
      </c>
      <c r="L87" s="794" t="s">
        <v>304</v>
      </c>
      <c r="M87" s="794" t="s">
        <v>424</v>
      </c>
      <c r="N87" s="513">
        <f t="shared" si="7"/>
        <v>4.5397224705882255E-2</v>
      </c>
      <c r="O87" s="801"/>
    </row>
    <row r="88" spans="2:15" s="66" customFormat="1" x14ac:dyDescent="0.35">
      <c r="B88" s="379" t="s">
        <v>3</v>
      </c>
      <c r="C88" s="379" t="str">
        <f t="shared" si="6"/>
        <v>All</v>
      </c>
      <c r="D88" s="379"/>
      <c r="E88" s="379" t="s">
        <v>285</v>
      </c>
      <c r="F88" s="379" t="s">
        <v>14</v>
      </c>
      <c r="G88" s="379" t="s">
        <v>72</v>
      </c>
      <c r="H88" s="379" t="s">
        <v>47</v>
      </c>
      <c r="I88" s="796">
        <v>3.9240320921052563E-2</v>
      </c>
      <c r="J88" s="796">
        <v>4.5397224705882255E-2</v>
      </c>
      <c r="K88" s="793" t="s">
        <v>27</v>
      </c>
      <c r="L88" s="794" t="s">
        <v>237</v>
      </c>
      <c r="M88" s="794" t="s">
        <v>424</v>
      </c>
      <c r="N88" s="513">
        <f t="shared" si="7"/>
        <v>6.1569037848296926E-3</v>
      </c>
      <c r="O88" s="801"/>
    </row>
    <row r="89" spans="2:15" s="66" customFormat="1" x14ac:dyDescent="0.35">
      <c r="B89" s="379" t="s">
        <v>3</v>
      </c>
      <c r="C89" s="379" t="str">
        <f t="shared" si="6"/>
        <v>All</v>
      </c>
      <c r="D89" s="379"/>
      <c r="E89" s="379" t="s">
        <v>285</v>
      </c>
      <c r="F89" s="379" t="s">
        <v>15</v>
      </c>
      <c r="G89" s="379" t="s">
        <v>72</v>
      </c>
      <c r="H89" s="379" t="s">
        <v>47</v>
      </c>
      <c r="I89" s="796">
        <v>3.9240320921052563E-2</v>
      </c>
      <c r="J89" s="796">
        <v>4.5397224705882255E-2</v>
      </c>
      <c r="K89" s="793" t="s">
        <v>27</v>
      </c>
      <c r="L89" s="794" t="s">
        <v>237</v>
      </c>
      <c r="M89" s="794" t="s">
        <v>424</v>
      </c>
      <c r="N89" s="513">
        <f t="shared" si="7"/>
        <v>6.1569037848296926E-3</v>
      </c>
      <c r="O89" s="801"/>
    </row>
    <row r="90" spans="2:15" s="66" customFormat="1" x14ac:dyDescent="0.35">
      <c r="B90" s="379" t="s">
        <v>3</v>
      </c>
      <c r="C90" s="379" t="str">
        <f t="shared" si="6"/>
        <v>Small business time of use</v>
      </c>
      <c r="D90" s="379" t="s">
        <v>13</v>
      </c>
      <c r="E90" s="379" t="s">
        <v>272</v>
      </c>
      <c r="F90" s="379" t="s">
        <v>272</v>
      </c>
      <c r="G90" s="379" t="s">
        <v>72</v>
      </c>
      <c r="H90" s="379" t="s">
        <v>47</v>
      </c>
      <c r="I90" s="796"/>
      <c r="J90" s="796">
        <v>4.5397224705882255E-2</v>
      </c>
      <c r="K90" s="793" t="s">
        <v>27</v>
      </c>
      <c r="L90" s="794" t="s">
        <v>304</v>
      </c>
      <c r="M90" s="794" t="s">
        <v>424</v>
      </c>
      <c r="N90" s="513">
        <f t="shared" si="7"/>
        <v>4.5397224705882255E-2</v>
      </c>
      <c r="O90" s="801"/>
    </row>
    <row r="91" spans="2:15" s="66" customFormat="1" x14ac:dyDescent="0.35">
      <c r="B91" s="379" t="s">
        <v>3</v>
      </c>
      <c r="C91" s="379" t="str">
        <f t="shared" si="6"/>
        <v>Small business Flat rate</v>
      </c>
      <c r="D91" s="379" t="s">
        <v>13</v>
      </c>
      <c r="E91" s="379" t="s">
        <v>19</v>
      </c>
      <c r="F91" s="379" t="s">
        <v>19</v>
      </c>
      <c r="G91" s="379" t="s">
        <v>72</v>
      </c>
      <c r="H91" s="379" t="s">
        <v>47</v>
      </c>
      <c r="I91" s="796">
        <v>3.9240320921052563E-2</v>
      </c>
      <c r="J91" s="796">
        <v>4.5397224705882255E-2</v>
      </c>
      <c r="K91" s="793" t="s">
        <v>27</v>
      </c>
      <c r="L91" s="794" t="s">
        <v>237</v>
      </c>
      <c r="M91" s="794" t="s">
        <v>424</v>
      </c>
      <c r="N91" s="513">
        <f t="shared" si="7"/>
        <v>6.1569037848296926E-3</v>
      </c>
      <c r="O91" s="801"/>
    </row>
    <row r="92" spans="2:15" s="66" customFormat="1" x14ac:dyDescent="0.35">
      <c r="B92" s="379" t="s">
        <v>3</v>
      </c>
      <c r="C92" s="379" t="str">
        <f t="shared" si="6"/>
        <v xml:space="preserve">Residential </v>
      </c>
      <c r="D92" s="379" t="s">
        <v>6</v>
      </c>
      <c r="E92" s="379"/>
      <c r="F92" s="379"/>
      <c r="G92" s="379" t="s">
        <v>220</v>
      </c>
      <c r="H92" s="379" t="s">
        <v>46</v>
      </c>
      <c r="I92" s="792">
        <v>186.09139457871049</v>
      </c>
      <c r="J92" s="792">
        <v>165.62820907481881</v>
      </c>
      <c r="K92" s="793" t="s">
        <v>68</v>
      </c>
      <c r="L92" s="799" t="s">
        <v>219</v>
      </c>
      <c r="M92" s="800" t="s">
        <v>381</v>
      </c>
      <c r="N92" s="513">
        <f t="shared" si="7"/>
        <v>-0.10996309394218884</v>
      </c>
    </row>
    <row r="93" spans="2:15" s="66" customFormat="1" x14ac:dyDescent="0.35">
      <c r="B93" s="379" t="s">
        <v>3</v>
      </c>
      <c r="C93" s="379" t="str">
        <f t="shared" si="6"/>
        <v xml:space="preserve">Residential </v>
      </c>
      <c r="D93" s="379" t="s">
        <v>6</v>
      </c>
      <c r="E93" s="379"/>
      <c r="F93" s="379"/>
      <c r="G93" s="379" t="s">
        <v>220</v>
      </c>
      <c r="H93" s="379" t="s">
        <v>46</v>
      </c>
      <c r="I93" s="792">
        <v>186.09139457871049</v>
      </c>
      <c r="J93" s="792">
        <v>165.62820907481881</v>
      </c>
      <c r="K93" s="793" t="s">
        <v>68</v>
      </c>
      <c r="L93" s="799" t="s">
        <v>219</v>
      </c>
      <c r="M93" s="800" t="s">
        <v>381</v>
      </c>
      <c r="N93" s="513">
        <f t="shared" si="7"/>
        <v>-0.10996309394218884</v>
      </c>
    </row>
    <row r="94" spans="2:15" s="66" customFormat="1" x14ac:dyDescent="0.35">
      <c r="B94" s="379" t="s">
        <v>3</v>
      </c>
      <c r="C94" s="379" t="str">
        <f t="shared" si="6"/>
        <v xml:space="preserve">Small business </v>
      </c>
      <c r="D94" s="379" t="s">
        <v>13</v>
      </c>
      <c r="E94" s="379"/>
      <c r="F94" s="379"/>
      <c r="G94" s="379" t="s">
        <v>220</v>
      </c>
      <c r="H94" s="379" t="s">
        <v>46</v>
      </c>
      <c r="I94" s="792">
        <v>252.45618972980961</v>
      </c>
      <c r="J94" s="792">
        <v>215.20789867122156</v>
      </c>
      <c r="K94" s="793" t="s">
        <v>68</v>
      </c>
      <c r="L94" s="799" t="s">
        <v>219</v>
      </c>
      <c r="M94" s="800" t="s">
        <v>381</v>
      </c>
      <c r="N94" s="513">
        <f t="shared" si="7"/>
        <v>-0.14754358409058188</v>
      </c>
    </row>
    <row r="95" spans="2:15" s="66" customFormat="1" x14ac:dyDescent="0.35">
      <c r="B95" s="379" t="s">
        <v>3</v>
      </c>
      <c r="C95" s="379" t="str">
        <f t="shared" si="6"/>
        <v xml:space="preserve">Residential </v>
      </c>
      <c r="D95" s="379" t="s">
        <v>6</v>
      </c>
      <c r="E95" s="379"/>
      <c r="F95" s="379"/>
      <c r="G95" s="379" t="s">
        <v>222</v>
      </c>
      <c r="H95" s="379" t="s">
        <v>46</v>
      </c>
      <c r="I95" s="792">
        <v>71.343035138405909</v>
      </c>
      <c r="J95" s="792">
        <v>76.627873017650316</v>
      </c>
      <c r="K95" s="793" t="s">
        <v>68</v>
      </c>
      <c r="L95" s="794" t="s">
        <v>223</v>
      </c>
      <c r="M95" s="794" t="s">
        <v>452</v>
      </c>
      <c r="N95" s="513">
        <f t="shared" si="7"/>
        <v>7.4076437440484311E-2</v>
      </c>
    </row>
    <row r="96" spans="2:15" s="66" customFormat="1" x14ac:dyDescent="0.35">
      <c r="B96" s="379" t="s">
        <v>3</v>
      </c>
      <c r="C96" s="379" t="str">
        <f t="shared" si="6"/>
        <v xml:space="preserve">Residential </v>
      </c>
      <c r="D96" s="379" t="s">
        <v>6</v>
      </c>
      <c r="E96" s="379"/>
      <c r="F96" s="379"/>
      <c r="G96" s="379" t="s">
        <v>222</v>
      </c>
      <c r="H96" s="379" t="s">
        <v>46</v>
      </c>
      <c r="I96" s="792">
        <v>71.343035138405909</v>
      </c>
      <c r="J96" s="792">
        <v>76.627873017650316</v>
      </c>
      <c r="K96" s="793" t="s">
        <v>68</v>
      </c>
      <c r="L96" s="794" t="s">
        <v>223</v>
      </c>
      <c r="M96" s="794" t="s">
        <v>452</v>
      </c>
      <c r="N96" s="513">
        <f t="shared" si="7"/>
        <v>7.4076437440484311E-2</v>
      </c>
    </row>
    <row r="97" spans="2:15" s="66" customFormat="1" x14ac:dyDescent="0.35">
      <c r="B97" s="379" t="s">
        <v>3</v>
      </c>
      <c r="C97" s="379" t="str">
        <f t="shared" si="6"/>
        <v xml:space="preserve">Small business </v>
      </c>
      <c r="D97" s="379" t="s">
        <v>13</v>
      </c>
      <c r="E97" s="379"/>
      <c r="F97" s="379"/>
      <c r="G97" s="379" t="s">
        <v>222</v>
      </c>
      <c r="H97" s="379" t="s">
        <v>46</v>
      </c>
      <c r="I97" s="792">
        <v>56.74882841442281</v>
      </c>
      <c r="J97" s="792">
        <v>68.92789557853564</v>
      </c>
      <c r="K97" s="793" t="s">
        <v>68</v>
      </c>
      <c r="L97" s="794" t="s">
        <v>223</v>
      </c>
      <c r="M97" s="794" t="s">
        <v>452</v>
      </c>
      <c r="N97" s="513">
        <f t="shared" si="7"/>
        <v>0.21461354365189855</v>
      </c>
    </row>
    <row r="98" spans="2:15" s="66" customFormat="1" x14ac:dyDescent="0.35">
      <c r="B98" s="379" t="s">
        <v>3</v>
      </c>
      <c r="C98" s="379" t="str">
        <f t="shared" si="6"/>
        <v xml:space="preserve">Residential </v>
      </c>
      <c r="D98" s="379" t="s">
        <v>6</v>
      </c>
      <c r="E98" s="379"/>
      <c r="F98" s="379"/>
      <c r="G98" s="379" t="s">
        <v>190</v>
      </c>
      <c r="H98" s="379" t="s">
        <v>46</v>
      </c>
      <c r="I98" s="792">
        <v>2.7626784475128106</v>
      </c>
      <c r="J98" s="792">
        <v>0.55819791852671019</v>
      </c>
      <c r="K98" s="793" t="s">
        <v>68</v>
      </c>
      <c r="L98" s="794" t="s">
        <v>223</v>
      </c>
      <c r="M98" s="794" t="s">
        <v>452</v>
      </c>
      <c r="N98" s="513">
        <f t="shared" si="7"/>
        <v>-0.79795045672823572</v>
      </c>
    </row>
    <row r="99" spans="2:15" s="66" customFormat="1" x14ac:dyDescent="0.35">
      <c r="B99" s="379" t="s">
        <v>3</v>
      </c>
      <c r="C99" s="379" t="str">
        <f t="shared" si="6"/>
        <v xml:space="preserve">Small business </v>
      </c>
      <c r="D99" s="379" t="s">
        <v>13</v>
      </c>
      <c r="E99" s="379"/>
      <c r="F99" s="379"/>
      <c r="G99" s="379" t="s">
        <v>190</v>
      </c>
      <c r="H99" s="379" t="s">
        <v>46</v>
      </c>
      <c r="I99" s="792">
        <v>4.346539572707119</v>
      </c>
      <c r="J99" s="792">
        <v>0.92351879861447805</v>
      </c>
      <c r="K99" s="793" t="s">
        <v>68</v>
      </c>
      <c r="L99" s="794" t="s">
        <v>223</v>
      </c>
      <c r="M99" s="794" t="s">
        <v>452</v>
      </c>
      <c r="N99" s="513">
        <f t="shared" si="7"/>
        <v>-0.78752780616252605</v>
      </c>
    </row>
    <row r="100" spans="2:15" s="66" customFormat="1" x14ac:dyDescent="0.35">
      <c r="B100" s="379" t="s">
        <v>3</v>
      </c>
      <c r="C100" s="379" t="str">
        <f t="shared" si="6"/>
        <v xml:space="preserve">Residential </v>
      </c>
      <c r="D100" s="379" t="s">
        <v>6</v>
      </c>
      <c r="E100" s="379"/>
      <c r="F100" s="379"/>
      <c r="G100" s="379" t="s">
        <v>158</v>
      </c>
      <c r="H100" s="379" t="s">
        <v>46</v>
      </c>
      <c r="I100" s="792">
        <v>35.525753173047072</v>
      </c>
      <c r="J100" s="792">
        <v>36.036602421289579</v>
      </c>
      <c r="K100" s="793" t="s">
        <v>68</v>
      </c>
      <c r="L100" s="794" t="s">
        <v>219</v>
      </c>
      <c r="M100" s="800" t="s">
        <v>381</v>
      </c>
      <c r="N100" s="513">
        <f t="shared" si="7"/>
        <v>1.4379688046419314E-2</v>
      </c>
    </row>
    <row r="101" spans="2:15" s="66" customFormat="1" x14ac:dyDescent="0.35">
      <c r="B101" s="379" t="str">
        <f>+B100</f>
        <v>Essential</v>
      </c>
      <c r="C101" s="379" t="str">
        <f t="shared" si="6"/>
        <v xml:space="preserve">Small business </v>
      </c>
      <c r="D101" s="379" t="s">
        <v>13</v>
      </c>
      <c r="E101" s="379"/>
      <c r="F101" s="379"/>
      <c r="G101" s="379" t="s">
        <v>158</v>
      </c>
      <c r="H101" s="379" t="s">
        <v>46</v>
      </c>
      <c r="I101" s="792">
        <v>80.485123659685812</v>
      </c>
      <c r="J101" s="792">
        <v>72.800552209229352</v>
      </c>
      <c r="K101" s="793" t="s">
        <v>68</v>
      </c>
      <c r="L101" s="794" t="s">
        <v>219</v>
      </c>
      <c r="M101" s="800" t="s">
        <v>381</v>
      </c>
      <c r="N101" s="513">
        <f t="shared" si="7"/>
        <v>-9.5478159205532598E-2</v>
      </c>
    </row>
    <row r="102" spans="2:15" s="66" customFormat="1" x14ac:dyDescent="0.35">
      <c r="B102" s="379" t="s">
        <v>0</v>
      </c>
      <c r="C102" s="379" t="str">
        <f t="shared" si="6"/>
        <v>Residential Flat rate</v>
      </c>
      <c r="D102" s="379" t="s">
        <v>6</v>
      </c>
      <c r="E102" s="379" t="s">
        <v>19</v>
      </c>
      <c r="F102" s="379" t="s">
        <v>19</v>
      </c>
      <c r="G102" s="379" t="s">
        <v>69</v>
      </c>
      <c r="H102" s="379" t="s">
        <v>47</v>
      </c>
      <c r="I102" s="792">
        <v>150.63</v>
      </c>
      <c r="J102" s="792">
        <v>128.08000000000001</v>
      </c>
      <c r="K102" s="793" t="s">
        <v>44</v>
      </c>
      <c r="L102" s="794" t="s">
        <v>224</v>
      </c>
      <c r="M102" s="798" t="s">
        <v>423</v>
      </c>
      <c r="N102" s="513">
        <f t="shared" si="7"/>
        <v>-0.14970457412202076</v>
      </c>
      <c r="O102" s="801"/>
    </row>
    <row r="103" spans="2:15" s="66" customFormat="1" x14ac:dyDescent="0.35">
      <c r="B103" s="379" t="s">
        <v>0</v>
      </c>
      <c r="C103" s="379" t="str">
        <f t="shared" si="6"/>
        <v>All</v>
      </c>
      <c r="D103" s="379"/>
      <c r="E103" s="379" t="s">
        <v>285</v>
      </c>
      <c r="F103" s="379" t="s">
        <v>14</v>
      </c>
      <c r="G103" s="379" t="s">
        <v>69</v>
      </c>
      <c r="H103" s="379" t="s">
        <v>47</v>
      </c>
      <c r="I103" s="792">
        <v>102.21</v>
      </c>
      <c r="J103" s="792">
        <v>94.86</v>
      </c>
      <c r="K103" s="793" t="s">
        <v>44</v>
      </c>
      <c r="L103" s="794" t="s">
        <v>224</v>
      </c>
      <c r="M103" s="798" t="s">
        <v>423</v>
      </c>
      <c r="N103" s="513">
        <f t="shared" si="7"/>
        <v>-7.1910771940123186E-2</v>
      </c>
      <c r="O103" s="801"/>
    </row>
    <row r="104" spans="2:15" s="66" customFormat="1" x14ac:dyDescent="0.35">
      <c r="B104" s="379" t="s">
        <v>0</v>
      </c>
      <c r="C104" s="379" t="str">
        <f t="shared" si="6"/>
        <v>All</v>
      </c>
      <c r="D104" s="379"/>
      <c r="E104" s="379" t="s">
        <v>285</v>
      </c>
      <c r="F104" s="379" t="s">
        <v>15</v>
      </c>
      <c r="G104" s="379" t="s">
        <v>69</v>
      </c>
      <c r="H104" s="379" t="s">
        <v>47</v>
      </c>
      <c r="I104" s="792">
        <v>108.67250000000001</v>
      </c>
      <c r="J104" s="792">
        <v>97.69</v>
      </c>
      <c r="K104" s="793" t="s">
        <v>44</v>
      </c>
      <c r="L104" s="794" t="s">
        <v>224</v>
      </c>
      <c r="M104" s="798" t="s">
        <v>423</v>
      </c>
      <c r="N104" s="513">
        <f t="shared" si="7"/>
        <v>-0.10106052589201509</v>
      </c>
      <c r="O104" s="801"/>
    </row>
    <row r="105" spans="2:15" s="66" customFormat="1" x14ac:dyDescent="0.35">
      <c r="B105" s="379" t="s">
        <v>0</v>
      </c>
      <c r="C105" s="379" t="str">
        <f t="shared" si="6"/>
        <v>Small business Flat rate</v>
      </c>
      <c r="D105" s="379" t="s">
        <v>13</v>
      </c>
      <c r="E105" s="379" t="s">
        <v>19</v>
      </c>
      <c r="F105" s="379" t="s">
        <v>19</v>
      </c>
      <c r="G105" s="379" t="s">
        <v>69</v>
      </c>
      <c r="H105" s="379" t="s">
        <v>47</v>
      </c>
      <c r="I105" s="792">
        <v>150.63</v>
      </c>
      <c r="J105" s="792">
        <v>128.08000000000001</v>
      </c>
      <c r="K105" s="793" t="s">
        <v>44</v>
      </c>
      <c r="L105" s="794" t="s">
        <v>224</v>
      </c>
      <c r="M105" s="798" t="s">
        <v>423</v>
      </c>
      <c r="N105" s="513">
        <f t="shared" si="7"/>
        <v>-0.14970457412202076</v>
      </c>
      <c r="O105" s="801"/>
    </row>
    <row r="106" spans="2:15" s="66" customFormat="1" x14ac:dyDescent="0.35">
      <c r="B106" s="379" t="s">
        <v>0</v>
      </c>
      <c r="C106" s="379" t="str">
        <f t="shared" si="6"/>
        <v>All</v>
      </c>
      <c r="D106" s="379"/>
      <c r="E106" s="379"/>
      <c r="F106" s="379"/>
      <c r="G106" s="379" t="s">
        <v>70</v>
      </c>
      <c r="H106" s="379" t="s">
        <v>47</v>
      </c>
      <c r="I106" s="792">
        <v>0.73511316732430898</v>
      </c>
      <c r="J106" s="792">
        <v>0.4166360676296052</v>
      </c>
      <c r="K106" s="793" t="s">
        <v>44</v>
      </c>
      <c r="L106" s="794" t="s">
        <v>231</v>
      </c>
      <c r="M106" s="794" t="s">
        <v>429</v>
      </c>
      <c r="N106" s="513">
        <f t="shared" si="7"/>
        <v>-0.43323547155862818</v>
      </c>
      <c r="O106" s="801"/>
    </row>
    <row r="107" spans="2:15" s="66" customFormat="1" x14ac:dyDescent="0.35">
      <c r="B107" s="379" t="s">
        <v>0</v>
      </c>
      <c r="C107" s="379" t="str">
        <f t="shared" si="6"/>
        <v>All</v>
      </c>
      <c r="D107" s="379"/>
      <c r="E107" s="379"/>
      <c r="F107" s="379"/>
      <c r="G107" s="379" t="s">
        <v>77</v>
      </c>
      <c r="H107" s="379" t="s">
        <v>47</v>
      </c>
      <c r="I107" s="792">
        <v>0.57443</v>
      </c>
      <c r="J107" s="792">
        <v>0.51939999999999997</v>
      </c>
      <c r="K107" s="793" t="s">
        <v>44</v>
      </c>
      <c r="L107" s="794" t="s">
        <v>232</v>
      </c>
      <c r="M107" s="794" t="s">
        <v>429</v>
      </c>
      <c r="N107" s="513">
        <f t="shared" si="7"/>
        <v>-9.5799314102675726E-2</v>
      </c>
      <c r="O107" s="801"/>
    </row>
    <row r="108" spans="2:15" s="66" customFormat="1" x14ac:dyDescent="0.35">
      <c r="B108" s="379" t="str">
        <f>+B107</f>
        <v>Energex</v>
      </c>
      <c r="C108" s="379" t="str">
        <f t="shared" si="6"/>
        <v>All</v>
      </c>
      <c r="D108" s="379"/>
      <c r="E108" s="379"/>
      <c r="F108" s="379"/>
      <c r="G108" s="379" t="s">
        <v>77</v>
      </c>
      <c r="H108" s="379" t="s">
        <v>46</v>
      </c>
      <c r="I108" s="792">
        <v>0.26533344915475288</v>
      </c>
      <c r="J108" s="792">
        <v>0.25172</v>
      </c>
      <c r="K108" s="793" t="s">
        <v>45</v>
      </c>
      <c r="L108" s="794" t="s">
        <v>232</v>
      </c>
      <c r="M108" s="794" t="s">
        <v>429</v>
      </c>
      <c r="N108" s="513">
        <f t="shared" si="7"/>
        <v>-5.1306946780060758E-2</v>
      </c>
    </row>
    <row r="109" spans="2:15" s="66" customFormat="1" x14ac:dyDescent="0.35">
      <c r="B109" s="379" t="s">
        <v>0</v>
      </c>
      <c r="C109" s="379" t="str">
        <f t="shared" si="6"/>
        <v>All</v>
      </c>
      <c r="D109" s="379"/>
      <c r="E109" s="379"/>
      <c r="F109" s="379"/>
      <c r="G109" s="379" t="s">
        <v>71</v>
      </c>
      <c r="H109" s="379" t="s">
        <v>47</v>
      </c>
      <c r="I109" s="792">
        <v>0</v>
      </c>
      <c r="J109" s="792">
        <v>0</v>
      </c>
      <c r="K109" s="793" t="s">
        <v>44</v>
      </c>
      <c r="L109" s="794" t="s">
        <v>240</v>
      </c>
      <c r="M109" s="794" t="s">
        <v>429</v>
      </c>
      <c r="N109" s="513" t="str">
        <f t="shared" si="7"/>
        <v/>
      </c>
      <c r="O109" s="801"/>
    </row>
    <row r="110" spans="2:15" s="66" customFormat="1" x14ac:dyDescent="0.35">
      <c r="B110" s="379" t="s">
        <v>0</v>
      </c>
      <c r="C110" s="379" t="str">
        <f t="shared" si="6"/>
        <v>All</v>
      </c>
      <c r="D110" s="379"/>
      <c r="E110" s="379"/>
      <c r="F110" s="379"/>
      <c r="G110" s="379" t="str">
        <f>+G79</f>
        <v>June 2022 Event Cost</v>
      </c>
      <c r="H110" s="379" t="s">
        <v>47</v>
      </c>
      <c r="I110" s="792">
        <v>0</v>
      </c>
      <c r="J110" s="792">
        <v>0</v>
      </c>
      <c r="K110" s="793" t="s">
        <v>44</v>
      </c>
      <c r="L110" s="794" t="s">
        <v>240</v>
      </c>
      <c r="M110" s="794" t="s">
        <v>429</v>
      </c>
      <c r="N110" s="513" t="str">
        <f t="shared" si="7"/>
        <v/>
      </c>
      <c r="O110" s="801"/>
    </row>
    <row r="111" spans="2:15" s="66" customFormat="1" x14ac:dyDescent="0.35">
      <c r="B111" s="379" t="s">
        <v>0</v>
      </c>
      <c r="C111" s="379" t="str">
        <f t="shared" si="6"/>
        <v>All</v>
      </c>
      <c r="D111" s="379"/>
      <c r="E111" s="379"/>
      <c r="F111" s="379"/>
      <c r="G111" s="379" t="s">
        <v>130</v>
      </c>
      <c r="H111" s="379" t="s">
        <v>47</v>
      </c>
      <c r="I111" s="792">
        <v>3.27335932679709</v>
      </c>
      <c r="J111" s="792">
        <v>2.6895924401108067</v>
      </c>
      <c r="K111" s="793" t="s">
        <v>44</v>
      </c>
      <c r="L111" s="794" t="s">
        <v>234</v>
      </c>
      <c r="M111" s="794" t="s">
        <v>429</v>
      </c>
      <c r="N111" s="513">
        <f t="shared" si="7"/>
        <v>-0.17833877323131719</v>
      </c>
      <c r="O111" s="801"/>
    </row>
    <row r="112" spans="2:15" s="66" customFormat="1" x14ac:dyDescent="0.35">
      <c r="B112" s="379" t="s">
        <v>0</v>
      </c>
      <c r="C112" s="379" t="str">
        <f t="shared" ref="C112:C143" si="8">IF(D112="","All",D112&amp;" "&amp;E112)</f>
        <v>All</v>
      </c>
      <c r="D112" s="379"/>
      <c r="E112" s="379"/>
      <c r="F112" s="379"/>
      <c r="G112" s="379" t="s">
        <v>73</v>
      </c>
      <c r="H112" s="379" t="s">
        <v>47</v>
      </c>
      <c r="I112" s="792">
        <v>6.1170426505850894</v>
      </c>
      <c r="J112" s="792">
        <v>3.1513746555504474</v>
      </c>
      <c r="K112" s="793" t="s">
        <v>44</v>
      </c>
      <c r="L112" s="794" t="s">
        <v>235</v>
      </c>
      <c r="M112" s="794" t="s">
        <v>444</v>
      </c>
      <c r="N112" s="513">
        <f t="shared" ref="N112:N143" si="9">IFERROR(IF(K112="%",J112-I112,J112/I112-1),"")</f>
        <v>-0.48482055209325359</v>
      </c>
      <c r="O112" s="801"/>
    </row>
    <row r="113" spans="2:15" s="66" customFormat="1" x14ac:dyDescent="0.35">
      <c r="B113" s="379" t="s">
        <v>0</v>
      </c>
      <c r="C113" s="379" t="str">
        <f t="shared" si="8"/>
        <v>All</v>
      </c>
      <c r="D113" s="379"/>
      <c r="E113" s="379"/>
      <c r="F113" s="379"/>
      <c r="G113" s="379" t="s">
        <v>74</v>
      </c>
      <c r="H113" s="379" t="s">
        <v>47</v>
      </c>
      <c r="I113" s="792">
        <v>5.1359999999999992</v>
      </c>
      <c r="J113" s="792">
        <v>4.484</v>
      </c>
      <c r="K113" s="793" t="s">
        <v>44</v>
      </c>
      <c r="L113" s="794" t="s">
        <v>235</v>
      </c>
      <c r="M113" s="794" t="s">
        <v>445</v>
      </c>
      <c r="N113" s="513">
        <f t="shared" si="9"/>
        <v>-0.12694704049844219</v>
      </c>
      <c r="O113" s="801"/>
    </row>
    <row r="114" spans="2:15" s="66" customFormat="1" x14ac:dyDescent="0.35">
      <c r="B114" s="379" t="s">
        <v>0</v>
      </c>
      <c r="C114" s="379" t="str">
        <f t="shared" si="8"/>
        <v>Residential time of use</v>
      </c>
      <c r="D114" s="379" t="s">
        <v>6</v>
      </c>
      <c r="E114" s="379" t="s">
        <v>272</v>
      </c>
      <c r="F114" s="379" t="s">
        <v>272</v>
      </c>
      <c r="G114" s="379" t="s">
        <v>72</v>
      </c>
      <c r="H114" s="379" t="s">
        <v>47</v>
      </c>
      <c r="I114" s="796"/>
      <c r="J114" s="796">
        <v>5.8322584000000122E-2</v>
      </c>
      <c r="K114" s="793" t="s">
        <v>27</v>
      </c>
      <c r="L114" s="794" t="s">
        <v>304</v>
      </c>
      <c r="M114" s="794" t="s">
        <v>424</v>
      </c>
      <c r="N114" s="513">
        <f t="shared" si="9"/>
        <v>5.8322584000000122E-2</v>
      </c>
      <c r="O114" s="801"/>
    </row>
    <row r="115" spans="2:15" s="66" customFormat="1" x14ac:dyDescent="0.35">
      <c r="B115" s="379" t="s">
        <v>0</v>
      </c>
      <c r="C115" s="379" t="str">
        <f t="shared" si="8"/>
        <v>Residential Flat rate</v>
      </c>
      <c r="D115" s="379" t="s">
        <v>6</v>
      </c>
      <c r="E115" s="379" t="s">
        <v>19</v>
      </c>
      <c r="F115" s="379" t="s">
        <v>19</v>
      </c>
      <c r="G115" s="379" t="s">
        <v>72</v>
      </c>
      <c r="H115" s="379" t="s">
        <v>47</v>
      </c>
      <c r="I115" s="796">
        <v>5.9093767785714402E-2</v>
      </c>
      <c r="J115" s="796">
        <v>5.8322584000000122E-2</v>
      </c>
      <c r="K115" s="793" t="s">
        <v>27</v>
      </c>
      <c r="L115" s="794" t="s">
        <v>237</v>
      </c>
      <c r="M115" s="794" t="s">
        <v>424</v>
      </c>
      <c r="N115" s="513">
        <f t="shared" si="9"/>
        <v>-7.7118378571428003E-4</v>
      </c>
      <c r="O115" s="801"/>
    </row>
    <row r="116" spans="2:15" s="66" customFormat="1" x14ac:dyDescent="0.35">
      <c r="B116" s="379" t="s">
        <v>0</v>
      </c>
      <c r="C116" s="379" t="str">
        <f t="shared" si="8"/>
        <v>All</v>
      </c>
      <c r="D116" s="379"/>
      <c r="E116" s="379" t="s">
        <v>285</v>
      </c>
      <c r="F116" s="379" t="s">
        <v>14</v>
      </c>
      <c r="G116" s="379" t="s">
        <v>72</v>
      </c>
      <c r="H116" s="379" t="s">
        <v>47</v>
      </c>
      <c r="I116" s="796">
        <v>5.9093767785714402E-2</v>
      </c>
      <c r="J116" s="796">
        <v>5.8322584000000122E-2</v>
      </c>
      <c r="K116" s="793" t="s">
        <v>27</v>
      </c>
      <c r="L116" s="794" t="s">
        <v>237</v>
      </c>
      <c r="M116" s="794" t="s">
        <v>424</v>
      </c>
      <c r="N116" s="513">
        <f t="shared" si="9"/>
        <v>-7.7118378571428003E-4</v>
      </c>
      <c r="O116" s="801"/>
    </row>
    <row r="117" spans="2:15" s="66" customFormat="1" x14ac:dyDescent="0.35">
      <c r="B117" s="379" t="s">
        <v>0</v>
      </c>
      <c r="C117" s="379" t="str">
        <f t="shared" si="8"/>
        <v>All</v>
      </c>
      <c r="D117" s="379"/>
      <c r="E117" s="379" t="s">
        <v>285</v>
      </c>
      <c r="F117" s="379" t="s">
        <v>15</v>
      </c>
      <c r="G117" s="379" t="s">
        <v>72</v>
      </c>
      <c r="H117" s="379" t="s">
        <v>47</v>
      </c>
      <c r="I117" s="796">
        <v>5.9093767785714402E-2</v>
      </c>
      <c r="J117" s="796">
        <v>5.8322584000000122E-2</v>
      </c>
      <c r="K117" s="793" t="s">
        <v>27</v>
      </c>
      <c r="L117" s="794" t="s">
        <v>237</v>
      </c>
      <c r="M117" s="794" t="s">
        <v>424</v>
      </c>
      <c r="N117" s="513">
        <f t="shared" si="9"/>
        <v>-7.7118378571428003E-4</v>
      </c>
      <c r="O117" s="801"/>
    </row>
    <row r="118" spans="2:15" s="66" customFormat="1" x14ac:dyDescent="0.35">
      <c r="B118" s="379" t="s">
        <v>0</v>
      </c>
      <c r="C118" s="379" t="str">
        <f t="shared" si="8"/>
        <v>Small business time of use</v>
      </c>
      <c r="D118" s="379" t="s">
        <v>13</v>
      </c>
      <c r="E118" s="379" t="s">
        <v>272</v>
      </c>
      <c r="F118" s="379" t="s">
        <v>272</v>
      </c>
      <c r="G118" s="379" t="s">
        <v>72</v>
      </c>
      <c r="H118" s="379" t="s">
        <v>47</v>
      </c>
      <c r="I118" s="796"/>
      <c r="J118" s="796">
        <v>5.8322584000000122E-2</v>
      </c>
      <c r="K118" s="793" t="s">
        <v>27</v>
      </c>
      <c r="L118" s="794" t="s">
        <v>304</v>
      </c>
      <c r="M118" s="794" t="s">
        <v>424</v>
      </c>
      <c r="N118" s="513">
        <f t="shared" si="9"/>
        <v>5.8322584000000122E-2</v>
      </c>
      <c r="O118" s="801"/>
    </row>
    <row r="119" spans="2:15" s="66" customFormat="1" x14ac:dyDescent="0.35">
      <c r="B119" s="379" t="s">
        <v>0</v>
      </c>
      <c r="C119" s="379" t="str">
        <f t="shared" si="8"/>
        <v>Small business Flat rate</v>
      </c>
      <c r="D119" s="379" t="s">
        <v>13</v>
      </c>
      <c r="E119" s="379" t="s">
        <v>19</v>
      </c>
      <c r="F119" s="379" t="s">
        <v>19</v>
      </c>
      <c r="G119" s="379" t="s">
        <v>72</v>
      </c>
      <c r="H119" s="379" t="s">
        <v>47</v>
      </c>
      <c r="I119" s="796">
        <v>5.9093767785714402E-2</v>
      </c>
      <c r="J119" s="796">
        <v>5.8322584000000122E-2</v>
      </c>
      <c r="K119" s="793" t="s">
        <v>27</v>
      </c>
      <c r="L119" s="794" t="s">
        <v>237</v>
      </c>
      <c r="M119" s="794" t="s">
        <v>424</v>
      </c>
      <c r="N119" s="513">
        <f t="shared" si="9"/>
        <v>-7.7118378571428003E-4</v>
      </c>
      <c r="O119" s="801"/>
    </row>
    <row r="120" spans="2:15" s="66" customFormat="1" x14ac:dyDescent="0.35">
      <c r="B120" s="379" t="s">
        <v>0</v>
      </c>
      <c r="C120" s="379" t="str">
        <f t="shared" si="8"/>
        <v xml:space="preserve">Residential </v>
      </c>
      <c r="D120" s="379" t="s">
        <v>6</v>
      </c>
      <c r="E120" s="379"/>
      <c r="F120" s="379"/>
      <c r="G120" s="379" t="s">
        <v>220</v>
      </c>
      <c r="H120" s="379" t="s">
        <v>46</v>
      </c>
      <c r="I120" s="792">
        <v>181.98637191671125</v>
      </c>
      <c r="J120" s="792">
        <v>147.17444385559909</v>
      </c>
      <c r="K120" s="793" t="s">
        <v>68</v>
      </c>
      <c r="L120" s="799" t="s">
        <v>219</v>
      </c>
      <c r="M120" s="800" t="s">
        <v>381</v>
      </c>
      <c r="N120" s="513">
        <f t="shared" si="9"/>
        <v>-0.19128865361986747</v>
      </c>
      <c r="O120" s="801"/>
    </row>
    <row r="121" spans="2:15" s="66" customFormat="1" x14ac:dyDescent="0.35">
      <c r="B121" s="379" t="s">
        <v>0</v>
      </c>
      <c r="C121" s="379" t="str">
        <f t="shared" si="8"/>
        <v xml:space="preserve">Residential </v>
      </c>
      <c r="D121" s="379" t="s">
        <v>6</v>
      </c>
      <c r="E121" s="379"/>
      <c r="F121" s="379"/>
      <c r="G121" s="379" t="s">
        <v>220</v>
      </c>
      <c r="H121" s="379" t="s">
        <v>46</v>
      </c>
      <c r="I121" s="792">
        <v>181.98637191671125</v>
      </c>
      <c r="J121" s="792">
        <v>147.17444385559909</v>
      </c>
      <c r="K121" s="793" t="s">
        <v>68</v>
      </c>
      <c r="L121" s="799" t="s">
        <v>219</v>
      </c>
      <c r="M121" s="800" t="s">
        <v>381</v>
      </c>
      <c r="N121" s="513">
        <f t="shared" si="9"/>
        <v>-0.19128865361986747</v>
      </c>
      <c r="O121" s="801"/>
    </row>
    <row r="122" spans="2:15" s="66" customFormat="1" x14ac:dyDescent="0.35">
      <c r="B122" s="379" t="s">
        <v>0</v>
      </c>
      <c r="C122" s="379" t="str">
        <f t="shared" si="8"/>
        <v xml:space="preserve">Small business </v>
      </c>
      <c r="D122" s="379" t="s">
        <v>13</v>
      </c>
      <c r="E122" s="379"/>
      <c r="F122" s="379"/>
      <c r="G122" s="379" t="s">
        <v>220</v>
      </c>
      <c r="H122" s="379" t="s">
        <v>46</v>
      </c>
      <c r="I122" s="792">
        <v>193.19039449943125</v>
      </c>
      <c r="J122" s="792">
        <v>184.61509739590616</v>
      </c>
      <c r="K122" s="793" t="s">
        <v>68</v>
      </c>
      <c r="L122" s="799" t="s">
        <v>219</v>
      </c>
      <c r="M122" s="800" t="s">
        <v>381</v>
      </c>
      <c r="N122" s="513">
        <f t="shared" si="9"/>
        <v>-4.438780264279818E-2</v>
      </c>
    </row>
    <row r="123" spans="2:15" s="66" customFormat="1" x14ac:dyDescent="0.35">
      <c r="B123" s="379" t="s">
        <v>0</v>
      </c>
      <c r="C123" s="379" t="str">
        <f t="shared" si="8"/>
        <v xml:space="preserve">Residential </v>
      </c>
      <c r="D123" s="379" t="s">
        <v>6</v>
      </c>
      <c r="E123" s="379"/>
      <c r="F123" s="379"/>
      <c r="G123" s="379" t="s">
        <v>222</v>
      </c>
      <c r="H123" s="379" t="s">
        <v>46</v>
      </c>
      <c r="I123" s="792">
        <v>62.265266157593501</v>
      </c>
      <c r="J123" s="792">
        <v>64.684818067677838</v>
      </c>
      <c r="K123" s="793" t="s">
        <v>68</v>
      </c>
      <c r="L123" s="794" t="s">
        <v>223</v>
      </c>
      <c r="M123" s="794" t="s">
        <v>452</v>
      </c>
      <c r="N123" s="513">
        <f t="shared" si="9"/>
        <v>3.8858774070931412E-2</v>
      </c>
    </row>
    <row r="124" spans="2:15" s="66" customFormat="1" x14ac:dyDescent="0.35">
      <c r="B124" s="379" t="s">
        <v>0</v>
      </c>
      <c r="C124" s="379" t="str">
        <f t="shared" si="8"/>
        <v xml:space="preserve">Residential </v>
      </c>
      <c r="D124" s="379" t="s">
        <v>6</v>
      </c>
      <c r="E124" s="379"/>
      <c r="F124" s="379"/>
      <c r="G124" s="379" t="s">
        <v>222</v>
      </c>
      <c r="H124" s="379" t="s">
        <v>46</v>
      </c>
      <c r="I124" s="792">
        <v>62.265266157593501</v>
      </c>
      <c r="J124" s="792">
        <v>64.684818067677838</v>
      </c>
      <c r="K124" s="793" t="s">
        <v>68</v>
      </c>
      <c r="L124" s="794" t="s">
        <v>223</v>
      </c>
      <c r="M124" s="794" t="s">
        <v>452</v>
      </c>
      <c r="N124" s="513">
        <f t="shared" si="9"/>
        <v>3.8858774070931412E-2</v>
      </c>
    </row>
    <row r="125" spans="2:15" s="66" customFormat="1" x14ac:dyDescent="0.35">
      <c r="B125" s="379" t="s">
        <v>0</v>
      </c>
      <c r="C125" s="379" t="str">
        <f t="shared" si="8"/>
        <v xml:space="preserve">Small business </v>
      </c>
      <c r="D125" s="379" t="s">
        <v>13</v>
      </c>
      <c r="E125" s="379"/>
      <c r="F125" s="379"/>
      <c r="G125" s="379" t="s">
        <v>222</v>
      </c>
      <c r="H125" s="379" t="s">
        <v>46</v>
      </c>
      <c r="I125" s="792">
        <v>57.463423451720978</v>
      </c>
      <c r="J125" s="792">
        <v>64.222324221012258</v>
      </c>
      <c r="K125" s="793" t="s">
        <v>68</v>
      </c>
      <c r="L125" s="794" t="s">
        <v>223</v>
      </c>
      <c r="M125" s="794" t="s">
        <v>452</v>
      </c>
      <c r="N125" s="513">
        <f t="shared" si="9"/>
        <v>0.11762092063606167</v>
      </c>
    </row>
    <row r="126" spans="2:15" s="66" customFormat="1" x14ac:dyDescent="0.35">
      <c r="B126" s="379" t="s">
        <v>0</v>
      </c>
      <c r="C126" s="379" t="str">
        <f t="shared" si="8"/>
        <v xml:space="preserve">Residential </v>
      </c>
      <c r="D126" s="379" t="s">
        <v>6</v>
      </c>
      <c r="E126" s="379"/>
      <c r="F126" s="379"/>
      <c r="G126" s="379" t="s">
        <v>190</v>
      </c>
      <c r="H126" s="379" t="s">
        <v>46</v>
      </c>
      <c r="I126" s="792">
        <v>2.6417768925456344</v>
      </c>
      <c r="J126" s="792">
        <v>0.63727441115359662</v>
      </c>
      <c r="K126" s="793" t="s">
        <v>68</v>
      </c>
      <c r="L126" s="794" t="s">
        <v>223</v>
      </c>
      <c r="M126" s="794" t="s">
        <v>452</v>
      </c>
      <c r="N126" s="513">
        <f t="shared" si="9"/>
        <v>-0.75877054078570783</v>
      </c>
    </row>
    <row r="127" spans="2:15" s="66" customFormat="1" x14ac:dyDescent="0.35">
      <c r="B127" s="379" t="s">
        <v>0</v>
      </c>
      <c r="C127" s="379" t="str">
        <f t="shared" si="8"/>
        <v xml:space="preserve">Small business </v>
      </c>
      <c r="D127" s="379" t="s">
        <v>13</v>
      </c>
      <c r="E127" s="379"/>
      <c r="F127" s="379"/>
      <c r="G127" s="379" t="s">
        <v>190</v>
      </c>
      <c r="H127" s="379" t="s">
        <v>46</v>
      </c>
      <c r="I127" s="792">
        <v>4.5072864961663361</v>
      </c>
      <c r="J127" s="792">
        <v>1.0241357905353028</v>
      </c>
      <c r="K127" s="793" t="s">
        <v>68</v>
      </c>
      <c r="L127" s="794" t="s">
        <v>223</v>
      </c>
      <c r="M127" s="794" t="s">
        <v>452</v>
      </c>
      <c r="N127" s="513">
        <f t="shared" si="9"/>
        <v>-0.77278218471215898</v>
      </c>
    </row>
    <row r="128" spans="2:15" s="66" customFormat="1" x14ac:dyDescent="0.35">
      <c r="B128" s="379" t="s">
        <v>0</v>
      </c>
      <c r="C128" s="379" t="str">
        <f t="shared" si="8"/>
        <v xml:space="preserve">Residential </v>
      </c>
      <c r="D128" s="379" t="s">
        <v>6</v>
      </c>
      <c r="E128" s="379"/>
      <c r="F128" s="379"/>
      <c r="G128" s="379" t="s">
        <v>158</v>
      </c>
      <c r="H128" s="379" t="s">
        <v>46</v>
      </c>
      <c r="I128" s="792">
        <v>35.445506286367262</v>
      </c>
      <c r="J128" s="792">
        <v>28.94599715246456</v>
      </c>
      <c r="K128" s="793" t="s">
        <v>68</v>
      </c>
      <c r="L128" s="794" t="s">
        <v>219</v>
      </c>
      <c r="M128" s="800" t="s">
        <v>381</v>
      </c>
      <c r="N128" s="513">
        <f t="shared" si="9"/>
        <v>-0.18336623777898997</v>
      </c>
    </row>
    <row r="129" spans="2:15" s="66" customFormat="1" x14ac:dyDescent="0.35">
      <c r="B129" s="379" t="str">
        <f>+B128</f>
        <v>Energex</v>
      </c>
      <c r="C129" s="379" t="str">
        <f t="shared" si="8"/>
        <v xml:space="preserve">Small business </v>
      </c>
      <c r="D129" s="379" t="s">
        <v>13</v>
      </c>
      <c r="E129" s="379"/>
      <c r="F129" s="379"/>
      <c r="G129" s="379" t="s">
        <v>158</v>
      </c>
      <c r="H129" s="379" t="s">
        <v>46</v>
      </c>
      <c r="I129" s="792">
        <v>55.097708961607353</v>
      </c>
      <c r="J129" s="792">
        <v>40.58419889779281</v>
      </c>
      <c r="K129" s="793" t="s">
        <v>68</v>
      </c>
      <c r="L129" s="794" t="s">
        <v>219</v>
      </c>
      <c r="M129" s="800" t="s">
        <v>381</v>
      </c>
      <c r="N129" s="513">
        <f t="shared" si="9"/>
        <v>-0.2634140391196248</v>
      </c>
    </row>
    <row r="130" spans="2:15" s="66" customFormat="1" x14ac:dyDescent="0.35">
      <c r="B130" s="379" t="s">
        <v>5</v>
      </c>
      <c r="C130" s="379" t="str">
        <f t="shared" si="8"/>
        <v>Residential Flat rate</v>
      </c>
      <c r="D130" s="379" t="s">
        <v>6</v>
      </c>
      <c r="E130" s="379" t="s">
        <v>19</v>
      </c>
      <c r="F130" s="379" t="s">
        <v>19</v>
      </c>
      <c r="G130" s="379" t="s">
        <v>69</v>
      </c>
      <c r="H130" s="379" t="s">
        <v>47</v>
      </c>
      <c r="I130" s="792">
        <v>168.155</v>
      </c>
      <c r="J130" s="792">
        <v>153.28</v>
      </c>
      <c r="K130" s="793" t="s">
        <v>44</v>
      </c>
      <c r="L130" s="794" t="s">
        <v>224</v>
      </c>
      <c r="M130" s="798" t="s">
        <v>423</v>
      </c>
      <c r="N130" s="513">
        <f t="shared" si="9"/>
        <v>-8.8460051737979883E-2</v>
      </c>
      <c r="O130" s="801"/>
    </row>
    <row r="131" spans="2:15" s="66" customFormat="1" x14ac:dyDescent="0.35">
      <c r="B131" s="379" t="s">
        <v>5</v>
      </c>
      <c r="C131" s="379" t="str">
        <f t="shared" si="8"/>
        <v>All</v>
      </c>
      <c r="D131" s="379"/>
      <c r="E131" s="379" t="s">
        <v>285</v>
      </c>
      <c r="F131" s="379" t="s">
        <v>14</v>
      </c>
      <c r="G131" s="379" t="s">
        <v>69</v>
      </c>
      <c r="H131" s="379" t="s">
        <v>47</v>
      </c>
      <c r="I131" s="792">
        <v>101.455</v>
      </c>
      <c r="J131" s="792">
        <v>72.22</v>
      </c>
      <c r="K131" s="793" t="s">
        <v>44</v>
      </c>
      <c r="L131" s="794" t="s">
        <v>224</v>
      </c>
      <c r="M131" s="798" t="s">
        <v>423</v>
      </c>
      <c r="N131" s="513">
        <f t="shared" si="9"/>
        <v>-0.28815731112315801</v>
      </c>
      <c r="O131" s="801"/>
    </row>
    <row r="132" spans="2:15" s="66" customFormat="1" x14ac:dyDescent="0.35">
      <c r="B132" s="379" t="s">
        <v>5</v>
      </c>
      <c r="C132" s="379" t="str">
        <f t="shared" si="8"/>
        <v>Small business Flat rate</v>
      </c>
      <c r="D132" s="379" t="s">
        <v>13</v>
      </c>
      <c r="E132" s="379" t="s">
        <v>19</v>
      </c>
      <c r="F132" s="379" t="s">
        <v>19</v>
      </c>
      <c r="G132" s="379" t="s">
        <v>69</v>
      </c>
      <c r="H132" s="379" t="s">
        <v>47</v>
      </c>
      <c r="I132" s="792">
        <v>168.155</v>
      </c>
      <c r="J132" s="792">
        <v>153.28</v>
      </c>
      <c r="K132" s="793" t="s">
        <v>44</v>
      </c>
      <c r="L132" s="794" t="s">
        <v>224</v>
      </c>
      <c r="M132" s="798" t="s">
        <v>423</v>
      </c>
      <c r="N132" s="513">
        <f t="shared" si="9"/>
        <v>-8.8460051737979883E-2</v>
      </c>
      <c r="O132" s="801"/>
    </row>
    <row r="133" spans="2:15" s="66" customFormat="1" x14ac:dyDescent="0.35">
      <c r="B133" s="379" t="s">
        <v>5</v>
      </c>
      <c r="C133" s="379" t="str">
        <f t="shared" si="8"/>
        <v>All</v>
      </c>
      <c r="D133" s="379"/>
      <c r="E133" s="379"/>
      <c r="F133" s="379"/>
      <c r="G133" s="379" t="s">
        <v>70</v>
      </c>
      <c r="H133" s="379" t="s">
        <v>47</v>
      </c>
      <c r="I133" s="792">
        <v>0.58531011875289041</v>
      </c>
      <c r="J133" s="792">
        <v>8.3201730213645071</v>
      </c>
      <c r="K133" s="793" t="s">
        <v>44</v>
      </c>
      <c r="L133" s="794" t="s">
        <v>231</v>
      </c>
      <c r="M133" s="798" t="s">
        <v>428</v>
      </c>
      <c r="N133" s="513">
        <f t="shared" si="9"/>
        <v>13.21498237394588</v>
      </c>
      <c r="O133" s="801"/>
    </row>
    <row r="134" spans="2:15" s="66" customFormat="1" x14ac:dyDescent="0.35">
      <c r="B134" s="379" t="s">
        <v>5</v>
      </c>
      <c r="C134" s="379" t="str">
        <f t="shared" si="8"/>
        <v>All</v>
      </c>
      <c r="D134" s="379"/>
      <c r="E134" s="379"/>
      <c r="F134" s="379"/>
      <c r="G134" s="379" t="s">
        <v>77</v>
      </c>
      <c r="H134" s="379" t="s">
        <v>47</v>
      </c>
      <c r="I134" s="792">
        <v>0.57443</v>
      </c>
      <c r="J134" s="792">
        <v>0.51939999999999997</v>
      </c>
      <c r="K134" s="793" t="s">
        <v>44</v>
      </c>
      <c r="L134" s="794" t="s">
        <v>232</v>
      </c>
      <c r="M134" s="798" t="s">
        <v>428</v>
      </c>
      <c r="N134" s="513">
        <f t="shared" si="9"/>
        <v>-9.5799314102675726E-2</v>
      </c>
      <c r="O134" s="801"/>
    </row>
    <row r="135" spans="2:15" s="66" customFormat="1" x14ac:dyDescent="0.35">
      <c r="B135" s="379" t="str">
        <f>+B134</f>
        <v>SAPN</v>
      </c>
      <c r="C135" s="379" t="str">
        <f t="shared" si="8"/>
        <v>All</v>
      </c>
      <c r="D135" s="379"/>
      <c r="E135" s="379"/>
      <c r="F135" s="379"/>
      <c r="G135" s="379" t="s">
        <v>77</v>
      </c>
      <c r="H135" s="379" t="s">
        <v>46</v>
      </c>
      <c r="I135" s="792">
        <v>0.26533344915475288</v>
      </c>
      <c r="J135" s="792">
        <v>0.25172</v>
      </c>
      <c r="K135" s="793" t="s">
        <v>45</v>
      </c>
      <c r="L135" s="794" t="s">
        <v>232</v>
      </c>
      <c r="M135" s="798" t="s">
        <v>428</v>
      </c>
      <c r="N135" s="513">
        <f t="shared" si="9"/>
        <v>-5.1306946780060758E-2</v>
      </c>
    </row>
    <row r="136" spans="2:15" s="66" customFormat="1" x14ac:dyDescent="0.35">
      <c r="B136" s="379" t="s">
        <v>5</v>
      </c>
      <c r="C136" s="379" t="str">
        <f t="shared" si="8"/>
        <v>All</v>
      </c>
      <c r="D136" s="379"/>
      <c r="E136" s="379"/>
      <c r="F136" s="379"/>
      <c r="G136" s="379" t="s">
        <v>71</v>
      </c>
      <c r="H136" s="379" t="s">
        <v>47</v>
      </c>
      <c r="I136" s="792">
        <v>6.7563101629320773E-3</v>
      </c>
      <c r="J136" s="792">
        <v>1.0301802521866776</v>
      </c>
      <c r="K136" s="793" t="s">
        <v>44</v>
      </c>
      <c r="L136" s="794" t="s">
        <v>241</v>
      </c>
      <c r="M136" s="798" t="s">
        <v>428</v>
      </c>
      <c r="N136" s="513">
        <f t="shared" si="9"/>
        <v>151.47675540987953</v>
      </c>
      <c r="O136" s="801"/>
    </row>
    <row r="137" spans="2:15" s="66" customFormat="1" x14ac:dyDescent="0.35">
      <c r="B137" s="379" t="s">
        <v>5</v>
      </c>
      <c r="C137" s="379" t="str">
        <f t="shared" si="8"/>
        <v>All</v>
      </c>
      <c r="D137" s="379"/>
      <c r="E137" s="379"/>
      <c r="F137" s="379"/>
      <c r="G137" s="379" t="str">
        <f>+G110</f>
        <v>June 2022 Event Cost</v>
      </c>
      <c r="H137" s="379" t="s">
        <v>47</v>
      </c>
      <c r="I137" s="792">
        <v>5.0625427163511004E-2</v>
      </c>
      <c r="J137" s="792">
        <v>0</v>
      </c>
      <c r="K137" s="793" t="s">
        <v>44</v>
      </c>
      <c r="L137" s="794" t="s">
        <v>241</v>
      </c>
      <c r="M137" s="798" t="s">
        <v>428</v>
      </c>
      <c r="N137" s="513">
        <f t="shared" si="9"/>
        <v>-1</v>
      </c>
      <c r="O137" s="801"/>
    </row>
    <row r="138" spans="2:15" s="66" customFormat="1" x14ac:dyDescent="0.35">
      <c r="B138" s="379" t="s">
        <v>5</v>
      </c>
      <c r="C138" s="379" t="str">
        <f t="shared" si="8"/>
        <v>All</v>
      </c>
      <c r="D138" s="379"/>
      <c r="E138" s="379"/>
      <c r="F138" s="379"/>
      <c r="G138" s="379" t="s">
        <v>130</v>
      </c>
      <c r="H138" s="379" t="s">
        <v>47</v>
      </c>
      <c r="I138" s="792">
        <v>3.6927728105909479</v>
      </c>
      <c r="J138" s="792">
        <v>3.5237136985350812</v>
      </c>
      <c r="K138" s="793" t="s">
        <v>44</v>
      </c>
      <c r="L138" s="794" t="s">
        <v>234</v>
      </c>
      <c r="M138" s="798" t="s">
        <v>428</v>
      </c>
      <c r="N138" s="513">
        <f t="shared" si="9"/>
        <v>-4.5781075827627915E-2</v>
      </c>
      <c r="O138" s="801"/>
    </row>
    <row r="139" spans="2:15" s="66" customFormat="1" x14ac:dyDescent="0.35">
      <c r="B139" s="379" t="s">
        <v>5</v>
      </c>
      <c r="C139" s="379" t="str">
        <f t="shared" si="8"/>
        <v>All</v>
      </c>
      <c r="D139" s="379"/>
      <c r="E139" s="379"/>
      <c r="F139" s="379"/>
      <c r="G139" s="379" t="s">
        <v>73</v>
      </c>
      <c r="H139" s="379" t="s">
        <v>47</v>
      </c>
      <c r="I139" s="792">
        <v>6.1170426505850894</v>
      </c>
      <c r="J139" s="792">
        <v>3.1513746555504474</v>
      </c>
      <c r="K139" s="793" t="s">
        <v>44</v>
      </c>
      <c r="L139" s="794" t="s">
        <v>235</v>
      </c>
      <c r="M139" s="794" t="s">
        <v>444</v>
      </c>
      <c r="N139" s="513">
        <f t="shared" si="9"/>
        <v>-0.48482055209325359</v>
      </c>
      <c r="O139" s="801"/>
    </row>
    <row r="140" spans="2:15" s="66" customFormat="1" x14ac:dyDescent="0.35">
      <c r="B140" s="379" t="s">
        <v>5</v>
      </c>
      <c r="C140" s="379" t="str">
        <f t="shared" si="8"/>
        <v>All</v>
      </c>
      <c r="D140" s="379"/>
      <c r="E140" s="379"/>
      <c r="F140" s="379"/>
      <c r="G140" s="379" t="s">
        <v>74</v>
      </c>
      <c r="H140" s="379" t="s">
        <v>47</v>
      </c>
      <c r="I140" s="792">
        <v>5.1359999999999992</v>
      </c>
      <c r="J140" s="792">
        <v>4.484</v>
      </c>
      <c r="K140" s="793" t="s">
        <v>44</v>
      </c>
      <c r="L140" s="794" t="s">
        <v>235</v>
      </c>
      <c r="M140" s="794" t="s">
        <v>445</v>
      </c>
      <c r="N140" s="513">
        <f t="shared" si="9"/>
        <v>-0.12694704049844219</v>
      </c>
      <c r="O140" s="801"/>
    </row>
    <row r="141" spans="2:15" s="66" customFormat="1" x14ac:dyDescent="0.35">
      <c r="B141" s="379" t="s">
        <v>5</v>
      </c>
      <c r="C141" s="379" t="str">
        <f t="shared" si="8"/>
        <v>All</v>
      </c>
      <c r="D141" s="379"/>
      <c r="E141" s="379"/>
      <c r="F141" s="379"/>
      <c r="G141" s="379" t="s">
        <v>78</v>
      </c>
      <c r="H141" s="379" t="s">
        <v>47</v>
      </c>
      <c r="I141" s="792">
        <v>0</v>
      </c>
      <c r="J141" s="792">
        <v>0</v>
      </c>
      <c r="K141" s="793" t="s">
        <v>44</v>
      </c>
      <c r="L141" s="794" t="s">
        <v>243</v>
      </c>
      <c r="M141" s="798" t="s">
        <v>423</v>
      </c>
      <c r="N141" s="513" t="str">
        <f t="shared" si="9"/>
        <v/>
      </c>
      <c r="O141" s="801"/>
    </row>
    <row r="142" spans="2:15" s="66" customFormat="1" x14ac:dyDescent="0.35">
      <c r="B142" s="379" t="s">
        <v>5</v>
      </c>
      <c r="C142" s="379" t="str">
        <f t="shared" si="8"/>
        <v>All</v>
      </c>
      <c r="D142" s="379"/>
      <c r="E142" s="379"/>
      <c r="F142" s="379"/>
      <c r="G142" s="379" t="s">
        <v>156</v>
      </c>
      <c r="H142" s="379" t="s">
        <v>47</v>
      </c>
      <c r="I142" s="792">
        <v>4.0580163456251253</v>
      </c>
      <c r="J142" s="792">
        <v>1.8918877098457212</v>
      </c>
      <c r="K142" s="793" t="s">
        <v>44</v>
      </c>
      <c r="L142" s="794" t="s">
        <v>243</v>
      </c>
      <c r="M142" s="794" t="s">
        <v>447</v>
      </c>
      <c r="N142" s="513">
        <f t="shared" si="9"/>
        <v>-0.53379002233804917</v>
      </c>
      <c r="O142" s="801"/>
    </row>
    <row r="143" spans="2:15" s="66" customFormat="1" x14ac:dyDescent="0.35">
      <c r="B143" s="379" t="s">
        <v>5</v>
      </c>
      <c r="C143" s="379" t="str">
        <f t="shared" si="8"/>
        <v>All</v>
      </c>
      <c r="D143" s="379"/>
      <c r="E143" s="379"/>
      <c r="F143" s="379"/>
      <c r="G143" s="379" t="s">
        <v>157</v>
      </c>
      <c r="H143" s="379" t="s">
        <v>47</v>
      </c>
      <c r="I143" s="792">
        <v>5.712785518640878</v>
      </c>
      <c r="J143" s="792">
        <v>1.2291554147233901</v>
      </c>
      <c r="K143" s="793" t="s">
        <v>44</v>
      </c>
      <c r="L143" s="794" t="s">
        <v>237</v>
      </c>
      <c r="M143" s="798" t="s">
        <v>428</v>
      </c>
      <c r="N143" s="513">
        <f t="shared" si="9"/>
        <v>-0.78484131590226114</v>
      </c>
      <c r="O143" s="801"/>
    </row>
    <row r="144" spans="2:15" s="66" customFormat="1" x14ac:dyDescent="0.35">
      <c r="B144" s="379" t="s">
        <v>5</v>
      </c>
      <c r="C144" s="379" t="str">
        <f t="shared" ref="C144:C158" si="10">IF(D144="","All",D144&amp;" "&amp;E144)</f>
        <v>Residential Flat rate</v>
      </c>
      <c r="D144" s="379" t="s">
        <v>6</v>
      </c>
      <c r="E144" s="379" t="s">
        <v>19</v>
      </c>
      <c r="F144" s="379" t="s">
        <v>19</v>
      </c>
      <c r="G144" s="379" t="s">
        <v>72</v>
      </c>
      <c r="H144" s="379" t="s">
        <v>47</v>
      </c>
      <c r="I144" s="796">
        <v>7.240927979591838E-2</v>
      </c>
      <c r="J144" s="796">
        <v>0.11454466624999982</v>
      </c>
      <c r="K144" s="793" t="s">
        <v>27</v>
      </c>
      <c r="L144" s="794" t="s">
        <v>237</v>
      </c>
      <c r="M144" s="794" t="s">
        <v>424</v>
      </c>
      <c r="N144" s="513">
        <f t="shared" ref="N144:N195" si="11">IFERROR(IF(K144="%",J144-I144,J144/I144-1),"")</f>
        <v>4.2135386454081436E-2</v>
      </c>
      <c r="O144" s="801"/>
    </row>
    <row r="145" spans="2:15" s="66" customFormat="1" x14ac:dyDescent="0.35">
      <c r="B145" s="379" t="s">
        <v>5</v>
      </c>
      <c r="C145" s="379" t="str">
        <f t="shared" si="10"/>
        <v>Residential time of use</v>
      </c>
      <c r="D145" s="379" t="s">
        <v>6</v>
      </c>
      <c r="E145" s="379" t="s">
        <v>272</v>
      </c>
      <c r="F145" s="379" t="s">
        <v>272</v>
      </c>
      <c r="G145" s="379" t="s">
        <v>72</v>
      </c>
      <c r="H145" s="379" t="s">
        <v>47</v>
      </c>
      <c r="I145" s="796"/>
      <c r="J145" s="796">
        <v>0.11454466624999982</v>
      </c>
      <c r="K145" s="793" t="s">
        <v>27</v>
      </c>
      <c r="L145" s="794" t="s">
        <v>304</v>
      </c>
      <c r="M145" s="794" t="s">
        <v>424</v>
      </c>
      <c r="N145" s="513">
        <f>IFERROR(IF(K145="%",J145-I145,J145/I145-1),"")</f>
        <v>0.11454466624999982</v>
      </c>
      <c r="O145" s="801"/>
    </row>
    <row r="146" spans="2:15" s="66" customFormat="1" x14ac:dyDescent="0.35">
      <c r="B146" s="379" t="s">
        <v>5</v>
      </c>
      <c r="C146" s="379" t="str">
        <f t="shared" si="10"/>
        <v>All</v>
      </c>
      <c r="D146" s="379"/>
      <c r="E146" s="379" t="s">
        <v>285</v>
      </c>
      <c r="F146" s="379" t="s">
        <v>14</v>
      </c>
      <c r="G146" s="379" t="s">
        <v>72</v>
      </c>
      <c r="H146" s="379" t="s">
        <v>47</v>
      </c>
      <c r="I146" s="796">
        <v>7.240927979591838E-2</v>
      </c>
      <c r="J146" s="796">
        <v>0.11454466624999982</v>
      </c>
      <c r="K146" s="793" t="s">
        <v>27</v>
      </c>
      <c r="L146" s="794" t="s">
        <v>237</v>
      </c>
      <c r="M146" s="794" t="s">
        <v>424</v>
      </c>
      <c r="N146" s="513">
        <f t="shared" si="11"/>
        <v>4.2135386454081436E-2</v>
      </c>
      <c r="O146" s="801"/>
    </row>
    <row r="147" spans="2:15" s="66" customFormat="1" x14ac:dyDescent="0.35">
      <c r="B147" s="379" t="s">
        <v>5</v>
      </c>
      <c r="C147" s="379" t="str">
        <f t="shared" si="10"/>
        <v>Small business Flat rate</v>
      </c>
      <c r="D147" s="379" t="s">
        <v>13</v>
      </c>
      <c r="E147" s="379" t="s">
        <v>19</v>
      </c>
      <c r="F147" s="379" t="s">
        <v>19</v>
      </c>
      <c r="G147" s="379" t="s">
        <v>72</v>
      </c>
      <c r="H147" s="379" t="s">
        <v>47</v>
      </c>
      <c r="I147" s="796">
        <v>7.240927979591838E-2</v>
      </c>
      <c r="J147" s="796">
        <v>0.11454466624999982</v>
      </c>
      <c r="K147" s="793" t="s">
        <v>27</v>
      </c>
      <c r="L147" s="794" t="s">
        <v>237</v>
      </c>
      <c r="M147" s="794" t="s">
        <v>424</v>
      </c>
      <c r="N147" s="513">
        <f>IFERROR(IF(K147="%",J147-I147,J147/I147-1),"")</f>
        <v>4.2135386454081436E-2</v>
      </c>
      <c r="O147" s="801"/>
    </row>
    <row r="148" spans="2:15" s="66" customFormat="1" x14ac:dyDescent="0.35">
      <c r="B148" s="379" t="s">
        <v>5</v>
      </c>
      <c r="C148" s="379" t="str">
        <f t="shared" si="10"/>
        <v>Small business time of use</v>
      </c>
      <c r="D148" s="379" t="s">
        <v>13</v>
      </c>
      <c r="E148" s="379" t="s">
        <v>272</v>
      </c>
      <c r="F148" s="379" t="s">
        <v>272</v>
      </c>
      <c r="G148" s="379" t="s">
        <v>72</v>
      </c>
      <c r="H148" s="379" t="s">
        <v>47</v>
      </c>
      <c r="I148" s="796"/>
      <c r="J148" s="796">
        <v>0.11454466624999982</v>
      </c>
      <c r="K148" s="793" t="s">
        <v>27</v>
      </c>
      <c r="L148" s="794" t="s">
        <v>304</v>
      </c>
      <c r="M148" s="794" t="s">
        <v>424</v>
      </c>
      <c r="N148" s="513">
        <f t="shared" si="11"/>
        <v>0.11454466624999982</v>
      </c>
      <c r="O148" s="801"/>
    </row>
    <row r="149" spans="2:15" s="66" customFormat="1" x14ac:dyDescent="0.35">
      <c r="B149" s="379" t="s">
        <v>5</v>
      </c>
      <c r="C149" s="379" t="str">
        <f t="shared" si="10"/>
        <v xml:space="preserve">Residential </v>
      </c>
      <c r="D149" s="379" t="s">
        <v>6</v>
      </c>
      <c r="E149" s="379"/>
      <c r="F149" s="379"/>
      <c r="G149" s="379" t="s">
        <v>220</v>
      </c>
      <c r="H149" s="379" t="s">
        <v>46</v>
      </c>
      <c r="I149" s="792">
        <v>183.10232159386237</v>
      </c>
      <c r="J149" s="792">
        <v>164.25562571781418</v>
      </c>
      <c r="K149" s="793" t="s">
        <v>68</v>
      </c>
      <c r="L149" s="799" t="s">
        <v>219</v>
      </c>
      <c r="M149" s="800" t="s">
        <v>381</v>
      </c>
      <c r="N149" s="513">
        <f t="shared" si="11"/>
        <v>-0.10292985753535056</v>
      </c>
      <c r="O149" s="801"/>
    </row>
    <row r="150" spans="2:15" s="66" customFormat="1" x14ac:dyDescent="0.35">
      <c r="B150" s="379" t="s">
        <v>5</v>
      </c>
      <c r="C150" s="379" t="str">
        <f t="shared" si="10"/>
        <v xml:space="preserve">Residential </v>
      </c>
      <c r="D150" s="379" t="s">
        <v>6</v>
      </c>
      <c r="E150" s="379"/>
      <c r="F150" s="379"/>
      <c r="G150" s="379" t="s">
        <v>220</v>
      </c>
      <c r="H150" s="379" t="s">
        <v>46</v>
      </c>
      <c r="I150" s="792">
        <v>183.10232159386237</v>
      </c>
      <c r="J150" s="792">
        <v>164.25562571781418</v>
      </c>
      <c r="K150" s="793" t="s">
        <v>68</v>
      </c>
      <c r="L150" s="799" t="s">
        <v>219</v>
      </c>
      <c r="M150" s="800" t="s">
        <v>381</v>
      </c>
      <c r="N150" s="513">
        <f t="shared" si="11"/>
        <v>-0.10292985753535056</v>
      </c>
    </row>
    <row r="151" spans="2:15" s="66" customFormat="1" x14ac:dyDescent="0.35">
      <c r="B151" s="379" t="s">
        <v>5</v>
      </c>
      <c r="C151" s="379" t="str">
        <f t="shared" si="10"/>
        <v xml:space="preserve">Small business </v>
      </c>
      <c r="D151" s="379" t="s">
        <v>13</v>
      </c>
      <c r="E151" s="379"/>
      <c r="F151" s="379"/>
      <c r="G151" s="379" t="s">
        <v>220</v>
      </c>
      <c r="H151" s="379" t="s">
        <v>46</v>
      </c>
      <c r="I151" s="792">
        <v>196.90647411009246</v>
      </c>
      <c r="J151" s="792">
        <v>178.93059850384478</v>
      </c>
      <c r="K151" s="793" t="s">
        <v>68</v>
      </c>
      <c r="L151" s="799" t="s">
        <v>219</v>
      </c>
      <c r="M151" s="800" t="s">
        <v>381</v>
      </c>
      <c r="N151" s="513">
        <f t="shared" si="11"/>
        <v>-9.1291440200169216E-2</v>
      </c>
    </row>
    <row r="152" spans="2:15" s="66" customFormat="1" x14ac:dyDescent="0.35">
      <c r="B152" s="379" t="s">
        <v>5</v>
      </c>
      <c r="C152" s="379" t="str">
        <f t="shared" si="10"/>
        <v xml:space="preserve">Residential </v>
      </c>
      <c r="D152" s="379" t="s">
        <v>6</v>
      </c>
      <c r="E152" s="379"/>
      <c r="F152" s="379"/>
      <c r="G152" s="379" t="s">
        <v>222</v>
      </c>
      <c r="H152" s="379" t="s">
        <v>46</v>
      </c>
      <c r="I152" s="792">
        <v>63.050983486012669</v>
      </c>
      <c r="J152" s="792">
        <v>67.338555088832507</v>
      </c>
      <c r="K152" s="793" t="s">
        <v>68</v>
      </c>
      <c r="L152" s="794" t="s">
        <v>223</v>
      </c>
      <c r="M152" s="794" t="s">
        <v>452</v>
      </c>
      <c r="N152" s="513">
        <f t="shared" si="11"/>
        <v>6.8001660969665867E-2</v>
      </c>
    </row>
    <row r="153" spans="2:15" s="66" customFormat="1" x14ac:dyDescent="0.35">
      <c r="B153" s="379" t="s">
        <v>5</v>
      </c>
      <c r="C153" s="379" t="str">
        <f t="shared" si="10"/>
        <v xml:space="preserve">Residential </v>
      </c>
      <c r="D153" s="379" t="s">
        <v>6</v>
      </c>
      <c r="E153" s="379"/>
      <c r="F153" s="379"/>
      <c r="G153" s="379" t="s">
        <v>222</v>
      </c>
      <c r="H153" s="379" t="s">
        <v>46</v>
      </c>
      <c r="I153" s="792">
        <v>63.050983486012669</v>
      </c>
      <c r="J153" s="792">
        <v>67.338555088832507</v>
      </c>
      <c r="K153" s="793" t="s">
        <v>68</v>
      </c>
      <c r="L153" s="794" t="s">
        <v>223</v>
      </c>
      <c r="M153" s="794" t="s">
        <v>452</v>
      </c>
      <c r="N153" s="513">
        <f t="shared" si="11"/>
        <v>6.8001660969665867E-2</v>
      </c>
    </row>
    <row r="154" spans="2:15" s="66" customFormat="1" x14ac:dyDescent="0.35">
      <c r="B154" s="379" t="s">
        <v>5</v>
      </c>
      <c r="C154" s="379" t="str">
        <f t="shared" si="10"/>
        <v xml:space="preserve">Small business </v>
      </c>
      <c r="D154" s="379" t="s">
        <v>13</v>
      </c>
      <c r="E154" s="379"/>
      <c r="F154" s="379"/>
      <c r="G154" s="379" t="s">
        <v>222</v>
      </c>
      <c r="H154" s="379" t="s">
        <v>46</v>
      </c>
      <c r="I154" s="792">
        <v>51.818256531164756</v>
      </c>
      <c r="J154" s="792">
        <v>67.540720033516081</v>
      </c>
      <c r="K154" s="793" t="s">
        <v>68</v>
      </c>
      <c r="L154" s="794" t="s">
        <v>223</v>
      </c>
      <c r="M154" s="794" t="s">
        <v>452</v>
      </c>
      <c r="N154" s="513">
        <f t="shared" si="11"/>
        <v>0.30341552485262513</v>
      </c>
    </row>
    <row r="155" spans="2:15" s="66" customFormat="1" x14ac:dyDescent="0.35">
      <c r="B155" s="379" t="s">
        <v>5</v>
      </c>
      <c r="C155" s="379" t="str">
        <f t="shared" si="10"/>
        <v xml:space="preserve">Residential </v>
      </c>
      <c r="D155" s="379" t="s">
        <v>6</v>
      </c>
      <c r="E155" s="379"/>
      <c r="F155" s="379"/>
      <c r="G155" s="379" t="s">
        <v>190</v>
      </c>
      <c r="H155" s="379" t="s">
        <v>46</v>
      </c>
      <c r="I155" s="792">
        <v>1.9406888057493121</v>
      </c>
      <c r="J155" s="792">
        <v>0.71278711417256069</v>
      </c>
      <c r="K155" s="793" t="s">
        <v>68</v>
      </c>
      <c r="L155" s="794" t="s">
        <v>223</v>
      </c>
      <c r="M155" s="794" t="s">
        <v>452</v>
      </c>
      <c r="N155" s="513">
        <f t="shared" si="11"/>
        <v>-0.63271436818673821</v>
      </c>
    </row>
    <row r="156" spans="2:15" s="66" customFormat="1" x14ac:dyDescent="0.35">
      <c r="B156" s="379" t="s">
        <v>5</v>
      </c>
      <c r="C156" s="379" t="str">
        <f t="shared" si="10"/>
        <v xml:space="preserve">Small business </v>
      </c>
      <c r="D156" s="379" t="s">
        <v>13</v>
      </c>
      <c r="E156" s="379"/>
      <c r="F156" s="379"/>
      <c r="G156" s="379" t="s">
        <v>190</v>
      </c>
      <c r="H156" s="379" t="s">
        <v>46</v>
      </c>
      <c r="I156" s="792">
        <v>2.0238391685145141</v>
      </c>
      <c r="J156" s="792">
        <v>0.89956985678224877</v>
      </c>
      <c r="K156" s="793" t="s">
        <v>68</v>
      </c>
      <c r="L156" s="794" t="s">
        <v>223</v>
      </c>
      <c r="M156" s="794" t="s">
        <v>452</v>
      </c>
      <c r="N156" s="513">
        <f t="shared" si="11"/>
        <v>-0.55551316983230059</v>
      </c>
    </row>
    <row r="157" spans="2:15" s="66" customFormat="1" x14ac:dyDescent="0.35">
      <c r="B157" s="379" t="s">
        <v>5</v>
      </c>
      <c r="C157" s="379" t="str">
        <f t="shared" si="10"/>
        <v xml:space="preserve">Residential </v>
      </c>
      <c r="D157" s="379" t="s">
        <v>6</v>
      </c>
      <c r="E157" s="379"/>
      <c r="F157" s="379"/>
      <c r="G157" s="379" t="s">
        <v>158</v>
      </c>
      <c r="H157" s="379" t="s">
        <v>46</v>
      </c>
      <c r="I157" s="792">
        <v>39.639236008489149</v>
      </c>
      <c r="J157" s="792">
        <v>47.002083991314286</v>
      </c>
      <c r="K157" s="793" t="s">
        <v>68</v>
      </c>
      <c r="L157" s="794" t="s">
        <v>219</v>
      </c>
      <c r="M157" s="800" t="s">
        <v>381</v>
      </c>
      <c r="N157" s="513">
        <f t="shared" si="11"/>
        <v>0.18574646547800033</v>
      </c>
    </row>
    <row r="158" spans="2:15" s="66" customFormat="1" x14ac:dyDescent="0.35">
      <c r="B158" s="379" t="str">
        <f>+B157</f>
        <v>SAPN</v>
      </c>
      <c r="C158" s="379" t="str">
        <f t="shared" si="10"/>
        <v xml:space="preserve">Small business </v>
      </c>
      <c r="D158" s="379" t="s">
        <v>13</v>
      </c>
      <c r="E158" s="379"/>
      <c r="F158" s="379"/>
      <c r="G158" s="379" t="s">
        <v>158</v>
      </c>
      <c r="H158" s="379" t="s">
        <v>46</v>
      </c>
      <c r="I158" s="792">
        <v>45.805818495391733</v>
      </c>
      <c r="J158" s="792">
        <v>44.85920546426</v>
      </c>
      <c r="K158" s="793" t="s">
        <v>68</v>
      </c>
      <c r="L158" s="794" t="s">
        <v>219</v>
      </c>
      <c r="M158" s="800" t="s">
        <v>381</v>
      </c>
      <c r="N158" s="513">
        <f t="shared" si="11"/>
        <v>-2.066578138379882E-2</v>
      </c>
    </row>
    <row r="159" spans="2:15" s="66" customFormat="1" x14ac:dyDescent="0.35">
      <c r="B159" s="379" t="s">
        <v>2</v>
      </c>
      <c r="C159" s="379" t="str">
        <f t="shared" ref="C159:C208" si="12">IF(D159="","All",D159&amp;" "&amp;E159)</f>
        <v>Residential Flat rate</v>
      </c>
      <c r="D159" s="379" t="s">
        <v>6</v>
      </c>
      <c r="E159" s="379" t="s">
        <v>19</v>
      </c>
      <c r="F159" s="379" t="s">
        <v>19</v>
      </c>
      <c r="G159" s="379" t="s">
        <v>24</v>
      </c>
      <c r="H159" s="379" t="s">
        <v>247</v>
      </c>
      <c r="I159" s="802">
        <v>3900</v>
      </c>
      <c r="J159" s="802">
        <v>3900</v>
      </c>
      <c r="K159" s="793" t="s">
        <v>25</v>
      </c>
      <c r="L159" s="794" t="s">
        <v>382</v>
      </c>
      <c r="M159" s="794" t="s">
        <v>448</v>
      </c>
      <c r="N159" s="513">
        <f t="shared" si="11"/>
        <v>0</v>
      </c>
    </row>
    <row r="160" spans="2:15" s="66" customFormat="1" x14ac:dyDescent="0.35">
      <c r="B160" s="379" t="s">
        <v>4</v>
      </c>
      <c r="C160" s="379" t="str">
        <f t="shared" si="12"/>
        <v>Residential Flat rate</v>
      </c>
      <c r="D160" s="379" t="s">
        <v>6</v>
      </c>
      <c r="E160" s="379" t="s">
        <v>19</v>
      </c>
      <c r="F160" s="379" t="s">
        <v>19</v>
      </c>
      <c r="G160" s="379" t="s">
        <v>24</v>
      </c>
      <c r="H160" s="379" t="s">
        <v>247</v>
      </c>
      <c r="I160" s="802">
        <v>4900</v>
      </c>
      <c r="J160" s="802">
        <v>4900</v>
      </c>
      <c r="K160" s="793" t="s">
        <v>25</v>
      </c>
      <c r="L160" s="794" t="s">
        <v>382</v>
      </c>
      <c r="M160" s="794" t="s">
        <v>448</v>
      </c>
      <c r="N160" s="513">
        <f t="shared" si="11"/>
        <v>0</v>
      </c>
    </row>
    <row r="161" spans="2:14" s="66" customFormat="1" x14ac:dyDescent="0.35">
      <c r="B161" s="379" t="s">
        <v>0</v>
      </c>
      <c r="C161" s="379" t="str">
        <f t="shared" si="12"/>
        <v>Residential Flat rate</v>
      </c>
      <c r="D161" s="379" t="s">
        <v>6</v>
      </c>
      <c r="E161" s="379" t="s">
        <v>19</v>
      </c>
      <c r="F161" s="379" t="s">
        <v>19</v>
      </c>
      <c r="G161" s="379" t="s">
        <v>24</v>
      </c>
      <c r="H161" s="379" t="s">
        <v>247</v>
      </c>
      <c r="I161" s="802">
        <v>4600</v>
      </c>
      <c r="J161" s="802">
        <v>4600</v>
      </c>
      <c r="K161" s="793" t="s">
        <v>25</v>
      </c>
      <c r="L161" s="794" t="s">
        <v>382</v>
      </c>
      <c r="M161" s="794" t="s">
        <v>448</v>
      </c>
      <c r="N161" s="513">
        <f t="shared" si="11"/>
        <v>0</v>
      </c>
    </row>
    <row r="162" spans="2:14" s="66" customFormat="1" x14ac:dyDescent="0.35">
      <c r="B162" s="379" t="s">
        <v>3</v>
      </c>
      <c r="C162" s="379" t="str">
        <f t="shared" si="12"/>
        <v>Residential Flat rate</v>
      </c>
      <c r="D162" s="379" t="s">
        <v>6</v>
      </c>
      <c r="E162" s="379" t="s">
        <v>19</v>
      </c>
      <c r="F162" s="379" t="s">
        <v>19</v>
      </c>
      <c r="G162" s="379" t="s">
        <v>24</v>
      </c>
      <c r="H162" s="379" t="s">
        <v>247</v>
      </c>
      <c r="I162" s="802">
        <v>4600</v>
      </c>
      <c r="J162" s="802">
        <v>4600</v>
      </c>
      <c r="K162" s="793" t="s">
        <v>25</v>
      </c>
      <c r="L162" s="794" t="s">
        <v>382</v>
      </c>
      <c r="M162" s="794" t="s">
        <v>448</v>
      </c>
      <c r="N162" s="513">
        <f t="shared" si="11"/>
        <v>0</v>
      </c>
    </row>
    <row r="163" spans="2:14" s="66" customFormat="1" x14ac:dyDescent="0.35">
      <c r="B163" s="379" t="s">
        <v>5</v>
      </c>
      <c r="C163" s="379" t="str">
        <f t="shared" si="12"/>
        <v>Residential Flat rate</v>
      </c>
      <c r="D163" s="379" t="s">
        <v>6</v>
      </c>
      <c r="E163" s="379" t="s">
        <v>19</v>
      </c>
      <c r="F163" s="379" t="s">
        <v>19</v>
      </c>
      <c r="G163" s="379" t="s">
        <v>24</v>
      </c>
      <c r="H163" s="379" t="s">
        <v>247</v>
      </c>
      <c r="I163" s="802">
        <v>4000</v>
      </c>
      <c r="J163" s="802">
        <v>4000</v>
      </c>
      <c r="K163" s="793" t="s">
        <v>25</v>
      </c>
      <c r="L163" s="794" t="s">
        <v>382</v>
      </c>
      <c r="M163" s="794" t="s">
        <v>448</v>
      </c>
      <c r="N163" s="513">
        <f t="shared" si="11"/>
        <v>0</v>
      </c>
    </row>
    <row r="164" spans="2:14" s="66" customFormat="1" x14ac:dyDescent="0.35">
      <c r="B164" s="379" t="s">
        <v>2</v>
      </c>
      <c r="C164" s="379" t="str">
        <f t="shared" si="12"/>
        <v>Residential with CL</v>
      </c>
      <c r="D164" s="379" t="s">
        <v>6</v>
      </c>
      <c r="E164" s="379" t="s">
        <v>124</v>
      </c>
      <c r="F164" s="379" t="s">
        <v>124</v>
      </c>
      <c r="G164" s="379" t="s">
        <v>24</v>
      </c>
      <c r="H164" s="379" t="s">
        <v>247</v>
      </c>
      <c r="I164" s="802">
        <v>4800</v>
      </c>
      <c r="J164" s="802">
        <v>4800</v>
      </c>
      <c r="K164" s="793" t="s">
        <v>25</v>
      </c>
      <c r="L164" s="794" t="s">
        <v>382</v>
      </c>
      <c r="M164" s="794" t="s">
        <v>448</v>
      </c>
      <c r="N164" s="513">
        <f t="shared" si="11"/>
        <v>0</v>
      </c>
    </row>
    <row r="165" spans="2:14" s="66" customFormat="1" x14ac:dyDescent="0.35">
      <c r="B165" s="379" t="s">
        <v>4</v>
      </c>
      <c r="C165" s="379" t="str">
        <f t="shared" si="12"/>
        <v>Residential with CL</v>
      </c>
      <c r="D165" s="379" t="s">
        <v>6</v>
      </c>
      <c r="E165" s="379" t="s">
        <v>124</v>
      </c>
      <c r="F165" s="379" t="s">
        <v>124</v>
      </c>
      <c r="G165" s="379" t="s">
        <v>24</v>
      </c>
      <c r="H165" s="379" t="s">
        <v>247</v>
      </c>
      <c r="I165" s="802">
        <v>5200</v>
      </c>
      <c r="J165" s="802">
        <v>5200</v>
      </c>
      <c r="K165" s="793" t="s">
        <v>25</v>
      </c>
      <c r="L165" s="794" t="s">
        <v>382</v>
      </c>
      <c r="M165" s="794" t="s">
        <v>448</v>
      </c>
      <c r="N165" s="513">
        <f t="shared" si="11"/>
        <v>0</v>
      </c>
    </row>
    <row r="166" spans="2:14" s="66" customFormat="1" x14ac:dyDescent="0.35">
      <c r="B166" s="379" t="s">
        <v>0</v>
      </c>
      <c r="C166" s="379" t="str">
        <f t="shared" si="12"/>
        <v>Residential with CL</v>
      </c>
      <c r="D166" s="379" t="s">
        <v>6</v>
      </c>
      <c r="E166" s="379" t="s">
        <v>124</v>
      </c>
      <c r="F166" s="379" t="s">
        <v>124</v>
      </c>
      <c r="G166" s="379" t="s">
        <v>24</v>
      </c>
      <c r="H166" s="379" t="s">
        <v>247</v>
      </c>
      <c r="I166" s="802">
        <v>4400</v>
      </c>
      <c r="J166" s="802">
        <v>4400</v>
      </c>
      <c r="K166" s="793" t="s">
        <v>25</v>
      </c>
      <c r="L166" s="794" t="s">
        <v>382</v>
      </c>
      <c r="M166" s="794" t="s">
        <v>448</v>
      </c>
      <c r="N166" s="513">
        <f t="shared" si="11"/>
        <v>0</v>
      </c>
    </row>
    <row r="167" spans="2:14" s="66" customFormat="1" x14ac:dyDescent="0.35">
      <c r="B167" s="379" t="s">
        <v>3</v>
      </c>
      <c r="C167" s="379" t="str">
        <f t="shared" si="12"/>
        <v>Residential with CL</v>
      </c>
      <c r="D167" s="379" t="s">
        <v>6</v>
      </c>
      <c r="E167" s="379" t="s">
        <v>124</v>
      </c>
      <c r="F167" s="379" t="s">
        <v>124</v>
      </c>
      <c r="G167" s="379" t="s">
        <v>24</v>
      </c>
      <c r="H167" s="379" t="s">
        <v>247</v>
      </c>
      <c r="I167" s="802">
        <v>4600</v>
      </c>
      <c r="J167" s="802">
        <v>4600</v>
      </c>
      <c r="K167" s="793" t="s">
        <v>25</v>
      </c>
      <c r="L167" s="794" t="s">
        <v>382</v>
      </c>
      <c r="M167" s="794" t="s">
        <v>448</v>
      </c>
      <c r="N167" s="513">
        <f t="shared" si="11"/>
        <v>0</v>
      </c>
    </row>
    <row r="168" spans="2:14" s="66" customFormat="1" x14ac:dyDescent="0.35">
      <c r="B168" s="379" t="s">
        <v>5</v>
      </c>
      <c r="C168" s="379" t="str">
        <f t="shared" si="12"/>
        <v>Residential with CL</v>
      </c>
      <c r="D168" s="379" t="s">
        <v>6</v>
      </c>
      <c r="E168" s="379" t="s">
        <v>124</v>
      </c>
      <c r="F168" s="379" t="s">
        <v>124</v>
      </c>
      <c r="G168" s="379" t="s">
        <v>24</v>
      </c>
      <c r="H168" s="379" t="s">
        <v>247</v>
      </c>
      <c r="I168" s="802">
        <v>4200</v>
      </c>
      <c r="J168" s="802">
        <v>4200</v>
      </c>
      <c r="K168" s="793" t="s">
        <v>25</v>
      </c>
      <c r="L168" s="794" t="s">
        <v>382</v>
      </c>
      <c r="M168" s="794" t="s">
        <v>448</v>
      </c>
      <c r="N168" s="513">
        <f t="shared" si="11"/>
        <v>0</v>
      </c>
    </row>
    <row r="169" spans="2:14" s="66" customFormat="1" x14ac:dyDescent="0.35">
      <c r="B169" s="379" t="s">
        <v>2</v>
      </c>
      <c r="C169" s="379" t="str">
        <f t="shared" si="12"/>
        <v>All</v>
      </c>
      <c r="D169" s="379"/>
      <c r="E169" s="379" t="s">
        <v>285</v>
      </c>
      <c r="F169" s="379" t="s">
        <v>16</v>
      </c>
      <c r="G169" s="379" t="s">
        <v>24</v>
      </c>
      <c r="H169" s="379" t="s">
        <v>247</v>
      </c>
      <c r="I169" s="802">
        <v>2000</v>
      </c>
      <c r="J169" s="802">
        <v>2000</v>
      </c>
      <c r="K169" s="793" t="s">
        <v>25</v>
      </c>
      <c r="L169" s="794" t="s">
        <v>382</v>
      </c>
      <c r="M169" s="794" t="s">
        <v>448</v>
      </c>
      <c r="N169" s="513">
        <f t="shared" si="11"/>
        <v>0</v>
      </c>
    </row>
    <row r="170" spans="2:14" s="66" customFormat="1" x14ac:dyDescent="0.35">
      <c r="B170" s="379" t="s">
        <v>4</v>
      </c>
      <c r="C170" s="379" t="str">
        <f t="shared" si="12"/>
        <v>All</v>
      </c>
      <c r="D170" s="379"/>
      <c r="E170" s="379" t="s">
        <v>285</v>
      </c>
      <c r="F170" s="379" t="s">
        <v>16</v>
      </c>
      <c r="G170" s="379" t="s">
        <v>24</v>
      </c>
      <c r="H170" s="379" t="s">
        <v>247</v>
      </c>
      <c r="I170" s="802">
        <v>2200</v>
      </c>
      <c r="J170" s="802">
        <v>2200</v>
      </c>
      <c r="K170" s="793" t="s">
        <v>25</v>
      </c>
      <c r="L170" s="794" t="s">
        <v>382</v>
      </c>
      <c r="M170" s="794" t="s">
        <v>448</v>
      </c>
      <c r="N170" s="513">
        <f t="shared" si="11"/>
        <v>0</v>
      </c>
    </row>
    <row r="171" spans="2:14" s="66" customFormat="1" x14ac:dyDescent="0.35">
      <c r="B171" s="379" t="s">
        <v>0</v>
      </c>
      <c r="C171" s="379" t="str">
        <f t="shared" si="12"/>
        <v>All</v>
      </c>
      <c r="D171" s="379"/>
      <c r="E171" s="379" t="s">
        <v>285</v>
      </c>
      <c r="F171" s="379" t="s">
        <v>16</v>
      </c>
      <c r="G171" s="379" t="s">
        <v>24</v>
      </c>
      <c r="H171" s="379" t="s">
        <v>247</v>
      </c>
      <c r="I171" s="802">
        <v>1900</v>
      </c>
      <c r="J171" s="802">
        <v>1900</v>
      </c>
      <c r="K171" s="793" t="s">
        <v>25</v>
      </c>
      <c r="L171" s="794" t="s">
        <v>382</v>
      </c>
      <c r="M171" s="794" t="s">
        <v>448</v>
      </c>
      <c r="N171" s="513">
        <f t="shared" si="11"/>
        <v>0</v>
      </c>
    </row>
    <row r="172" spans="2:14" s="66" customFormat="1" x14ac:dyDescent="0.35">
      <c r="B172" s="379" t="s">
        <v>3</v>
      </c>
      <c r="C172" s="379" t="str">
        <f t="shared" si="12"/>
        <v>All</v>
      </c>
      <c r="D172" s="379"/>
      <c r="E172" s="379" t="s">
        <v>285</v>
      </c>
      <c r="F172" s="379" t="s">
        <v>16</v>
      </c>
      <c r="G172" s="379" t="s">
        <v>24</v>
      </c>
      <c r="H172" s="379" t="s">
        <v>247</v>
      </c>
      <c r="I172" s="802">
        <v>2000</v>
      </c>
      <c r="J172" s="802">
        <v>2000</v>
      </c>
      <c r="K172" s="793" t="s">
        <v>25</v>
      </c>
      <c r="L172" s="794" t="s">
        <v>382</v>
      </c>
      <c r="M172" s="794" t="s">
        <v>448</v>
      </c>
      <c r="N172" s="513">
        <f t="shared" si="11"/>
        <v>0</v>
      </c>
    </row>
    <row r="173" spans="2:14" s="66" customFormat="1" x14ac:dyDescent="0.35">
      <c r="B173" s="379" t="s">
        <v>5</v>
      </c>
      <c r="C173" s="379" t="str">
        <f t="shared" si="12"/>
        <v>All</v>
      </c>
      <c r="D173" s="379"/>
      <c r="E173" s="379" t="s">
        <v>285</v>
      </c>
      <c r="F173" s="379" t="s">
        <v>16</v>
      </c>
      <c r="G173" s="379" t="s">
        <v>24</v>
      </c>
      <c r="H173" s="379" t="s">
        <v>247</v>
      </c>
      <c r="I173" s="802">
        <v>1800</v>
      </c>
      <c r="J173" s="802">
        <v>1800</v>
      </c>
      <c r="K173" s="793" t="s">
        <v>25</v>
      </c>
      <c r="L173" s="794" t="s">
        <v>382</v>
      </c>
      <c r="M173" s="794" t="s">
        <v>448</v>
      </c>
      <c r="N173" s="513">
        <f t="shared" si="11"/>
        <v>0</v>
      </c>
    </row>
    <row r="174" spans="2:14" s="66" customFormat="1" x14ac:dyDescent="0.35">
      <c r="B174" s="379" t="s">
        <v>2</v>
      </c>
      <c r="C174" s="379" t="str">
        <f t="shared" si="12"/>
        <v>All</v>
      </c>
      <c r="D174" s="379"/>
      <c r="E174" s="379" t="s">
        <v>285</v>
      </c>
      <c r="F174" s="379" t="s">
        <v>14</v>
      </c>
      <c r="G174" s="379" t="s">
        <v>56</v>
      </c>
      <c r="H174" s="379" t="s">
        <v>247</v>
      </c>
      <c r="I174" s="782">
        <v>0.67</v>
      </c>
      <c r="J174" s="782">
        <v>0.67</v>
      </c>
      <c r="K174" s="793" t="s">
        <v>27</v>
      </c>
      <c r="L174" s="794" t="s">
        <v>218</v>
      </c>
      <c r="M174" s="794" t="s">
        <v>448</v>
      </c>
      <c r="N174" s="513">
        <f t="shared" si="11"/>
        <v>0</v>
      </c>
    </row>
    <row r="175" spans="2:14" s="803" customFormat="1" x14ac:dyDescent="0.35">
      <c r="B175" s="379" t="s">
        <v>4</v>
      </c>
      <c r="C175" s="379" t="str">
        <f t="shared" si="12"/>
        <v>All</v>
      </c>
      <c r="D175" s="379"/>
      <c r="E175" s="379" t="s">
        <v>285</v>
      </c>
      <c r="F175" s="379" t="s">
        <v>14</v>
      </c>
      <c r="G175" s="379" t="s">
        <v>56</v>
      </c>
      <c r="H175" s="379" t="s">
        <v>247</v>
      </c>
      <c r="I175" s="782">
        <v>0.67</v>
      </c>
      <c r="J175" s="782">
        <v>0.67</v>
      </c>
      <c r="K175" s="793" t="s">
        <v>27</v>
      </c>
      <c r="L175" s="794" t="s">
        <v>218</v>
      </c>
      <c r="M175" s="794" t="s">
        <v>448</v>
      </c>
      <c r="N175" s="513">
        <f t="shared" si="11"/>
        <v>0</v>
      </c>
    </row>
    <row r="176" spans="2:14" s="803" customFormat="1" x14ac:dyDescent="0.35">
      <c r="B176" s="379" t="s">
        <v>0</v>
      </c>
      <c r="C176" s="379" t="str">
        <f t="shared" si="12"/>
        <v>All</v>
      </c>
      <c r="D176" s="379"/>
      <c r="E176" s="379" t="s">
        <v>285</v>
      </c>
      <c r="F176" s="379" t="s">
        <v>14</v>
      </c>
      <c r="G176" s="379" t="s">
        <v>56</v>
      </c>
      <c r="H176" s="379" t="s">
        <v>247</v>
      </c>
      <c r="I176" s="782">
        <v>0.28999999999999998</v>
      </c>
      <c r="J176" s="782">
        <v>0.28999999999999998</v>
      </c>
      <c r="K176" s="793" t="s">
        <v>27</v>
      </c>
      <c r="L176" s="794" t="s">
        <v>218</v>
      </c>
      <c r="M176" s="794" t="s">
        <v>448</v>
      </c>
      <c r="N176" s="513">
        <f t="shared" si="11"/>
        <v>0</v>
      </c>
    </row>
    <row r="177" spans="2:14" s="803" customFormat="1" x14ac:dyDescent="0.35">
      <c r="B177" s="379" t="s">
        <v>3</v>
      </c>
      <c r="C177" s="379" t="str">
        <f t="shared" si="12"/>
        <v>All</v>
      </c>
      <c r="D177" s="379"/>
      <c r="E177" s="379" t="s">
        <v>285</v>
      </c>
      <c r="F177" s="379" t="s">
        <v>14</v>
      </c>
      <c r="G177" s="379" t="s">
        <v>56</v>
      </c>
      <c r="H177" s="379" t="s">
        <v>247</v>
      </c>
      <c r="I177" s="782">
        <v>0.77</v>
      </c>
      <c r="J177" s="782">
        <v>0.77</v>
      </c>
      <c r="K177" s="793" t="s">
        <v>27</v>
      </c>
      <c r="L177" s="794" t="s">
        <v>218</v>
      </c>
      <c r="M177" s="794" t="s">
        <v>448</v>
      </c>
      <c r="N177" s="513">
        <f t="shared" si="11"/>
        <v>0</v>
      </c>
    </row>
    <row r="178" spans="2:14" s="803" customFormat="1" x14ac:dyDescent="0.35">
      <c r="B178" s="379" t="s">
        <v>5</v>
      </c>
      <c r="C178" s="379" t="str">
        <f t="shared" si="12"/>
        <v>All</v>
      </c>
      <c r="D178" s="379"/>
      <c r="E178" s="379" t="s">
        <v>285</v>
      </c>
      <c r="F178" s="379" t="s">
        <v>14</v>
      </c>
      <c r="G178" s="379" t="s">
        <v>56</v>
      </c>
      <c r="H178" s="379" t="s">
        <v>247</v>
      </c>
      <c r="I178" s="782">
        <v>1</v>
      </c>
      <c r="J178" s="782">
        <v>1</v>
      </c>
      <c r="K178" s="793" t="s">
        <v>27</v>
      </c>
      <c r="L178" s="794" t="s">
        <v>218</v>
      </c>
      <c r="M178" s="794" t="s">
        <v>448</v>
      </c>
      <c r="N178" s="513">
        <f t="shared" si="11"/>
        <v>0</v>
      </c>
    </row>
    <row r="179" spans="2:14" s="66" customFormat="1" x14ac:dyDescent="0.35">
      <c r="B179" s="379" t="s">
        <v>2</v>
      </c>
      <c r="C179" s="379" t="str">
        <f>IF(D179="","All",D179&amp;" "&amp;E179)</f>
        <v>All</v>
      </c>
      <c r="D179" s="379"/>
      <c r="E179" s="379" t="s">
        <v>285</v>
      </c>
      <c r="F179" s="379" t="s">
        <v>15</v>
      </c>
      <c r="G179" s="379" t="s">
        <v>87</v>
      </c>
      <c r="H179" s="379" t="s">
        <v>247</v>
      </c>
      <c r="I179" s="782">
        <v>0.32999999999999996</v>
      </c>
      <c r="J179" s="782">
        <v>0.32999999999999996</v>
      </c>
      <c r="K179" s="793" t="s">
        <v>27</v>
      </c>
      <c r="L179" s="794" t="s">
        <v>218</v>
      </c>
      <c r="M179" s="794" t="s">
        <v>448</v>
      </c>
      <c r="N179" s="513">
        <f t="shared" si="11"/>
        <v>0</v>
      </c>
    </row>
    <row r="180" spans="2:14" s="803" customFormat="1" x14ac:dyDescent="0.35">
      <c r="B180" s="379" t="s">
        <v>4</v>
      </c>
      <c r="C180" s="379" t="str">
        <f>IF(D180="","All",D180&amp;" "&amp;E180)</f>
        <v>All</v>
      </c>
      <c r="D180" s="379"/>
      <c r="E180" s="379" t="s">
        <v>285</v>
      </c>
      <c r="F180" s="379" t="s">
        <v>15</v>
      </c>
      <c r="G180" s="379" t="s">
        <v>87</v>
      </c>
      <c r="H180" s="379" t="s">
        <v>247</v>
      </c>
      <c r="I180" s="782">
        <v>0.32999999999999996</v>
      </c>
      <c r="J180" s="782">
        <v>0.32999999999999996</v>
      </c>
      <c r="K180" s="793" t="s">
        <v>27</v>
      </c>
      <c r="L180" s="794" t="s">
        <v>218</v>
      </c>
      <c r="M180" s="794" t="s">
        <v>448</v>
      </c>
      <c r="N180" s="513">
        <f t="shared" si="11"/>
        <v>0</v>
      </c>
    </row>
    <row r="181" spans="2:14" s="803" customFormat="1" x14ac:dyDescent="0.35">
      <c r="B181" s="379" t="s">
        <v>0</v>
      </c>
      <c r="C181" s="379" t="str">
        <f>IF(D181="","All",D181&amp;" "&amp;E181)</f>
        <v>All</v>
      </c>
      <c r="D181" s="379"/>
      <c r="E181" s="379" t="s">
        <v>285</v>
      </c>
      <c r="F181" s="379" t="s">
        <v>15</v>
      </c>
      <c r="G181" s="379" t="s">
        <v>87</v>
      </c>
      <c r="H181" s="379" t="s">
        <v>247</v>
      </c>
      <c r="I181" s="782">
        <v>0.71</v>
      </c>
      <c r="J181" s="782">
        <v>0.71</v>
      </c>
      <c r="K181" s="793" t="s">
        <v>27</v>
      </c>
      <c r="L181" s="794" t="s">
        <v>218</v>
      </c>
      <c r="M181" s="794" t="s">
        <v>448</v>
      </c>
      <c r="N181" s="513">
        <f t="shared" si="11"/>
        <v>0</v>
      </c>
    </row>
    <row r="182" spans="2:14" s="803" customFormat="1" x14ac:dyDescent="0.35">
      <c r="B182" s="379" t="s">
        <v>3</v>
      </c>
      <c r="C182" s="379" t="str">
        <f>IF(D182="","All",D182&amp;" "&amp;E182)</f>
        <v>All</v>
      </c>
      <c r="D182" s="379"/>
      <c r="E182" s="379" t="s">
        <v>285</v>
      </c>
      <c r="F182" s="379" t="s">
        <v>15</v>
      </c>
      <c r="G182" s="379" t="s">
        <v>87</v>
      </c>
      <c r="H182" s="379" t="s">
        <v>247</v>
      </c>
      <c r="I182" s="782">
        <v>0.22999999999999998</v>
      </c>
      <c r="J182" s="782">
        <v>0.22999999999999998</v>
      </c>
      <c r="K182" s="793" t="s">
        <v>27</v>
      </c>
      <c r="L182" s="794" t="s">
        <v>218</v>
      </c>
      <c r="M182" s="794" t="s">
        <v>448</v>
      </c>
      <c r="N182" s="513">
        <f t="shared" si="11"/>
        <v>0</v>
      </c>
    </row>
    <row r="183" spans="2:14" s="803" customFormat="1" x14ac:dyDescent="0.35">
      <c r="B183" s="379" t="s">
        <v>5</v>
      </c>
      <c r="C183" s="379" t="str">
        <f>IF(D183="","All",D183&amp;" "&amp;E183)</f>
        <v>All</v>
      </c>
      <c r="D183" s="379"/>
      <c r="E183" s="379" t="s">
        <v>285</v>
      </c>
      <c r="F183" s="379" t="s">
        <v>15</v>
      </c>
      <c r="G183" s="379" t="s">
        <v>87</v>
      </c>
      <c r="H183" s="379" t="s">
        <v>247</v>
      </c>
      <c r="I183" s="782">
        <v>0</v>
      </c>
      <c r="J183" s="782">
        <v>0</v>
      </c>
      <c r="K183" s="793" t="s">
        <v>27</v>
      </c>
      <c r="L183" s="794" t="s">
        <v>218</v>
      </c>
      <c r="M183" s="794" t="s">
        <v>448</v>
      </c>
      <c r="N183" s="513">
        <f t="shared" si="11"/>
        <v>0</v>
      </c>
    </row>
    <row r="184" spans="2:14" s="66" customFormat="1" x14ac:dyDescent="0.35">
      <c r="B184" s="379" t="s">
        <v>2</v>
      </c>
      <c r="C184" s="379" t="str">
        <f t="shared" si="12"/>
        <v>Small business Flat rate</v>
      </c>
      <c r="D184" s="379" t="s">
        <v>13</v>
      </c>
      <c r="E184" s="379" t="s">
        <v>19</v>
      </c>
      <c r="F184" s="379" t="s">
        <v>19</v>
      </c>
      <c r="G184" s="379" t="s">
        <v>24</v>
      </c>
      <c r="H184" s="379" t="s">
        <v>247</v>
      </c>
      <c r="I184" s="802">
        <v>10000</v>
      </c>
      <c r="J184" s="802">
        <v>10000</v>
      </c>
      <c r="K184" s="793" t="s">
        <v>25</v>
      </c>
      <c r="L184" s="794" t="s">
        <v>382</v>
      </c>
      <c r="M184" s="794" t="s">
        <v>448</v>
      </c>
      <c r="N184" s="513">
        <f t="shared" si="11"/>
        <v>0</v>
      </c>
    </row>
    <row r="185" spans="2:14" s="66" customFormat="1" x14ac:dyDescent="0.35">
      <c r="B185" s="379" t="s">
        <v>4</v>
      </c>
      <c r="C185" s="379" t="str">
        <f t="shared" si="12"/>
        <v>Small business Flat rate</v>
      </c>
      <c r="D185" s="379" t="s">
        <v>13</v>
      </c>
      <c r="E185" s="379" t="s">
        <v>19</v>
      </c>
      <c r="F185" s="379" t="s">
        <v>19</v>
      </c>
      <c r="G185" s="379" t="s">
        <v>24</v>
      </c>
      <c r="H185" s="379" t="s">
        <v>247</v>
      </c>
      <c r="I185" s="802">
        <v>10000</v>
      </c>
      <c r="J185" s="802">
        <v>10000</v>
      </c>
      <c r="K185" s="793" t="s">
        <v>25</v>
      </c>
      <c r="L185" s="794" t="s">
        <v>382</v>
      </c>
      <c r="M185" s="794" t="s">
        <v>448</v>
      </c>
      <c r="N185" s="513">
        <f t="shared" si="11"/>
        <v>0</v>
      </c>
    </row>
    <row r="186" spans="2:14" s="66" customFormat="1" x14ac:dyDescent="0.35">
      <c r="B186" s="379" t="s">
        <v>0</v>
      </c>
      <c r="C186" s="379" t="str">
        <f t="shared" si="12"/>
        <v>Small business Flat rate</v>
      </c>
      <c r="D186" s="379" t="s">
        <v>13</v>
      </c>
      <c r="E186" s="379" t="s">
        <v>19</v>
      </c>
      <c r="F186" s="379" t="s">
        <v>19</v>
      </c>
      <c r="G186" s="379" t="s">
        <v>24</v>
      </c>
      <c r="H186" s="379" t="s">
        <v>247</v>
      </c>
      <c r="I186" s="802">
        <v>10000</v>
      </c>
      <c r="J186" s="802">
        <v>10000</v>
      </c>
      <c r="K186" s="793" t="s">
        <v>25</v>
      </c>
      <c r="L186" s="794" t="s">
        <v>382</v>
      </c>
      <c r="M186" s="794" t="s">
        <v>448</v>
      </c>
      <c r="N186" s="513">
        <f t="shared" si="11"/>
        <v>0</v>
      </c>
    </row>
    <row r="187" spans="2:14" s="66" customFormat="1" x14ac:dyDescent="0.35">
      <c r="B187" s="379" t="s">
        <v>3</v>
      </c>
      <c r="C187" s="379" t="str">
        <f t="shared" si="12"/>
        <v>Small business Flat rate</v>
      </c>
      <c r="D187" s="379" t="s">
        <v>13</v>
      </c>
      <c r="E187" s="379" t="s">
        <v>19</v>
      </c>
      <c r="F187" s="379" t="s">
        <v>19</v>
      </c>
      <c r="G187" s="379" t="s">
        <v>24</v>
      </c>
      <c r="H187" s="379" t="s">
        <v>247</v>
      </c>
      <c r="I187" s="802">
        <v>10000</v>
      </c>
      <c r="J187" s="802">
        <v>10000</v>
      </c>
      <c r="K187" s="793" t="s">
        <v>25</v>
      </c>
      <c r="L187" s="794" t="s">
        <v>382</v>
      </c>
      <c r="M187" s="794" t="s">
        <v>448</v>
      </c>
      <c r="N187" s="513">
        <f t="shared" si="11"/>
        <v>0</v>
      </c>
    </row>
    <row r="188" spans="2:14" s="66" customFormat="1" x14ac:dyDescent="0.35">
      <c r="B188" s="379" t="s">
        <v>5</v>
      </c>
      <c r="C188" s="379" t="str">
        <f t="shared" si="12"/>
        <v>Small business Flat rate</v>
      </c>
      <c r="D188" s="379" t="s">
        <v>13</v>
      </c>
      <c r="E188" s="379" t="s">
        <v>19</v>
      </c>
      <c r="F188" s="379" t="s">
        <v>19</v>
      </c>
      <c r="G188" s="379" t="s">
        <v>24</v>
      </c>
      <c r="H188" s="379" t="s">
        <v>247</v>
      </c>
      <c r="I188" s="802">
        <v>10000</v>
      </c>
      <c r="J188" s="802">
        <v>10000</v>
      </c>
      <c r="K188" s="793" t="s">
        <v>25</v>
      </c>
      <c r="L188" s="794" t="s">
        <v>382</v>
      </c>
      <c r="M188" s="794" t="s">
        <v>448</v>
      </c>
      <c r="N188" s="513">
        <f t="shared" si="11"/>
        <v>0</v>
      </c>
    </row>
    <row r="189" spans="2:14" s="66" customFormat="1" x14ac:dyDescent="0.35">
      <c r="B189" s="379" t="s">
        <v>2</v>
      </c>
      <c r="C189" s="379" t="str">
        <f t="shared" si="12"/>
        <v>Residential Flat rate</v>
      </c>
      <c r="D189" s="379" t="s">
        <v>6</v>
      </c>
      <c r="E189" s="379" t="s">
        <v>19</v>
      </c>
      <c r="F189" s="379" t="s">
        <v>19</v>
      </c>
      <c r="G189" s="379" t="s">
        <v>67</v>
      </c>
      <c r="H189" s="379" t="s">
        <v>247</v>
      </c>
      <c r="I189" s="804">
        <v>1965</v>
      </c>
      <c r="J189" s="804">
        <v>1965</v>
      </c>
      <c r="K189" s="793" t="s">
        <v>68</v>
      </c>
      <c r="L189" s="794" t="s">
        <v>248</v>
      </c>
      <c r="M189" s="794" t="s">
        <v>448</v>
      </c>
      <c r="N189" s="513">
        <f t="shared" si="11"/>
        <v>0</v>
      </c>
    </row>
    <row r="190" spans="2:14" s="66" customFormat="1" x14ac:dyDescent="0.35">
      <c r="B190" s="379" t="s">
        <v>4</v>
      </c>
      <c r="C190" s="379" t="str">
        <f t="shared" si="12"/>
        <v>Residential Flat rate</v>
      </c>
      <c r="D190" s="379" t="s">
        <v>6</v>
      </c>
      <c r="E190" s="379" t="s">
        <v>19</v>
      </c>
      <c r="F190" s="379" t="s">
        <v>19</v>
      </c>
      <c r="G190" s="379" t="s">
        <v>67</v>
      </c>
      <c r="H190" s="379" t="s">
        <v>247</v>
      </c>
      <c r="I190" s="804">
        <v>2411</v>
      </c>
      <c r="J190" s="804">
        <v>2411</v>
      </c>
      <c r="K190" s="793" t="s">
        <v>68</v>
      </c>
      <c r="L190" s="794" t="s">
        <v>248</v>
      </c>
      <c r="M190" s="794" t="s">
        <v>448</v>
      </c>
      <c r="N190" s="513">
        <f t="shared" si="11"/>
        <v>0</v>
      </c>
    </row>
    <row r="191" spans="2:14" s="66" customFormat="1" x14ac:dyDescent="0.35">
      <c r="B191" s="379" t="s">
        <v>0</v>
      </c>
      <c r="C191" s="379" t="str">
        <f t="shared" si="12"/>
        <v>Residential Flat rate</v>
      </c>
      <c r="D191" s="379" t="s">
        <v>6</v>
      </c>
      <c r="E191" s="379" t="s">
        <v>19</v>
      </c>
      <c r="F191" s="379" t="s">
        <v>19</v>
      </c>
      <c r="G191" s="379" t="s">
        <v>67</v>
      </c>
      <c r="H191" s="379" t="s">
        <v>247</v>
      </c>
      <c r="I191" s="804">
        <v>2143</v>
      </c>
      <c r="J191" s="804">
        <v>2143</v>
      </c>
      <c r="K191" s="793" t="s">
        <v>68</v>
      </c>
      <c r="L191" s="794" t="s">
        <v>248</v>
      </c>
      <c r="M191" s="794" t="s">
        <v>448</v>
      </c>
      <c r="N191" s="513">
        <f t="shared" si="11"/>
        <v>0</v>
      </c>
    </row>
    <row r="192" spans="2:14" s="66" customFormat="1" x14ac:dyDescent="0.35">
      <c r="B192" s="379" t="s">
        <v>3</v>
      </c>
      <c r="C192" s="379" t="str">
        <f t="shared" si="12"/>
        <v>Residential Flat rate</v>
      </c>
      <c r="D192" s="379" t="s">
        <v>6</v>
      </c>
      <c r="E192" s="379" t="s">
        <v>19</v>
      </c>
      <c r="F192" s="379" t="s">
        <v>19</v>
      </c>
      <c r="G192" s="379" t="s">
        <v>67</v>
      </c>
      <c r="H192" s="379" t="s">
        <v>247</v>
      </c>
      <c r="I192" s="804">
        <v>2741</v>
      </c>
      <c r="J192" s="804">
        <v>2741</v>
      </c>
      <c r="K192" s="793" t="s">
        <v>68</v>
      </c>
      <c r="L192" s="794" t="s">
        <v>248</v>
      </c>
      <c r="M192" s="794" t="s">
        <v>448</v>
      </c>
      <c r="N192" s="513">
        <f t="shared" si="11"/>
        <v>0</v>
      </c>
    </row>
    <row r="193" spans="2:14" s="66" customFormat="1" x14ac:dyDescent="0.35">
      <c r="B193" s="379" t="s">
        <v>5</v>
      </c>
      <c r="C193" s="379" t="str">
        <f t="shared" si="12"/>
        <v>Residential Flat rate</v>
      </c>
      <c r="D193" s="379" t="s">
        <v>6</v>
      </c>
      <c r="E193" s="379" t="s">
        <v>19</v>
      </c>
      <c r="F193" s="379" t="s">
        <v>19</v>
      </c>
      <c r="G193" s="379" t="s">
        <v>67</v>
      </c>
      <c r="H193" s="379" t="s">
        <v>247</v>
      </c>
      <c r="I193" s="804">
        <v>2301</v>
      </c>
      <c r="J193" s="804">
        <v>2301</v>
      </c>
      <c r="K193" s="793" t="s">
        <v>68</v>
      </c>
      <c r="L193" s="794" t="s">
        <v>248</v>
      </c>
      <c r="M193" s="794" t="s">
        <v>448</v>
      </c>
      <c r="N193" s="513">
        <f t="shared" si="11"/>
        <v>0</v>
      </c>
    </row>
    <row r="194" spans="2:14" s="66" customFormat="1" x14ac:dyDescent="0.35">
      <c r="B194" s="379" t="s">
        <v>2</v>
      </c>
      <c r="C194" s="379" t="str">
        <f>IF(D194="","All",D194&amp;" "&amp;E194)</f>
        <v>Residential time of use</v>
      </c>
      <c r="D194" s="379" t="s">
        <v>6</v>
      </c>
      <c r="E194" s="379" t="s">
        <v>272</v>
      </c>
      <c r="F194" s="379" t="s">
        <v>272</v>
      </c>
      <c r="G194" s="379" t="s">
        <v>67</v>
      </c>
      <c r="H194" s="379" t="s">
        <v>247</v>
      </c>
      <c r="I194" s="804"/>
      <c r="J194" s="804">
        <v>1937.2794519449176</v>
      </c>
      <c r="K194" s="793" t="s">
        <v>68</v>
      </c>
      <c r="L194" s="794" t="s">
        <v>304</v>
      </c>
      <c r="M194" s="794" t="s">
        <v>448</v>
      </c>
      <c r="N194" s="513" t="str">
        <f t="shared" si="11"/>
        <v/>
      </c>
    </row>
    <row r="195" spans="2:14" s="66" customFormat="1" x14ac:dyDescent="0.35">
      <c r="B195" s="379" t="s">
        <v>4</v>
      </c>
      <c r="C195" s="379" t="str">
        <f>IF(D195="","All",D195&amp;" "&amp;E195)</f>
        <v>Residential time of use</v>
      </c>
      <c r="D195" s="379" t="s">
        <v>6</v>
      </c>
      <c r="E195" s="379" t="s">
        <v>272</v>
      </c>
      <c r="F195" s="379" t="s">
        <v>272</v>
      </c>
      <c r="G195" s="379" t="s">
        <v>67</v>
      </c>
      <c r="H195" s="379" t="s">
        <v>247</v>
      </c>
      <c r="I195" s="804"/>
      <c r="J195" s="804">
        <v>2412.9927384333064</v>
      </c>
      <c r="K195" s="793" t="s">
        <v>68</v>
      </c>
      <c r="L195" s="794" t="s">
        <v>304</v>
      </c>
      <c r="M195" s="794" t="s">
        <v>448</v>
      </c>
      <c r="N195" s="513" t="str">
        <f t="shared" si="11"/>
        <v/>
      </c>
    </row>
    <row r="196" spans="2:14" s="66" customFormat="1" x14ac:dyDescent="0.35">
      <c r="B196" s="379" t="s">
        <v>0</v>
      </c>
      <c r="C196" s="379" t="str">
        <f>IF(D196="","All",D196&amp;" "&amp;E196)</f>
        <v>Residential time of use</v>
      </c>
      <c r="D196" s="379" t="s">
        <v>6</v>
      </c>
      <c r="E196" s="379" t="s">
        <v>272</v>
      </c>
      <c r="F196" s="379" t="s">
        <v>272</v>
      </c>
      <c r="G196" s="379" t="s">
        <v>67</v>
      </c>
      <c r="H196" s="379" t="s">
        <v>247</v>
      </c>
      <c r="I196" s="804"/>
      <c r="J196" s="804">
        <v>2033.4873775522117</v>
      </c>
      <c r="K196" s="793" t="s">
        <v>68</v>
      </c>
      <c r="L196" s="794" t="s">
        <v>304</v>
      </c>
      <c r="M196" s="794" t="s">
        <v>448</v>
      </c>
      <c r="N196" s="513" t="str">
        <f t="shared" ref="N196:N259" si="13">IFERROR(IF(K196="%",J196-I196,J196/I196-1),"")</f>
        <v/>
      </c>
    </row>
    <row r="197" spans="2:14" s="66" customFormat="1" x14ac:dyDescent="0.35">
      <c r="B197" s="379" t="s">
        <v>3</v>
      </c>
      <c r="C197" s="379" t="str">
        <f>IF(D197="","All",D197&amp;" "&amp;E197)</f>
        <v>Residential time of use</v>
      </c>
      <c r="D197" s="379" t="s">
        <v>6</v>
      </c>
      <c r="E197" s="379" t="s">
        <v>272</v>
      </c>
      <c r="F197" s="379" t="s">
        <v>272</v>
      </c>
      <c r="G197" s="379" t="s">
        <v>67</v>
      </c>
      <c r="H197" s="379" t="s">
        <v>247</v>
      </c>
      <c r="I197" s="804"/>
      <c r="J197" s="804">
        <v>2576.8301771640936</v>
      </c>
      <c r="K197" s="793" t="s">
        <v>68</v>
      </c>
      <c r="L197" s="794" t="s">
        <v>304</v>
      </c>
      <c r="M197" s="794" t="s">
        <v>448</v>
      </c>
      <c r="N197" s="513" t="str">
        <f t="shared" si="13"/>
        <v/>
      </c>
    </row>
    <row r="198" spans="2:14" s="66" customFormat="1" x14ac:dyDescent="0.35">
      <c r="B198" s="379" t="s">
        <v>5</v>
      </c>
      <c r="C198" s="379" t="str">
        <f>IF(D198="","All",D198&amp;" "&amp;E198)</f>
        <v>Residential time of use</v>
      </c>
      <c r="D198" s="379" t="s">
        <v>6</v>
      </c>
      <c r="E198" s="379" t="s">
        <v>272</v>
      </c>
      <c r="F198" s="379" t="s">
        <v>272</v>
      </c>
      <c r="G198" s="379" t="s">
        <v>67</v>
      </c>
      <c r="H198" s="379" t="s">
        <v>247</v>
      </c>
      <c r="I198" s="804"/>
      <c r="J198" s="804">
        <v>2249.8457077555518</v>
      </c>
      <c r="K198" s="793" t="s">
        <v>68</v>
      </c>
      <c r="L198" s="794" t="s">
        <v>304</v>
      </c>
      <c r="M198" s="794" t="s">
        <v>448</v>
      </c>
      <c r="N198" s="513" t="str">
        <f t="shared" si="13"/>
        <v/>
      </c>
    </row>
    <row r="199" spans="2:14" s="66" customFormat="1" x14ac:dyDescent="0.35">
      <c r="B199" s="379" t="s">
        <v>2</v>
      </c>
      <c r="C199" s="379" t="str">
        <f t="shared" si="12"/>
        <v>Residential Flat rate</v>
      </c>
      <c r="D199" s="379" t="s">
        <v>6</v>
      </c>
      <c r="E199" s="379" t="s">
        <v>19</v>
      </c>
      <c r="F199" s="379" t="s">
        <v>19</v>
      </c>
      <c r="G199" s="379" t="s">
        <v>67</v>
      </c>
      <c r="H199" s="379" t="s">
        <v>247</v>
      </c>
      <c r="I199" s="804">
        <v>2717</v>
      </c>
      <c r="J199" s="804">
        <v>2717</v>
      </c>
      <c r="K199" s="793" t="s">
        <v>68</v>
      </c>
      <c r="L199" s="794" t="s">
        <v>248</v>
      </c>
      <c r="M199" s="794" t="s">
        <v>448</v>
      </c>
      <c r="N199" s="513">
        <f t="shared" si="13"/>
        <v>0</v>
      </c>
    </row>
    <row r="200" spans="2:14" s="66" customFormat="1" x14ac:dyDescent="0.35">
      <c r="B200" s="379" t="s">
        <v>4</v>
      </c>
      <c r="C200" s="379" t="str">
        <f t="shared" si="12"/>
        <v>Residential Flat rate</v>
      </c>
      <c r="D200" s="379" t="s">
        <v>6</v>
      </c>
      <c r="E200" s="379" t="s">
        <v>19</v>
      </c>
      <c r="F200" s="379" t="s">
        <v>19</v>
      </c>
      <c r="G200" s="379" t="s">
        <v>67</v>
      </c>
      <c r="H200" s="379" t="s">
        <v>247</v>
      </c>
      <c r="I200" s="804">
        <v>3072</v>
      </c>
      <c r="J200" s="804">
        <v>3072</v>
      </c>
      <c r="K200" s="793" t="s">
        <v>68</v>
      </c>
      <c r="L200" s="794" t="s">
        <v>248</v>
      </c>
      <c r="M200" s="794" t="s">
        <v>448</v>
      </c>
      <c r="N200" s="513">
        <f t="shared" si="13"/>
        <v>0</v>
      </c>
    </row>
    <row r="201" spans="2:14" s="66" customFormat="1" x14ac:dyDescent="0.35">
      <c r="B201" s="379" t="s">
        <v>0</v>
      </c>
      <c r="C201" s="379" t="str">
        <f t="shared" si="12"/>
        <v>Residential Flat rate</v>
      </c>
      <c r="D201" s="379" t="s">
        <v>6</v>
      </c>
      <c r="E201" s="379" t="s">
        <v>19</v>
      </c>
      <c r="F201" s="379" t="s">
        <v>19</v>
      </c>
      <c r="G201" s="379" t="s">
        <v>67</v>
      </c>
      <c r="H201" s="379" t="s">
        <v>247</v>
      </c>
      <c r="I201" s="804">
        <v>2425</v>
      </c>
      <c r="J201" s="804">
        <v>2425</v>
      </c>
      <c r="K201" s="793" t="s">
        <v>68</v>
      </c>
      <c r="L201" s="794" t="s">
        <v>248</v>
      </c>
      <c r="M201" s="794" t="s">
        <v>448</v>
      </c>
      <c r="N201" s="513">
        <f t="shared" si="13"/>
        <v>0</v>
      </c>
    </row>
    <row r="202" spans="2:14" s="66" customFormat="1" x14ac:dyDescent="0.35">
      <c r="B202" s="379" t="s">
        <v>3</v>
      </c>
      <c r="C202" s="379" t="str">
        <f t="shared" si="12"/>
        <v>Residential Flat rate</v>
      </c>
      <c r="D202" s="379" t="s">
        <v>6</v>
      </c>
      <c r="E202" s="379" t="s">
        <v>19</v>
      </c>
      <c r="F202" s="379" t="s">
        <v>19</v>
      </c>
      <c r="G202" s="379" t="s">
        <v>67</v>
      </c>
      <c r="H202" s="379" t="s">
        <v>247</v>
      </c>
      <c r="I202" s="804">
        <v>3211</v>
      </c>
      <c r="J202" s="804">
        <v>3211</v>
      </c>
      <c r="K202" s="793" t="s">
        <v>68</v>
      </c>
      <c r="L202" s="794" t="s">
        <v>248</v>
      </c>
      <c r="M202" s="794" t="s">
        <v>448</v>
      </c>
      <c r="N202" s="513">
        <f t="shared" si="13"/>
        <v>0</v>
      </c>
    </row>
    <row r="203" spans="2:14" s="66" customFormat="1" x14ac:dyDescent="0.35">
      <c r="B203" s="379" t="s">
        <v>5</v>
      </c>
      <c r="C203" s="379" t="str">
        <f t="shared" si="12"/>
        <v>Residential Flat rate</v>
      </c>
      <c r="D203" s="379" t="s">
        <v>6</v>
      </c>
      <c r="E203" s="379" t="s">
        <v>19</v>
      </c>
      <c r="F203" s="379" t="s">
        <v>19</v>
      </c>
      <c r="G203" s="379" t="s">
        <v>67</v>
      </c>
      <c r="H203" s="379" t="s">
        <v>247</v>
      </c>
      <c r="I203" s="804">
        <v>2824</v>
      </c>
      <c r="J203" s="804">
        <v>2824</v>
      </c>
      <c r="K203" s="793" t="s">
        <v>68</v>
      </c>
      <c r="L203" s="794" t="s">
        <v>248</v>
      </c>
      <c r="M203" s="794" t="s">
        <v>448</v>
      </c>
      <c r="N203" s="513">
        <f t="shared" si="13"/>
        <v>0</v>
      </c>
    </row>
    <row r="204" spans="2:14" s="66" customFormat="1" x14ac:dyDescent="0.35">
      <c r="B204" s="379" t="s">
        <v>2</v>
      </c>
      <c r="C204" s="379" t="str">
        <f t="shared" si="12"/>
        <v>Small business Flat rate</v>
      </c>
      <c r="D204" s="379" t="s">
        <v>13</v>
      </c>
      <c r="E204" s="379" t="s">
        <v>19</v>
      </c>
      <c r="F204" s="379" t="s">
        <v>19</v>
      </c>
      <c r="G204" s="379" t="s">
        <v>67</v>
      </c>
      <c r="H204" s="379" t="s">
        <v>247</v>
      </c>
      <c r="I204" s="804">
        <v>4977</v>
      </c>
      <c r="J204" s="804">
        <v>4977</v>
      </c>
      <c r="K204" s="793" t="s">
        <v>68</v>
      </c>
      <c r="L204" s="794" t="s">
        <v>248</v>
      </c>
      <c r="M204" s="794" t="s">
        <v>448</v>
      </c>
      <c r="N204" s="513">
        <f t="shared" si="13"/>
        <v>0</v>
      </c>
    </row>
    <row r="205" spans="2:14" s="66" customFormat="1" x14ac:dyDescent="0.35">
      <c r="B205" s="379" t="s">
        <v>4</v>
      </c>
      <c r="C205" s="379" t="str">
        <f t="shared" si="12"/>
        <v>Small business Flat rate</v>
      </c>
      <c r="D205" s="379" t="s">
        <v>13</v>
      </c>
      <c r="E205" s="379" t="s">
        <v>19</v>
      </c>
      <c r="F205" s="379" t="s">
        <v>19</v>
      </c>
      <c r="G205" s="379" t="s">
        <v>67</v>
      </c>
      <c r="H205" s="379" t="s">
        <v>247</v>
      </c>
      <c r="I205" s="804">
        <v>4775</v>
      </c>
      <c r="J205" s="804">
        <v>4775</v>
      </c>
      <c r="K205" s="793" t="s">
        <v>68</v>
      </c>
      <c r="L205" s="794" t="s">
        <v>248</v>
      </c>
      <c r="M205" s="794" t="s">
        <v>448</v>
      </c>
      <c r="N205" s="513">
        <f t="shared" si="13"/>
        <v>0</v>
      </c>
    </row>
    <row r="206" spans="2:14" s="66" customFormat="1" x14ac:dyDescent="0.35">
      <c r="B206" s="379" t="s">
        <v>0</v>
      </c>
      <c r="C206" s="379" t="str">
        <f t="shared" si="12"/>
        <v>Small business Flat rate</v>
      </c>
      <c r="D206" s="379" t="s">
        <v>13</v>
      </c>
      <c r="E206" s="379" t="s">
        <v>19</v>
      </c>
      <c r="F206" s="379" t="s">
        <v>19</v>
      </c>
      <c r="G206" s="379" t="s">
        <v>67</v>
      </c>
      <c r="H206" s="379" t="s">
        <v>247</v>
      </c>
      <c r="I206" s="804">
        <v>4294</v>
      </c>
      <c r="J206" s="804">
        <v>4294</v>
      </c>
      <c r="K206" s="793" t="s">
        <v>68</v>
      </c>
      <c r="L206" s="794" t="s">
        <v>248</v>
      </c>
      <c r="M206" s="794" t="s">
        <v>448</v>
      </c>
      <c r="N206" s="513">
        <f t="shared" si="13"/>
        <v>0</v>
      </c>
    </row>
    <row r="207" spans="2:14" s="66" customFormat="1" x14ac:dyDescent="0.35">
      <c r="B207" s="379" t="s">
        <v>3</v>
      </c>
      <c r="C207" s="379" t="str">
        <f t="shared" si="12"/>
        <v>Small business Flat rate</v>
      </c>
      <c r="D207" s="379" t="s">
        <v>13</v>
      </c>
      <c r="E207" s="379" t="s">
        <v>19</v>
      </c>
      <c r="F207" s="379" t="s">
        <v>19</v>
      </c>
      <c r="G207" s="379" t="s">
        <v>67</v>
      </c>
      <c r="H207" s="379" t="s">
        <v>247</v>
      </c>
      <c r="I207" s="804">
        <v>6222</v>
      </c>
      <c r="J207" s="804">
        <v>6222</v>
      </c>
      <c r="K207" s="793" t="s">
        <v>68</v>
      </c>
      <c r="L207" s="794" t="s">
        <v>248</v>
      </c>
      <c r="M207" s="794" t="s">
        <v>448</v>
      </c>
      <c r="N207" s="513">
        <f t="shared" si="13"/>
        <v>0</v>
      </c>
    </row>
    <row r="208" spans="2:14" s="66" customFormat="1" x14ac:dyDescent="0.35">
      <c r="B208" s="379" t="s">
        <v>5</v>
      </c>
      <c r="C208" s="379" t="str">
        <f t="shared" si="12"/>
        <v>Small business Flat rate</v>
      </c>
      <c r="D208" s="379" t="s">
        <v>13</v>
      </c>
      <c r="E208" s="379" t="s">
        <v>19</v>
      </c>
      <c r="F208" s="379" t="s">
        <v>19</v>
      </c>
      <c r="G208" s="379" t="s">
        <v>67</v>
      </c>
      <c r="H208" s="379" t="s">
        <v>247</v>
      </c>
      <c r="I208" s="804">
        <v>5541</v>
      </c>
      <c r="J208" s="804">
        <v>5541</v>
      </c>
      <c r="K208" s="793" t="s">
        <v>68</v>
      </c>
      <c r="L208" s="794" t="s">
        <v>248</v>
      </c>
      <c r="M208" s="794" t="s">
        <v>448</v>
      </c>
      <c r="N208" s="513">
        <f t="shared" si="13"/>
        <v>0</v>
      </c>
    </row>
    <row r="209" spans="2:14" s="66" customFormat="1" x14ac:dyDescent="0.35">
      <c r="B209" s="379" t="s">
        <v>2</v>
      </c>
      <c r="C209" s="379" t="str">
        <f>IF(D209="","All",D209&amp;" "&amp;E209)</f>
        <v>Small business time of use</v>
      </c>
      <c r="D209" s="379" t="s">
        <v>13</v>
      </c>
      <c r="E209" s="379" t="s">
        <v>272</v>
      </c>
      <c r="F209" s="379" t="s">
        <v>272</v>
      </c>
      <c r="G209" s="379" t="s">
        <v>67</v>
      </c>
      <c r="H209" s="379" t="s">
        <v>247</v>
      </c>
      <c r="I209" s="804"/>
      <c r="J209" s="804">
        <v>5195.2755111580782</v>
      </c>
      <c r="K209" s="793" t="s">
        <v>68</v>
      </c>
      <c r="L209" s="794" t="s">
        <v>304</v>
      </c>
      <c r="M209" s="794" t="s">
        <v>448</v>
      </c>
      <c r="N209" s="513" t="str">
        <f t="shared" si="13"/>
        <v/>
      </c>
    </row>
    <row r="210" spans="2:14" s="66" customFormat="1" x14ac:dyDescent="0.35">
      <c r="B210" s="379" t="s">
        <v>4</v>
      </c>
      <c r="C210" s="379" t="str">
        <f>IF(D210="","All",D210&amp;" "&amp;E210)</f>
        <v>Small business time of use</v>
      </c>
      <c r="D210" s="379" t="s">
        <v>13</v>
      </c>
      <c r="E210" s="379" t="s">
        <v>272</v>
      </c>
      <c r="F210" s="379" t="s">
        <v>272</v>
      </c>
      <c r="G210" s="379" t="s">
        <v>67</v>
      </c>
      <c r="H210" s="379" t="s">
        <v>247</v>
      </c>
      <c r="I210" s="804"/>
      <c r="J210" s="804">
        <v>4914.0778034675841</v>
      </c>
      <c r="K210" s="793" t="s">
        <v>68</v>
      </c>
      <c r="L210" s="794" t="s">
        <v>304</v>
      </c>
      <c r="M210" s="794" t="s">
        <v>448</v>
      </c>
      <c r="N210" s="513" t="str">
        <f t="shared" si="13"/>
        <v/>
      </c>
    </row>
    <row r="211" spans="2:14" s="66" customFormat="1" x14ac:dyDescent="0.35">
      <c r="B211" s="379" t="s">
        <v>0</v>
      </c>
      <c r="C211" s="379" t="str">
        <f>IF(D211="","All",D211&amp;" "&amp;E211)</f>
        <v>Small business time of use</v>
      </c>
      <c r="D211" s="379" t="s">
        <v>13</v>
      </c>
      <c r="E211" s="379" t="s">
        <v>272</v>
      </c>
      <c r="F211" s="379" t="s">
        <v>272</v>
      </c>
      <c r="G211" s="379" t="s">
        <v>67</v>
      </c>
      <c r="H211" s="379" t="s">
        <v>247</v>
      </c>
      <c r="I211" s="804"/>
      <c r="J211" s="804">
        <v>5480.417809618144</v>
      </c>
      <c r="K211" s="793" t="s">
        <v>68</v>
      </c>
      <c r="L211" s="794" t="s">
        <v>304</v>
      </c>
      <c r="M211" s="794" t="s">
        <v>448</v>
      </c>
      <c r="N211" s="513" t="str">
        <f t="shared" si="13"/>
        <v/>
      </c>
    </row>
    <row r="212" spans="2:14" s="66" customFormat="1" x14ac:dyDescent="0.35">
      <c r="B212" s="379" t="s">
        <v>3</v>
      </c>
      <c r="C212" s="379" t="str">
        <f>IF(D212="","All",D212&amp;" "&amp;E212)</f>
        <v>Small business time of use</v>
      </c>
      <c r="D212" s="379" t="s">
        <v>13</v>
      </c>
      <c r="E212" s="379" t="s">
        <v>272</v>
      </c>
      <c r="F212" s="379" t="s">
        <v>272</v>
      </c>
      <c r="G212" s="379" t="s">
        <v>67</v>
      </c>
      <c r="H212" s="379" t="s">
        <v>247</v>
      </c>
      <c r="I212" s="804"/>
      <c r="J212" s="804">
        <v>5476.3945810854593</v>
      </c>
      <c r="K212" s="793" t="s">
        <v>68</v>
      </c>
      <c r="L212" s="794" t="s">
        <v>304</v>
      </c>
      <c r="M212" s="794" t="s">
        <v>448</v>
      </c>
      <c r="N212" s="513" t="str">
        <f t="shared" si="13"/>
        <v/>
      </c>
    </row>
    <row r="213" spans="2:14" s="66" customFormat="1" x14ac:dyDescent="0.35">
      <c r="B213" s="379" t="s">
        <v>5</v>
      </c>
      <c r="C213" s="379" t="str">
        <f>IF(D213="","All",D213&amp;" "&amp;E213)</f>
        <v>Small business time of use</v>
      </c>
      <c r="D213" s="379" t="s">
        <v>13</v>
      </c>
      <c r="E213" s="379" t="s">
        <v>272</v>
      </c>
      <c r="F213" s="379" t="s">
        <v>272</v>
      </c>
      <c r="G213" s="379" t="s">
        <v>67</v>
      </c>
      <c r="H213" s="379" t="s">
        <v>247</v>
      </c>
      <c r="I213" s="804"/>
      <c r="J213" s="804">
        <v>5944.3857201818537</v>
      </c>
      <c r="K213" s="793" t="s">
        <v>68</v>
      </c>
      <c r="L213" s="794" t="s">
        <v>304</v>
      </c>
      <c r="M213" s="794" t="s">
        <v>448</v>
      </c>
      <c r="N213" s="513" t="str">
        <f t="shared" si="13"/>
        <v/>
      </c>
    </row>
    <row r="214" spans="2:14" x14ac:dyDescent="0.3">
      <c r="B214" s="32" t="s">
        <v>2</v>
      </c>
      <c r="C214" s="379" t="str">
        <f t="shared" ref="C214:C228" si="14">IF(D214="","All",D214&amp;" "&amp;E214)</f>
        <v xml:space="preserve">Residential </v>
      </c>
      <c r="D214" s="379" t="s">
        <v>6</v>
      </c>
      <c r="E214" s="379"/>
      <c r="F214" s="379"/>
      <c r="G214" s="379" t="s">
        <v>192</v>
      </c>
      <c r="H214" s="379" t="s">
        <v>247</v>
      </c>
      <c r="I214" s="783">
        <v>0.06</v>
      </c>
      <c r="J214" s="783">
        <v>0.06</v>
      </c>
      <c r="K214" s="793" t="s">
        <v>27</v>
      </c>
      <c r="L214" s="794" t="s">
        <v>382</v>
      </c>
      <c r="M214" s="794" t="s">
        <v>448</v>
      </c>
      <c r="N214" s="513">
        <f t="shared" si="13"/>
        <v>0</v>
      </c>
    </row>
    <row r="215" spans="2:14" x14ac:dyDescent="0.3">
      <c r="B215" s="32" t="s">
        <v>2</v>
      </c>
      <c r="C215" s="379" t="str">
        <f t="shared" si="14"/>
        <v xml:space="preserve">Residential </v>
      </c>
      <c r="D215" s="379" t="s">
        <v>6</v>
      </c>
      <c r="E215" s="379"/>
      <c r="F215" s="379"/>
      <c r="G215" s="379" t="s">
        <v>192</v>
      </c>
      <c r="H215" s="379" t="s">
        <v>247</v>
      </c>
      <c r="I215" s="783">
        <v>0.06</v>
      </c>
      <c r="J215" s="783">
        <v>0.06</v>
      </c>
      <c r="K215" s="793" t="s">
        <v>27</v>
      </c>
      <c r="L215" s="794" t="s">
        <v>382</v>
      </c>
      <c r="M215" s="794" t="s">
        <v>448</v>
      </c>
      <c r="N215" s="513">
        <f t="shared" si="13"/>
        <v>0</v>
      </c>
    </row>
    <row r="216" spans="2:14" x14ac:dyDescent="0.3">
      <c r="B216" s="32" t="s">
        <v>2</v>
      </c>
      <c r="C216" s="379" t="str">
        <f t="shared" si="14"/>
        <v xml:space="preserve">Small business </v>
      </c>
      <c r="D216" s="379" t="s">
        <v>13</v>
      </c>
      <c r="E216" s="379"/>
      <c r="F216" s="379"/>
      <c r="G216" s="379" t="s">
        <v>192</v>
      </c>
      <c r="H216" s="379" t="s">
        <v>247</v>
      </c>
      <c r="I216" s="783">
        <v>0.11</v>
      </c>
      <c r="J216" s="783">
        <v>0.06</v>
      </c>
      <c r="K216" s="793" t="s">
        <v>27</v>
      </c>
      <c r="L216" s="794" t="s">
        <v>382</v>
      </c>
      <c r="M216" s="794" t="s">
        <v>448</v>
      </c>
      <c r="N216" s="513">
        <f t="shared" si="13"/>
        <v>-0.05</v>
      </c>
    </row>
    <row r="217" spans="2:14" x14ac:dyDescent="0.3">
      <c r="B217" s="32" t="s">
        <v>4</v>
      </c>
      <c r="C217" s="379" t="str">
        <f t="shared" si="14"/>
        <v xml:space="preserve">Residential </v>
      </c>
      <c r="D217" s="379" t="s">
        <v>6</v>
      </c>
      <c r="E217" s="379"/>
      <c r="F217" s="379"/>
      <c r="G217" s="379" t="s">
        <v>192</v>
      </c>
      <c r="H217" s="379" t="s">
        <v>247</v>
      </c>
      <c r="I217" s="783">
        <v>0.06</v>
      </c>
      <c r="J217" s="783">
        <v>0.06</v>
      </c>
      <c r="K217" s="793" t="s">
        <v>27</v>
      </c>
      <c r="L217" s="794" t="s">
        <v>382</v>
      </c>
      <c r="M217" s="794" t="s">
        <v>448</v>
      </c>
      <c r="N217" s="513">
        <f t="shared" si="13"/>
        <v>0</v>
      </c>
    </row>
    <row r="218" spans="2:14" x14ac:dyDescent="0.3">
      <c r="B218" s="32" t="s">
        <v>4</v>
      </c>
      <c r="C218" s="379" t="str">
        <f t="shared" si="14"/>
        <v xml:space="preserve">Residential </v>
      </c>
      <c r="D218" s="379" t="s">
        <v>6</v>
      </c>
      <c r="E218" s="379"/>
      <c r="F218" s="379"/>
      <c r="G218" s="379" t="s">
        <v>192</v>
      </c>
      <c r="H218" s="379" t="s">
        <v>247</v>
      </c>
      <c r="I218" s="783">
        <v>0.06</v>
      </c>
      <c r="J218" s="783">
        <v>0.06</v>
      </c>
      <c r="K218" s="793" t="s">
        <v>27</v>
      </c>
      <c r="L218" s="794" t="s">
        <v>382</v>
      </c>
      <c r="M218" s="794" t="s">
        <v>448</v>
      </c>
      <c r="N218" s="513">
        <f t="shared" si="13"/>
        <v>0</v>
      </c>
    </row>
    <row r="219" spans="2:14" x14ac:dyDescent="0.3">
      <c r="B219" s="32" t="s">
        <v>4</v>
      </c>
      <c r="C219" s="379" t="str">
        <f t="shared" si="14"/>
        <v xml:space="preserve">Small business </v>
      </c>
      <c r="D219" s="379" t="s">
        <v>13</v>
      </c>
      <c r="E219" s="379"/>
      <c r="F219" s="379"/>
      <c r="G219" s="379" t="s">
        <v>192</v>
      </c>
      <c r="H219" s="379" t="s">
        <v>247</v>
      </c>
      <c r="I219" s="783">
        <v>0.11</v>
      </c>
      <c r="J219" s="783">
        <v>0.06</v>
      </c>
      <c r="K219" s="793" t="s">
        <v>27</v>
      </c>
      <c r="L219" s="794" t="s">
        <v>382</v>
      </c>
      <c r="M219" s="794" t="s">
        <v>448</v>
      </c>
      <c r="N219" s="513">
        <f t="shared" si="13"/>
        <v>-0.05</v>
      </c>
    </row>
    <row r="220" spans="2:14" x14ac:dyDescent="0.3">
      <c r="B220" s="32" t="s">
        <v>3</v>
      </c>
      <c r="C220" s="379" t="str">
        <f t="shared" si="14"/>
        <v xml:space="preserve">Residential </v>
      </c>
      <c r="D220" s="379" t="s">
        <v>6</v>
      </c>
      <c r="E220" s="379"/>
      <c r="F220" s="379"/>
      <c r="G220" s="379" t="s">
        <v>192</v>
      </c>
      <c r="H220" s="379" t="s">
        <v>247</v>
      </c>
      <c r="I220" s="783">
        <v>0.06</v>
      </c>
      <c r="J220" s="783">
        <v>0.06</v>
      </c>
      <c r="K220" s="793" t="s">
        <v>27</v>
      </c>
      <c r="L220" s="794" t="s">
        <v>382</v>
      </c>
      <c r="M220" s="794" t="s">
        <v>448</v>
      </c>
      <c r="N220" s="513">
        <f t="shared" si="13"/>
        <v>0</v>
      </c>
    </row>
    <row r="221" spans="2:14" x14ac:dyDescent="0.3">
      <c r="B221" s="32" t="s">
        <v>3</v>
      </c>
      <c r="C221" s="379" t="str">
        <f t="shared" si="14"/>
        <v xml:space="preserve">Residential </v>
      </c>
      <c r="D221" s="379" t="s">
        <v>6</v>
      </c>
      <c r="E221" s="379"/>
      <c r="F221" s="379"/>
      <c r="G221" s="379" t="s">
        <v>192</v>
      </c>
      <c r="H221" s="379" t="s">
        <v>247</v>
      </c>
      <c r="I221" s="783">
        <v>0.06</v>
      </c>
      <c r="J221" s="783">
        <v>0.06</v>
      </c>
      <c r="K221" s="793" t="s">
        <v>27</v>
      </c>
      <c r="L221" s="794" t="s">
        <v>382</v>
      </c>
      <c r="M221" s="794" t="s">
        <v>448</v>
      </c>
      <c r="N221" s="513">
        <f t="shared" si="13"/>
        <v>0</v>
      </c>
    </row>
    <row r="222" spans="2:14" x14ac:dyDescent="0.3">
      <c r="B222" s="32" t="s">
        <v>3</v>
      </c>
      <c r="C222" s="379" t="str">
        <f t="shared" si="14"/>
        <v xml:space="preserve">Small business </v>
      </c>
      <c r="D222" s="379" t="s">
        <v>13</v>
      </c>
      <c r="E222" s="379"/>
      <c r="F222" s="379"/>
      <c r="G222" s="379" t="s">
        <v>192</v>
      </c>
      <c r="H222" s="379" t="s">
        <v>247</v>
      </c>
      <c r="I222" s="783">
        <v>0.11</v>
      </c>
      <c r="J222" s="783">
        <v>0.06</v>
      </c>
      <c r="K222" s="793" t="s">
        <v>27</v>
      </c>
      <c r="L222" s="794" t="s">
        <v>382</v>
      </c>
      <c r="M222" s="794" t="s">
        <v>448</v>
      </c>
      <c r="N222" s="513">
        <f t="shared" si="13"/>
        <v>-0.05</v>
      </c>
    </row>
    <row r="223" spans="2:14" x14ac:dyDescent="0.3">
      <c r="B223" s="32" t="s">
        <v>0</v>
      </c>
      <c r="C223" s="379" t="str">
        <f t="shared" si="14"/>
        <v xml:space="preserve">Residential </v>
      </c>
      <c r="D223" s="379" t="s">
        <v>6</v>
      </c>
      <c r="E223" s="379"/>
      <c r="F223" s="379"/>
      <c r="G223" s="379" t="s">
        <v>192</v>
      </c>
      <c r="H223" s="379" t="s">
        <v>247</v>
      </c>
      <c r="I223" s="783">
        <v>0.06</v>
      </c>
      <c r="J223" s="783">
        <v>0.06</v>
      </c>
      <c r="K223" s="793" t="s">
        <v>27</v>
      </c>
      <c r="L223" s="794" t="s">
        <v>382</v>
      </c>
      <c r="M223" s="794" t="s">
        <v>448</v>
      </c>
      <c r="N223" s="513">
        <f t="shared" si="13"/>
        <v>0</v>
      </c>
    </row>
    <row r="224" spans="2:14" x14ac:dyDescent="0.3">
      <c r="B224" s="32" t="s">
        <v>0</v>
      </c>
      <c r="C224" s="379" t="str">
        <f t="shared" si="14"/>
        <v xml:space="preserve">Residential </v>
      </c>
      <c r="D224" s="379" t="s">
        <v>6</v>
      </c>
      <c r="E224" s="379"/>
      <c r="F224" s="379"/>
      <c r="G224" s="379" t="s">
        <v>192</v>
      </c>
      <c r="H224" s="379" t="s">
        <v>247</v>
      </c>
      <c r="I224" s="783">
        <v>0.06</v>
      </c>
      <c r="J224" s="783">
        <v>0.06</v>
      </c>
      <c r="K224" s="793" t="s">
        <v>27</v>
      </c>
      <c r="L224" s="794" t="s">
        <v>382</v>
      </c>
      <c r="M224" s="794" t="s">
        <v>448</v>
      </c>
      <c r="N224" s="513">
        <f t="shared" si="13"/>
        <v>0</v>
      </c>
    </row>
    <row r="225" spans="2:14" x14ac:dyDescent="0.3">
      <c r="B225" s="32" t="s">
        <v>0</v>
      </c>
      <c r="C225" s="379" t="str">
        <f t="shared" si="14"/>
        <v xml:space="preserve">Small business </v>
      </c>
      <c r="D225" s="379" t="s">
        <v>13</v>
      </c>
      <c r="E225" s="379"/>
      <c r="F225" s="379"/>
      <c r="G225" s="379" t="s">
        <v>192</v>
      </c>
      <c r="H225" s="379" t="s">
        <v>247</v>
      </c>
      <c r="I225" s="783">
        <v>0.11</v>
      </c>
      <c r="J225" s="783">
        <v>0.06</v>
      </c>
      <c r="K225" s="793" t="s">
        <v>27</v>
      </c>
      <c r="L225" s="794" t="s">
        <v>382</v>
      </c>
      <c r="M225" s="794" t="s">
        <v>448</v>
      </c>
      <c r="N225" s="513">
        <f t="shared" si="13"/>
        <v>-0.05</v>
      </c>
    </row>
    <row r="226" spans="2:14" x14ac:dyDescent="0.3">
      <c r="B226" s="32" t="s">
        <v>5</v>
      </c>
      <c r="C226" s="379" t="str">
        <f t="shared" si="14"/>
        <v xml:space="preserve">Residential </v>
      </c>
      <c r="D226" s="379" t="s">
        <v>6</v>
      </c>
      <c r="E226" s="379"/>
      <c r="F226" s="379"/>
      <c r="G226" s="379" t="s">
        <v>192</v>
      </c>
      <c r="H226" s="379" t="s">
        <v>247</v>
      </c>
      <c r="I226" s="783">
        <v>0.06</v>
      </c>
      <c r="J226" s="783">
        <v>0.06</v>
      </c>
      <c r="K226" s="793" t="s">
        <v>27</v>
      </c>
      <c r="L226" s="794" t="s">
        <v>382</v>
      </c>
      <c r="M226" s="794" t="s">
        <v>448</v>
      </c>
      <c r="N226" s="513">
        <f t="shared" si="13"/>
        <v>0</v>
      </c>
    </row>
    <row r="227" spans="2:14" x14ac:dyDescent="0.3">
      <c r="B227" s="32" t="s">
        <v>5</v>
      </c>
      <c r="C227" s="379" t="str">
        <f t="shared" si="14"/>
        <v xml:space="preserve">Residential </v>
      </c>
      <c r="D227" s="379" t="s">
        <v>6</v>
      </c>
      <c r="E227" s="379"/>
      <c r="F227" s="379"/>
      <c r="G227" s="379" t="s">
        <v>192</v>
      </c>
      <c r="H227" s="379" t="s">
        <v>247</v>
      </c>
      <c r="I227" s="783">
        <v>0.06</v>
      </c>
      <c r="J227" s="783">
        <v>0.06</v>
      </c>
      <c r="K227" s="793" t="s">
        <v>27</v>
      </c>
      <c r="L227" s="794" t="s">
        <v>382</v>
      </c>
      <c r="M227" s="794" t="s">
        <v>448</v>
      </c>
      <c r="N227" s="513">
        <f t="shared" si="13"/>
        <v>0</v>
      </c>
    </row>
    <row r="228" spans="2:14" x14ac:dyDescent="0.3">
      <c r="B228" s="32" t="s">
        <v>5</v>
      </c>
      <c r="C228" s="379" t="str">
        <f t="shared" si="14"/>
        <v xml:space="preserve">Small business </v>
      </c>
      <c r="D228" s="379" t="s">
        <v>13</v>
      </c>
      <c r="E228" s="379"/>
      <c r="F228" s="379"/>
      <c r="G228" s="379" t="s">
        <v>192</v>
      </c>
      <c r="H228" s="379" t="s">
        <v>247</v>
      </c>
      <c r="I228" s="783">
        <v>0.11</v>
      </c>
      <c r="J228" s="783">
        <v>0.06</v>
      </c>
      <c r="K228" s="793" t="s">
        <v>27</v>
      </c>
      <c r="L228" s="794" t="s">
        <v>382</v>
      </c>
      <c r="M228" s="794" t="s">
        <v>448</v>
      </c>
      <c r="N228" s="513">
        <f t="shared" si="13"/>
        <v>-0.05</v>
      </c>
    </row>
    <row r="229" spans="2:14" x14ac:dyDescent="0.35">
      <c r="B229" s="379" t="s">
        <v>2</v>
      </c>
      <c r="C229" s="379" t="str">
        <f>IF(D229="","All",D229&amp;" "&amp;E229)</f>
        <v>Residential Flat rate</v>
      </c>
      <c r="D229" s="379" t="s">
        <v>6</v>
      </c>
      <c r="E229" s="379" t="s">
        <v>19</v>
      </c>
      <c r="F229" s="379" t="s">
        <v>19</v>
      </c>
      <c r="G229" s="379" t="s">
        <v>57</v>
      </c>
      <c r="H229" s="379" t="s">
        <v>46</v>
      </c>
      <c r="I229" s="792">
        <v>163.36480830293462</v>
      </c>
      <c r="J229" s="792">
        <f>50.8550176363019*Days/100</f>
        <v>185.62081437250197</v>
      </c>
      <c r="K229" s="67" t="s">
        <v>148</v>
      </c>
      <c r="L229" s="794" t="s">
        <v>384</v>
      </c>
      <c r="M229" s="794" t="s">
        <v>430</v>
      </c>
      <c r="N229" s="513">
        <f t="shared" si="13"/>
        <v>0.13623500863354265</v>
      </c>
    </row>
    <row r="230" spans="2:14" x14ac:dyDescent="0.35">
      <c r="B230" s="379" t="s">
        <v>2</v>
      </c>
      <c r="C230" s="379" t="str">
        <f>IF(D230="","All",D230&amp;" "&amp;E230)</f>
        <v>Residential time of use</v>
      </c>
      <c r="D230" s="379" t="s">
        <v>6</v>
      </c>
      <c r="E230" s="379" t="s">
        <v>272</v>
      </c>
      <c r="F230" s="379" t="s">
        <v>278</v>
      </c>
      <c r="G230" s="379" t="s">
        <v>57</v>
      </c>
      <c r="H230" s="379" t="s">
        <v>46</v>
      </c>
      <c r="I230" s="805"/>
      <c r="J230" s="805">
        <f>63.233037419814*Days/100</f>
        <v>230.80058658232113</v>
      </c>
      <c r="K230" s="67" t="s">
        <v>148</v>
      </c>
      <c r="L230" s="794" t="s">
        <v>304</v>
      </c>
      <c r="M230" s="794" t="s">
        <v>430</v>
      </c>
      <c r="N230" s="513" t="str">
        <f t="shared" si="13"/>
        <v/>
      </c>
    </row>
    <row r="231" spans="2:14" x14ac:dyDescent="0.35">
      <c r="B231" s="379" t="s">
        <v>2</v>
      </c>
      <c r="C231" s="379" t="str">
        <f>IF(D231="","All",D231&amp;" "&amp;E231)</f>
        <v>Residential time of use</v>
      </c>
      <c r="D231" s="379" t="s">
        <v>6</v>
      </c>
      <c r="E231" s="379" t="s">
        <v>272</v>
      </c>
      <c r="F231" s="379" t="s">
        <v>279</v>
      </c>
      <c r="G231" s="379" t="s">
        <v>57</v>
      </c>
      <c r="H231" s="379" t="s">
        <v>46</v>
      </c>
      <c r="I231" s="792"/>
      <c r="J231" s="792">
        <f>63.233037419814*Days/100</f>
        <v>230.80058658232113</v>
      </c>
      <c r="K231" s="67" t="s">
        <v>148</v>
      </c>
      <c r="L231" s="794" t="s">
        <v>304</v>
      </c>
      <c r="M231" s="794" t="s">
        <v>430</v>
      </c>
      <c r="N231" s="513" t="str">
        <f t="shared" si="13"/>
        <v/>
      </c>
    </row>
    <row r="232" spans="2:14" x14ac:dyDescent="0.35">
      <c r="B232" s="379" t="s">
        <v>2</v>
      </c>
      <c r="C232" s="379" t="str">
        <f t="shared" ref="C232:C244" si="15">IF(D232="","All",D232&amp;" "&amp;E232)</f>
        <v>All</v>
      </c>
      <c r="D232" s="379"/>
      <c r="E232" s="379" t="s">
        <v>285</v>
      </c>
      <c r="F232" s="379" t="s">
        <v>14</v>
      </c>
      <c r="G232" s="379" t="s">
        <v>57</v>
      </c>
      <c r="H232" s="379" t="s">
        <v>46</v>
      </c>
      <c r="I232" s="805">
        <v>5.4171891536407131</v>
      </c>
      <c r="J232" s="805">
        <f>1.48416141195636*365/100</f>
        <v>5.4171891536407131</v>
      </c>
      <c r="K232" s="67" t="s">
        <v>148</v>
      </c>
      <c r="L232" s="794" t="s">
        <v>384</v>
      </c>
      <c r="M232" s="794" t="s">
        <v>430</v>
      </c>
      <c r="N232" s="513">
        <f t="shared" si="13"/>
        <v>0</v>
      </c>
    </row>
    <row r="233" spans="2:14" x14ac:dyDescent="0.35">
      <c r="B233" s="379" t="s">
        <v>2</v>
      </c>
      <c r="C233" s="379" t="str">
        <f t="shared" si="15"/>
        <v>All</v>
      </c>
      <c r="D233" s="379"/>
      <c r="E233" s="379" t="s">
        <v>285</v>
      </c>
      <c r="F233" s="379" t="s">
        <v>15</v>
      </c>
      <c r="G233" s="379" t="s">
        <v>57</v>
      </c>
      <c r="H233" s="379" t="s">
        <v>46</v>
      </c>
      <c r="I233" s="792">
        <v>19.042913058063711</v>
      </c>
      <c r="J233" s="792">
        <f>5.02807727696347*365/100</f>
        <v>18.352482060916664</v>
      </c>
      <c r="K233" s="67" t="s">
        <v>148</v>
      </c>
      <c r="L233" s="794" t="s">
        <v>384</v>
      </c>
      <c r="M233" s="794" t="s">
        <v>430</v>
      </c>
      <c r="N233" s="513">
        <f t="shared" si="13"/>
        <v>-3.625658506352758E-2</v>
      </c>
    </row>
    <row r="234" spans="2:14" x14ac:dyDescent="0.35">
      <c r="B234" s="379" t="s">
        <v>2</v>
      </c>
      <c r="C234" s="379" t="str">
        <f t="shared" si="15"/>
        <v>Small business Flat rate</v>
      </c>
      <c r="D234" s="379" t="s">
        <v>13</v>
      </c>
      <c r="E234" s="379" t="s">
        <v>19</v>
      </c>
      <c r="F234" s="379" t="s">
        <v>19</v>
      </c>
      <c r="G234" s="379" t="s">
        <v>57</v>
      </c>
      <c r="H234" s="379" t="s">
        <v>46</v>
      </c>
      <c r="I234" s="805">
        <v>681.04346781543654</v>
      </c>
      <c r="J234" s="805">
        <f>202.313900101384*365/100</f>
        <v>738.44573537005169</v>
      </c>
      <c r="K234" s="67" t="s">
        <v>148</v>
      </c>
      <c r="L234" s="794" t="s">
        <v>384</v>
      </c>
      <c r="M234" s="794" t="s">
        <v>430</v>
      </c>
      <c r="N234" s="513">
        <f t="shared" si="13"/>
        <v>8.4285761874704823E-2</v>
      </c>
    </row>
    <row r="235" spans="2:14" x14ac:dyDescent="0.35">
      <c r="B235" s="379" t="s">
        <v>2</v>
      </c>
      <c r="C235" s="379" t="str">
        <f t="shared" si="15"/>
        <v>Small business time of use</v>
      </c>
      <c r="D235" s="379" t="s">
        <v>13</v>
      </c>
      <c r="E235" s="379" t="s">
        <v>272</v>
      </c>
      <c r="F235" s="379" t="s">
        <v>278</v>
      </c>
      <c r="G235" s="379" t="s">
        <v>57</v>
      </c>
      <c r="H235" s="379" t="s">
        <v>46</v>
      </c>
      <c r="I235" s="792"/>
      <c r="J235" s="792">
        <f>218.647166839198*Days/100</f>
        <v>798.06215896307276</v>
      </c>
      <c r="K235" s="67" t="s">
        <v>148</v>
      </c>
      <c r="L235" s="794" t="s">
        <v>304</v>
      </c>
      <c r="M235" s="794" t="s">
        <v>430</v>
      </c>
      <c r="N235" s="513" t="str">
        <f t="shared" si="13"/>
        <v/>
      </c>
    </row>
    <row r="236" spans="2:14" x14ac:dyDescent="0.35">
      <c r="B236" s="379" t="s">
        <v>2</v>
      </c>
      <c r="C236" s="379" t="str">
        <f t="shared" si="15"/>
        <v>Small business time of use</v>
      </c>
      <c r="D236" s="379" t="s">
        <v>13</v>
      </c>
      <c r="E236" s="379" t="s">
        <v>272</v>
      </c>
      <c r="F236" s="379" t="s">
        <v>279</v>
      </c>
      <c r="G236" s="379" t="s">
        <v>57</v>
      </c>
      <c r="H236" s="379" t="s">
        <v>46</v>
      </c>
      <c r="I236" s="805"/>
      <c r="J236" s="805">
        <f>218.647166839198*Days/100</f>
        <v>798.06215896307276</v>
      </c>
      <c r="K236" s="67" t="s">
        <v>148</v>
      </c>
      <c r="L236" s="794" t="s">
        <v>304</v>
      </c>
      <c r="M236" s="794" t="s">
        <v>430</v>
      </c>
      <c r="N236" s="513" t="str">
        <f t="shared" si="13"/>
        <v/>
      </c>
    </row>
    <row r="237" spans="2:14" x14ac:dyDescent="0.35">
      <c r="B237" s="379" t="s">
        <v>2</v>
      </c>
      <c r="C237" s="379" t="str">
        <f t="shared" si="15"/>
        <v>Residential Flat rate</v>
      </c>
      <c r="D237" s="379" t="s">
        <v>6</v>
      </c>
      <c r="E237" s="379" t="s">
        <v>19</v>
      </c>
      <c r="F237" s="379" t="s">
        <v>19</v>
      </c>
      <c r="G237" s="379" t="s">
        <v>57</v>
      </c>
      <c r="H237" s="379" t="s">
        <v>47</v>
      </c>
      <c r="I237" s="792">
        <v>116.999923689255</v>
      </c>
      <c r="J237" s="792">
        <f>12.7029143364707*10</f>
        <v>127.029143364707</v>
      </c>
      <c r="K237" s="67" t="s">
        <v>44</v>
      </c>
      <c r="L237" s="794" t="s">
        <v>384</v>
      </c>
      <c r="M237" s="794" t="s">
        <v>430</v>
      </c>
      <c r="N237" s="513">
        <f t="shared" si="13"/>
        <v>8.5719882194872365E-2</v>
      </c>
    </row>
    <row r="238" spans="2:14" x14ac:dyDescent="0.35">
      <c r="B238" s="379" t="s">
        <v>2</v>
      </c>
      <c r="C238" s="379" t="str">
        <f t="shared" si="15"/>
        <v>Residential time of use</v>
      </c>
      <c r="D238" s="379" t="s">
        <v>6</v>
      </c>
      <c r="E238" s="379" t="s">
        <v>272</v>
      </c>
      <c r="F238" s="379" t="s">
        <v>278</v>
      </c>
      <c r="G238" s="379" t="s">
        <v>57</v>
      </c>
      <c r="H238" s="379" t="s">
        <v>47</v>
      </c>
      <c r="I238" s="805"/>
      <c r="J238" s="805">
        <f>32.5164405778216*10</f>
        <v>325.16440577821595</v>
      </c>
      <c r="K238" s="67" t="s">
        <v>44</v>
      </c>
      <c r="L238" s="794" t="s">
        <v>304</v>
      </c>
      <c r="M238" s="794" t="s">
        <v>430</v>
      </c>
      <c r="N238" s="513" t="str">
        <f t="shared" si="13"/>
        <v/>
      </c>
    </row>
    <row r="239" spans="2:14" x14ac:dyDescent="0.35">
      <c r="B239" s="379" t="s">
        <v>2</v>
      </c>
      <c r="C239" s="379" t="str">
        <f t="shared" si="15"/>
        <v>Residential time of use</v>
      </c>
      <c r="D239" s="379" t="s">
        <v>6</v>
      </c>
      <c r="E239" s="379" t="s">
        <v>272</v>
      </c>
      <c r="F239" s="379" t="s">
        <v>279</v>
      </c>
      <c r="G239" s="379" t="s">
        <v>57</v>
      </c>
      <c r="H239" s="379" t="s">
        <v>47</v>
      </c>
      <c r="I239" s="792"/>
      <c r="J239" s="792">
        <f>5.35696974247442*10</f>
        <v>53.569697424744199</v>
      </c>
      <c r="K239" s="67" t="s">
        <v>44</v>
      </c>
      <c r="L239" s="794" t="s">
        <v>304</v>
      </c>
      <c r="M239" s="794" t="s">
        <v>430</v>
      </c>
      <c r="N239" s="513" t="str">
        <f t="shared" si="13"/>
        <v/>
      </c>
    </row>
    <row r="240" spans="2:14" x14ac:dyDescent="0.35">
      <c r="B240" s="379" t="s">
        <v>2</v>
      </c>
      <c r="C240" s="379" t="str">
        <f t="shared" si="15"/>
        <v>All</v>
      </c>
      <c r="D240" s="379"/>
      <c r="E240" s="379" t="s">
        <v>285</v>
      </c>
      <c r="F240" s="379" t="s">
        <v>14</v>
      </c>
      <c r="G240" s="379" t="s">
        <v>57</v>
      </c>
      <c r="H240" s="379" t="s">
        <v>47</v>
      </c>
      <c r="I240" s="805">
        <v>26.827289528063002</v>
      </c>
      <c r="J240" s="805">
        <f>2.96571724028492*10</f>
        <v>29.657172402849202</v>
      </c>
      <c r="K240" s="67" t="s">
        <v>44</v>
      </c>
      <c r="L240" s="794" t="s">
        <v>384</v>
      </c>
      <c r="M240" s="794" t="s">
        <v>430</v>
      </c>
      <c r="N240" s="513">
        <f t="shared" si="13"/>
        <v>0.10548523255865883</v>
      </c>
    </row>
    <row r="241" spans="2:14" x14ac:dyDescent="0.35">
      <c r="B241" s="379" t="s">
        <v>2</v>
      </c>
      <c r="C241" s="379" t="str">
        <f t="shared" si="15"/>
        <v>All</v>
      </c>
      <c r="D241" s="379"/>
      <c r="E241" s="379" t="s">
        <v>285</v>
      </c>
      <c r="F241" s="379" t="s">
        <v>15</v>
      </c>
      <c r="G241" s="379" t="s">
        <v>57</v>
      </c>
      <c r="H241" s="379" t="s">
        <v>47</v>
      </c>
      <c r="I241" s="792">
        <v>50.985317225328195</v>
      </c>
      <c r="J241" s="792">
        <f>5.62310028698409*10</f>
        <v>56.2310028698409</v>
      </c>
      <c r="K241" s="67" t="s">
        <v>44</v>
      </c>
      <c r="L241" s="794" t="s">
        <v>384</v>
      </c>
      <c r="M241" s="794" t="s">
        <v>430</v>
      </c>
      <c r="N241" s="513">
        <f t="shared" si="13"/>
        <v>0.10288620194966214</v>
      </c>
    </row>
    <row r="242" spans="2:14" x14ac:dyDescent="0.35">
      <c r="B242" s="379" t="s">
        <v>2</v>
      </c>
      <c r="C242" s="379" t="str">
        <f t="shared" si="15"/>
        <v>Small business Flat rate</v>
      </c>
      <c r="D242" s="379" t="s">
        <v>13</v>
      </c>
      <c r="E242" s="379" t="s">
        <v>19</v>
      </c>
      <c r="F242" s="379" t="s">
        <v>19</v>
      </c>
      <c r="G242" s="379" t="s">
        <v>57</v>
      </c>
      <c r="H242" s="379" t="s">
        <v>47</v>
      </c>
      <c r="I242" s="805">
        <v>102.928570306495</v>
      </c>
      <c r="J242" s="805">
        <f>11.3298510419042*10</f>
        <v>113.298510419042</v>
      </c>
      <c r="K242" s="67" t="s">
        <v>44</v>
      </c>
      <c r="L242" s="794" t="s">
        <v>384</v>
      </c>
      <c r="M242" s="794" t="s">
        <v>430</v>
      </c>
      <c r="N242" s="513">
        <f t="shared" si="13"/>
        <v>0.10074889879134585</v>
      </c>
    </row>
    <row r="243" spans="2:14" x14ac:dyDescent="0.35">
      <c r="B243" s="379" t="s">
        <v>2</v>
      </c>
      <c r="C243" s="379" t="str">
        <f t="shared" si="15"/>
        <v>Small business time of use</v>
      </c>
      <c r="D243" s="379" t="s">
        <v>13</v>
      </c>
      <c r="E243" s="379" t="s">
        <v>272</v>
      </c>
      <c r="F243" s="379" t="s">
        <v>278</v>
      </c>
      <c r="G243" s="379" t="s">
        <v>57</v>
      </c>
      <c r="H243" s="379" t="s">
        <v>47</v>
      </c>
      <c r="I243" s="792"/>
      <c r="J243" s="792">
        <f>39.7569659385358*10</f>
        <v>397.56965938535802</v>
      </c>
      <c r="K243" s="67" t="s">
        <v>44</v>
      </c>
      <c r="L243" s="794" t="s">
        <v>304</v>
      </c>
      <c r="M243" s="794" t="s">
        <v>430</v>
      </c>
      <c r="N243" s="513" t="str">
        <f t="shared" si="13"/>
        <v/>
      </c>
    </row>
    <row r="244" spans="2:14" x14ac:dyDescent="0.35">
      <c r="B244" s="379" t="s">
        <v>2</v>
      </c>
      <c r="C244" s="379" t="str">
        <f t="shared" si="15"/>
        <v>Small business time of use</v>
      </c>
      <c r="D244" s="379" t="s">
        <v>13</v>
      </c>
      <c r="E244" s="379" t="s">
        <v>272</v>
      </c>
      <c r="F244" s="379" t="s">
        <v>279</v>
      </c>
      <c r="G244" s="379" t="s">
        <v>57</v>
      </c>
      <c r="H244" s="379" t="s">
        <v>47</v>
      </c>
      <c r="I244" s="805"/>
      <c r="J244" s="805">
        <f>5.89967704927681*10</f>
        <v>58.9967704927681</v>
      </c>
      <c r="K244" s="67" t="s">
        <v>44</v>
      </c>
      <c r="L244" s="794" t="s">
        <v>304</v>
      </c>
      <c r="M244" s="794" t="s">
        <v>430</v>
      </c>
      <c r="N244" s="513" t="str">
        <f t="shared" si="13"/>
        <v/>
      </c>
    </row>
    <row r="245" spans="2:14" x14ac:dyDescent="0.35">
      <c r="B245" s="379" t="s">
        <v>2</v>
      </c>
      <c r="C245" s="379" t="str">
        <f t="shared" ref="C245:C251" si="16">IF(D245="","All",D245&amp;" "&amp;E245)</f>
        <v>Residential Flat rate</v>
      </c>
      <c r="D245" s="379" t="s">
        <v>6</v>
      </c>
      <c r="E245" s="379" t="s">
        <v>19</v>
      </c>
      <c r="F245" s="379" t="s">
        <v>19</v>
      </c>
      <c r="G245" s="379" t="s">
        <v>61</v>
      </c>
      <c r="H245" s="379" t="s">
        <v>46</v>
      </c>
      <c r="I245" s="792">
        <v>27.54</v>
      </c>
      <c r="J245" s="792">
        <v>28.54</v>
      </c>
      <c r="K245" s="67" t="s">
        <v>148</v>
      </c>
      <c r="L245" s="794" t="s">
        <v>385</v>
      </c>
      <c r="M245" s="794" t="s">
        <v>432</v>
      </c>
      <c r="N245" s="513">
        <f t="shared" si="13"/>
        <v>3.6310820624546158E-2</v>
      </c>
    </row>
    <row r="246" spans="2:14" x14ac:dyDescent="0.35">
      <c r="B246" s="379" t="s">
        <v>2</v>
      </c>
      <c r="C246" s="379" t="str">
        <f t="shared" si="16"/>
        <v>Residential time of use</v>
      </c>
      <c r="D246" s="379" t="s">
        <v>6</v>
      </c>
      <c r="E246" s="379" t="s">
        <v>272</v>
      </c>
      <c r="F246" s="379" t="s">
        <v>272</v>
      </c>
      <c r="G246" s="379" t="s">
        <v>61</v>
      </c>
      <c r="H246" s="379" t="s">
        <v>46</v>
      </c>
      <c r="I246" s="805"/>
      <c r="J246" s="805">
        <v>28.54</v>
      </c>
      <c r="K246" s="67" t="s">
        <v>148</v>
      </c>
      <c r="L246" s="794" t="s">
        <v>304</v>
      </c>
      <c r="M246" s="794" t="s">
        <v>432</v>
      </c>
      <c r="N246" s="513" t="str">
        <f t="shared" si="13"/>
        <v/>
      </c>
    </row>
    <row r="247" spans="2:14" x14ac:dyDescent="0.35">
      <c r="B247" s="379" t="s">
        <v>2</v>
      </c>
      <c r="C247" s="379" t="str">
        <f t="shared" si="16"/>
        <v>All</v>
      </c>
      <c r="D247" s="379"/>
      <c r="E247" s="379" t="s">
        <v>285</v>
      </c>
      <c r="F247" s="379" t="s">
        <v>14</v>
      </c>
      <c r="G247" s="379" t="s">
        <v>61</v>
      </c>
      <c r="H247" s="379" t="s">
        <v>46</v>
      </c>
      <c r="I247" s="792">
        <v>9.01</v>
      </c>
      <c r="J247" s="792">
        <v>9.34</v>
      </c>
      <c r="K247" s="67" t="s">
        <v>148</v>
      </c>
      <c r="L247" s="794" t="s">
        <v>385</v>
      </c>
      <c r="M247" s="794" t="s">
        <v>432</v>
      </c>
      <c r="N247" s="513">
        <f t="shared" si="13"/>
        <v>3.662597114317423E-2</v>
      </c>
    </row>
    <row r="248" spans="2:14" x14ac:dyDescent="0.35">
      <c r="B248" s="379" t="s">
        <v>2</v>
      </c>
      <c r="C248" s="379" t="str">
        <f t="shared" si="16"/>
        <v>All</v>
      </c>
      <c r="D248" s="379"/>
      <c r="E248" s="379" t="s">
        <v>285</v>
      </c>
      <c r="F248" s="379" t="s">
        <v>15</v>
      </c>
      <c r="G248" s="379" t="s">
        <v>61</v>
      </c>
      <c r="H248" s="379" t="s">
        <v>46</v>
      </c>
      <c r="I248" s="805">
        <v>9.01</v>
      </c>
      <c r="J248" s="805">
        <v>9.34</v>
      </c>
      <c r="K248" s="67" t="s">
        <v>148</v>
      </c>
      <c r="L248" s="794" t="s">
        <v>385</v>
      </c>
      <c r="M248" s="794" t="s">
        <v>432</v>
      </c>
      <c r="N248" s="513">
        <f t="shared" si="13"/>
        <v>3.662597114317423E-2</v>
      </c>
    </row>
    <row r="249" spans="2:14" x14ac:dyDescent="0.35">
      <c r="B249" s="379" t="s">
        <v>2</v>
      </c>
      <c r="C249" s="379" t="str">
        <f t="shared" si="16"/>
        <v>Small business Flat rate</v>
      </c>
      <c r="D249" s="379" t="s">
        <v>13</v>
      </c>
      <c r="E249" s="379" t="s">
        <v>19</v>
      </c>
      <c r="F249" s="379" t="s">
        <v>19</v>
      </c>
      <c r="G249" s="379" t="s">
        <v>61</v>
      </c>
      <c r="H249" s="379" t="s">
        <v>46</v>
      </c>
      <c r="I249" s="792">
        <v>38.159999999999997</v>
      </c>
      <c r="J249" s="792">
        <v>39.54</v>
      </c>
      <c r="K249" s="67" t="s">
        <v>148</v>
      </c>
      <c r="L249" s="794" t="s">
        <v>385</v>
      </c>
      <c r="M249" s="794" t="s">
        <v>432</v>
      </c>
      <c r="N249" s="513">
        <f t="shared" si="13"/>
        <v>3.6163522012578664E-2</v>
      </c>
    </row>
    <row r="250" spans="2:14" x14ac:dyDescent="0.35">
      <c r="B250" s="379" t="s">
        <v>2</v>
      </c>
      <c r="C250" s="379" t="str">
        <f t="shared" si="16"/>
        <v>Small business time of use</v>
      </c>
      <c r="D250" s="379" t="s">
        <v>13</v>
      </c>
      <c r="E250" s="379" t="s">
        <v>272</v>
      </c>
      <c r="F250" s="379" t="s">
        <v>272</v>
      </c>
      <c r="G250" s="379" t="s">
        <v>61</v>
      </c>
      <c r="H250" s="379" t="s">
        <v>46</v>
      </c>
      <c r="I250" s="805"/>
      <c r="J250" s="805">
        <v>39.54</v>
      </c>
      <c r="K250" s="67" t="s">
        <v>148</v>
      </c>
      <c r="L250" s="794" t="s">
        <v>304</v>
      </c>
      <c r="M250" s="794" t="s">
        <v>432</v>
      </c>
      <c r="N250" s="513" t="str">
        <f t="shared" si="13"/>
        <v/>
      </c>
    </row>
    <row r="251" spans="2:14" x14ac:dyDescent="0.35">
      <c r="B251" s="379" t="s">
        <v>4</v>
      </c>
      <c r="C251" s="379" t="str">
        <f t="shared" si="16"/>
        <v>Residential Flat rate</v>
      </c>
      <c r="D251" s="379" t="s">
        <v>6</v>
      </c>
      <c r="E251" s="379" t="s">
        <v>19</v>
      </c>
      <c r="F251" s="379" t="s">
        <v>19</v>
      </c>
      <c r="G251" s="379" t="s">
        <v>57</v>
      </c>
      <c r="H251" s="379" t="s">
        <v>46</v>
      </c>
      <c r="I251" s="792">
        <v>217.75899999999999</v>
      </c>
      <c r="J251" s="792">
        <f>66.55*365/100</f>
        <v>242.9075</v>
      </c>
      <c r="K251" s="67" t="s">
        <v>148</v>
      </c>
      <c r="L251" s="794" t="s">
        <v>440</v>
      </c>
      <c r="M251" s="794" t="s">
        <v>431</v>
      </c>
      <c r="N251" s="513">
        <f t="shared" si="13"/>
        <v>0.11548776399597727</v>
      </c>
    </row>
    <row r="252" spans="2:14" x14ac:dyDescent="0.35">
      <c r="B252" s="379" t="s">
        <v>4</v>
      </c>
      <c r="C252" s="379" t="str">
        <f t="shared" ref="C252:C274" si="17">IF(D252="","All",D252&amp;" "&amp;E252)</f>
        <v>Residential time of use</v>
      </c>
      <c r="D252" s="379" t="s">
        <v>6</v>
      </c>
      <c r="E252" s="379" t="s">
        <v>272</v>
      </c>
      <c r="F252" s="379" t="s">
        <v>279</v>
      </c>
      <c r="G252" s="379" t="s">
        <v>57</v>
      </c>
      <c r="H252" s="379" t="s">
        <v>46</v>
      </c>
      <c r="I252" s="805"/>
      <c r="J252" s="805">
        <v>242.9075</v>
      </c>
      <c r="K252" s="67" t="s">
        <v>148</v>
      </c>
      <c r="L252" s="794" t="s">
        <v>304</v>
      </c>
      <c r="M252" s="794" t="s">
        <v>431</v>
      </c>
      <c r="N252" s="513" t="str">
        <f t="shared" si="13"/>
        <v/>
      </c>
    </row>
    <row r="253" spans="2:14" x14ac:dyDescent="0.35">
      <c r="B253" s="379" t="s">
        <v>4</v>
      </c>
      <c r="C253" s="379" t="str">
        <f t="shared" si="17"/>
        <v>Residential time of use</v>
      </c>
      <c r="D253" s="379" t="s">
        <v>6</v>
      </c>
      <c r="E253" s="379" t="s">
        <v>272</v>
      </c>
      <c r="F253" s="379" t="s">
        <v>280</v>
      </c>
      <c r="G253" s="379" t="s">
        <v>57</v>
      </c>
      <c r="H253" s="379" t="s">
        <v>46</v>
      </c>
      <c r="I253" s="792"/>
      <c r="J253" s="792">
        <v>242.9075</v>
      </c>
      <c r="K253" s="67" t="s">
        <v>148</v>
      </c>
      <c r="L253" s="794" t="s">
        <v>304</v>
      </c>
      <c r="M253" s="794" t="s">
        <v>431</v>
      </c>
      <c r="N253" s="513" t="str">
        <f t="shared" si="13"/>
        <v/>
      </c>
    </row>
    <row r="254" spans="2:14" x14ac:dyDescent="0.35">
      <c r="B254" s="379" t="s">
        <v>4</v>
      </c>
      <c r="C254" s="379" t="str">
        <f t="shared" si="17"/>
        <v>Residential time of use</v>
      </c>
      <c r="D254" s="379" t="s">
        <v>6</v>
      </c>
      <c r="E254" s="379" t="s">
        <v>272</v>
      </c>
      <c r="F254" s="379" t="s">
        <v>281</v>
      </c>
      <c r="G254" s="379" t="s">
        <v>57</v>
      </c>
      <c r="H254" s="379" t="s">
        <v>46</v>
      </c>
      <c r="I254" s="805"/>
      <c r="J254" s="805">
        <v>242.9075</v>
      </c>
      <c r="K254" s="67" t="s">
        <v>148</v>
      </c>
      <c r="L254" s="794" t="s">
        <v>304</v>
      </c>
      <c r="M254" s="794" t="s">
        <v>431</v>
      </c>
      <c r="N254" s="513" t="str">
        <f t="shared" si="13"/>
        <v/>
      </c>
    </row>
    <row r="255" spans="2:14" x14ac:dyDescent="0.35">
      <c r="B255" s="379" t="s">
        <v>4</v>
      </c>
      <c r="C255" s="379" t="str">
        <f t="shared" si="17"/>
        <v>Residential time of use</v>
      </c>
      <c r="D255" s="379" t="s">
        <v>6</v>
      </c>
      <c r="E255" s="379" t="s">
        <v>272</v>
      </c>
      <c r="F255" s="379" t="s">
        <v>282</v>
      </c>
      <c r="G255" s="379" t="s">
        <v>57</v>
      </c>
      <c r="H255" s="379" t="s">
        <v>46</v>
      </c>
      <c r="I255" s="792"/>
      <c r="J255" s="792">
        <v>242.9075</v>
      </c>
      <c r="K255" s="67" t="s">
        <v>148</v>
      </c>
      <c r="L255" s="794" t="s">
        <v>304</v>
      </c>
      <c r="M255" s="794" t="s">
        <v>431</v>
      </c>
      <c r="N255" s="513" t="str">
        <f t="shared" si="13"/>
        <v/>
      </c>
    </row>
    <row r="256" spans="2:14" x14ac:dyDescent="0.35">
      <c r="B256" s="379" t="s">
        <v>4</v>
      </c>
      <c r="C256" s="379" t="str">
        <f t="shared" si="17"/>
        <v>All</v>
      </c>
      <c r="D256" s="379"/>
      <c r="E256" s="379" t="s">
        <v>285</v>
      </c>
      <c r="F256" s="379" t="s">
        <v>14</v>
      </c>
      <c r="G256" s="379" t="s">
        <v>57</v>
      </c>
      <c r="H256" s="379" t="s">
        <v>46</v>
      </c>
      <c r="I256" s="805">
        <v>26.462499999999999</v>
      </c>
      <c r="J256" s="805">
        <f>8.23*365/100</f>
        <v>30.039500000000004</v>
      </c>
      <c r="K256" s="67" t="s">
        <v>148</v>
      </c>
      <c r="L256" s="794" t="s">
        <v>440</v>
      </c>
      <c r="M256" s="794" t="s">
        <v>431</v>
      </c>
      <c r="N256" s="513">
        <f t="shared" si="13"/>
        <v>0.13517241379310363</v>
      </c>
    </row>
    <row r="257" spans="2:14" x14ac:dyDescent="0.35">
      <c r="B257" s="379" t="s">
        <v>4</v>
      </c>
      <c r="C257" s="379" t="str">
        <f t="shared" si="17"/>
        <v>All</v>
      </c>
      <c r="D257" s="379"/>
      <c r="E257" s="379" t="s">
        <v>285</v>
      </c>
      <c r="F257" s="379" t="s">
        <v>15</v>
      </c>
      <c r="G257" s="379" t="s">
        <v>57</v>
      </c>
      <c r="H257" s="379" t="s">
        <v>46</v>
      </c>
      <c r="I257" s="792">
        <v>26.462499999999999</v>
      </c>
      <c r="J257" s="792">
        <v>30.039500000000004</v>
      </c>
      <c r="K257" s="67" t="s">
        <v>148</v>
      </c>
      <c r="L257" s="794" t="s">
        <v>440</v>
      </c>
      <c r="M257" s="794" t="s">
        <v>431</v>
      </c>
      <c r="N257" s="513">
        <f t="shared" si="13"/>
        <v>0.13517241379310363</v>
      </c>
    </row>
    <row r="258" spans="2:14" x14ac:dyDescent="0.35">
      <c r="B258" s="379" t="s">
        <v>4</v>
      </c>
      <c r="C258" s="379" t="str">
        <f t="shared" si="17"/>
        <v>Small business Flat rate</v>
      </c>
      <c r="D258" s="379" t="s">
        <v>13</v>
      </c>
      <c r="E258" s="379" t="s">
        <v>19</v>
      </c>
      <c r="F258" s="379" t="s">
        <v>19</v>
      </c>
      <c r="G258" s="379" t="s">
        <v>57</v>
      </c>
      <c r="H258" s="379" t="s">
        <v>46</v>
      </c>
      <c r="I258" s="805">
        <v>311.63699999999994</v>
      </c>
      <c r="J258" s="805">
        <f>95.24*365/100</f>
        <v>347.62599999999998</v>
      </c>
      <c r="K258" s="67" t="s">
        <v>148</v>
      </c>
      <c r="L258" s="794" t="s">
        <v>440</v>
      </c>
      <c r="M258" s="794" t="s">
        <v>431</v>
      </c>
      <c r="N258" s="513">
        <f t="shared" si="13"/>
        <v>0.11548371984071215</v>
      </c>
    </row>
    <row r="259" spans="2:14" x14ac:dyDescent="0.35">
      <c r="B259" s="379" t="s">
        <v>4</v>
      </c>
      <c r="C259" s="379" t="str">
        <f t="shared" si="17"/>
        <v>Small business time of use</v>
      </c>
      <c r="D259" s="379" t="s">
        <v>13</v>
      </c>
      <c r="E259" s="379" t="s">
        <v>272</v>
      </c>
      <c r="F259" s="379" t="s">
        <v>279</v>
      </c>
      <c r="G259" s="379" t="s">
        <v>57</v>
      </c>
      <c r="H259" s="379" t="s">
        <v>46</v>
      </c>
      <c r="I259" s="792"/>
      <c r="J259" s="792">
        <v>347.62599999999998</v>
      </c>
      <c r="K259" s="67" t="s">
        <v>148</v>
      </c>
      <c r="L259" s="794" t="s">
        <v>304</v>
      </c>
      <c r="M259" s="794" t="s">
        <v>431</v>
      </c>
      <c r="N259" s="513" t="str">
        <f t="shared" si="13"/>
        <v/>
      </c>
    </row>
    <row r="260" spans="2:14" x14ac:dyDescent="0.35">
      <c r="B260" s="379" t="s">
        <v>4</v>
      </c>
      <c r="C260" s="379" t="str">
        <f t="shared" si="17"/>
        <v>Small business time of use</v>
      </c>
      <c r="D260" s="379" t="s">
        <v>13</v>
      </c>
      <c r="E260" s="379" t="s">
        <v>272</v>
      </c>
      <c r="F260" s="379" t="s">
        <v>280</v>
      </c>
      <c r="G260" s="379" t="s">
        <v>57</v>
      </c>
      <c r="H260" s="379" t="s">
        <v>46</v>
      </c>
      <c r="I260" s="805"/>
      <c r="J260" s="805">
        <v>347.62599999999998</v>
      </c>
      <c r="K260" s="67" t="s">
        <v>148</v>
      </c>
      <c r="L260" s="794" t="s">
        <v>304</v>
      </c>
      <c r="M260" s="794" t="s">
        <v>431</v>
      </c>
      <c r="N260" s="513" t="str">
        <f t="shared" ref="N260:N323" si="18">IFERROR(IF(K260="%",J260-I260,J260/I260-1),"")</f>
        <v/>
      </c>
    </row>
    <row r="261" spans="2:14" x14ac:dyDescent="0.35">
      <c r="B261" s="379" t="s">
        <v>4</v>
      </c>
      <c r="C261" s="379" t="str">
        <f t="shared" si="17"/>
        <v>Small business time of use</v>
      </c>
      <c r="D261" s="379" t="s">
        <v>13</v>
      </c>
      <c r="E261" s="379" t="s">
        <v>272</v>
      </c>
      <c r="F261" s="379" t="s">
        <v>281</v>
      </c>
      <c r="G261" s="379" t="s">
        <v>57</v>
      </c>
      <c r="H261" s="379" t="s">
        <v>46</v>
      </c>
      <c r="I261" s="792"/>
      <c r="J261" s="792">
        <v>347.62599999999998</v>
      </c>
      <c r="K261" s="67" t="s">
        <v>148</v>
      </c>
      <c r="L261" s="794" t="s">
        <v>304</v>
      </c>
      <c r="M261" s="794" t="s">
        <v>431</v>
      </c>
      <c r="N261" s="513" t="str">
        <f t="shared" si="18"/>
        <v/>
      </c>
    </row>
    <row r="262" spans="2:14" x14ac:dyDescent="0.35">
      <c r="B262" s="379" t="s">
        <v>4</v>
      </c>
      <c r="C262" s="379" t="str">
        <f t="shared" si="17"/>
        <v>Small business time of use</v>
      </c>
      <c r="D262" s="379" t="s">
        <v>13</v>
      </c>
      <c r="E262" s="379" t="s">
        <v>272</v>
      </c>
      <c r="F262" s="379" t="s">
        <v>282</v>
      </c>
      <c r="G262" s="379" t="s">
        <v>57</v>
      </c>
      <c r="H262" s="379" t="s">
        <v>46</v>
      </c>
      <c r="I262" s="805"/>
      <c r="J262" s="805">
        <v>347.62599999999998</v>
      </c>
      <c r="K262" s="67" t="s">
        <v>148</v>
      </c>
      <c r="L262" s="794" t="s">
        <v>304</v>
      </c>
      <c r="M262" s="794" t="s">
        <v>431</v>
      </c>
      <c r="N262" s="513" t="str">
        <f t="shared" si="18"/>
        <v/>
      </c>
    </row>
    <row r="263" spans="2:14" x14ac:dyDescent="0.35">
      <c r="B263" s="379" t="s">
        <v>4</v>
      </c>
      <c r="C263" s="379" t="str">
        <f t="shared" si="17"/>
        <v>Residential Flat rate</v>
      </c>
      <c r="D263" s="379" t="s">
        <v>6</v>
      </c>
      <c r="E263" s="379" t="s">
        <v>19</v>
      </c>
      <c r="F263" s="379" t="s">
        <v>19</v>
      </c>
      <c r="G263" s="379" t="s">
        <v>57</v>
      </c>
      <c r="H263" s="379" t="s">
        <v>47</v>
      </c>
      <c r="I263" s="792">
        <v>108.173</v>
      </c>
      <c r="J263" s="792">
        <f>12.0348*10</f>
        <v>120.34800000000001</v>
      </c>
      <c r="K263" s="67" t="s">
        <v>44</v>
      </c>
      <c r="L263" s="794" t="s">
        <v>440</v>
      </c>
      <c r="M263" s="794" t="s">
        <v>431</v>
      </c>
      <c r="N263" s="513">
        <f t="shared" si="18"/>
        <v>0.11255119114751388</v>
      </c>
    </row>
    <row r="264" spans="2:14" x14ac:dyDescent="0.35">
      <c r="B264" s="379" t="s">
        <v>4</v>
      </c>
      <c r="C264" s="379" t="str">
        <f t="shared" si="17"/>
        <v>Residential time of use</v>
      </c>
      <c r="D264" s="379" t="s">
        <v>6</v>
      </c>
      <c r="E264" s="379" t="s">
        <v>272</v>
      </c>
      <c r="F264" s="379" t="s">
        <v>279</v>
      </c>
      <c r="G264" s="379" t="s">
        <v>57</v>
      </c>
      <c r="H264" s="379" t="s">
        <v>47</v>
      </c>
      <c r="I264" s="805"/>
      <c r="J264" s="805">
        <f>11.734*10</f>
        <v>117.34</v>
      </c>
      <c r="K264" s="67" t="s">
        <v>44</v>
      </c>
      <c r="L264" s="794" t="s">
        <v>304</v>
      </c>
      <c r="M264" s="794" t="s">
        <v>431</v>
      </c>
      <c r="N264" s="513" t="str">
        <f t="shared" si="18"/>
        <v/>
      </c>
    </row>
    <row r="265" spans="2:14" x14ac:dyDescent="0.35">
      <c r="B265" s="379" t="s">
        <v>4</v>
      </c>
      <c r="C265" s="379" t="str">
        <f t="shared" si="17"/>
        <v>Residential time of use</v>
      </c>
      <c r="D265" s="379" t="s">
        <v>6</v>
      </c>
      <c r="E265" s="379" t="s">
        <v>272</v>
      </c>
      <c r="F265" s="379" t="s">
        <v>280</v>
      </c>
      <c r="G265" s="379" t="s">
        <v>57</v>
      </c>
      <c r="H265" s="379" t="s">
        <v>47</v>
      </c>
      <c r="I265" s="792"/>
      <c r="J265" s="792">
        <f>23.4471*10</f>
        <v>234.471</v>
      </c>
      <c r="K265" s="67" t="s">
        <v>44</v>
      </c>
      <c r="L265" s="794" t="s">
        <v>304</v>
      </c>
      <c r="M265" s="794" t="s">
        <v>431</v>
      </c>
      <c r="N265" s="513" t="str">
        <f t="shared" si="18"/>
        <v/>
      </c>
    </row>
    <row r="266" spans="2:14" x14ac:dyDescent="0.35">
      <c r="B266" s="379" t="s">
        <v>4</v>
      </c>
      <c r="C266" s="379" t="str">
        <f t="shared" si="17"/>
        <v>Residential time of use</v>
      </c>
      <c r="D266" s="379" t="s">
        <v>6</v>
      </c>
      <c r="E266" s="379" t="s">
        <v>272</v>
      </c>
      <c r="F266" s="379" t="s">
        <v>281</v>
      </c>
      <c r="G266" s="379" t="s">
        <v>57</v>
      </c>
      <c r="H266" s="379" t="s">
        <v>47</v>
      </c>
      <c r="I266" s="805"/>
      <c r="J266" s="805">
        <f>15.2042*10</f>
        <v>152.042</v>
      </c>
      <c r="K266" s="67" t="s">
        <v>44</v>
      </c>
      <c r="L266" s="794" t="s">
        <v>304</v>
      </c>
      <c r="M266" s="794" t="s">
        <v>431</v>
      </c>
      <c r="N266" s="513" t="str">
        <f t="shared" si="18"/>
        <v/>
      </c>
    </row>
    <row r="267" spans="2:14" x14ac:dyDescent="0.35">
      <c r="B267" s="379" t="s">
        <v>4</v>
      </c>
      <c r="C267" s="379" t="str">
        <f t="shared" si="17"/>
        <v>Residential time of use</v>
      </c>
      <c r="D267" s="379" t="s">
        <v>6</v>
      </c>
      <c r="E267" s="379" t="s">
        <v>272</v>
      </c>
      <c r="F267" s="379" t="s">
        <v>282</v>
      </c>
      <c r="G267" s="379" t="s">
        <v>57</v>
      </c>
      <c r="H267" s="379" t="s">
        <v>47</v>
      </c>
      <c r="I267" s="792"/>
      <c r="J267" s="792">
        <f>4.5355*10</f>
        <v>45.354999999999997</v>
      </c>
      <c r="K267" s="67" t="s">
        <v>44</v>
      </c>
      <c r="L267" s="794" t="s">
        <v>304</v>
      </c>
      <c r="M267" s="794" t="s">
        <v>431</v>
      </c>
      <c r="N267" s="513" t="str">
        <f t="shared" si="18"/>
        <v/>
      </c>
    </row>
    <row r="268" spans="2:14" x14ac:dyDescent="0.35">
      <c r="B268" s="379" t="s">
        <v>4</v>
      </c>
      <c r="C268" s="379" t="str">
        <f t="shared" si="17"/>
        <v>All</v>
      </c>
      <c r="D268" s="379"/>
      <c r="E268" s="379" t="s">
        <v>285</v>
      </c>
      <c r="F268" s="379" t="s">
        <v>14</v>
      </c>
      <c r="G268" s="379" t="s">
        <v>57</v>
      </c>
      <c r="H268" s="379" t="s">
        <v>47</v>
      </c>
      <c r="I268" s="805">
        <v>43.001999999999995</v>
      </c>
      <c r="J268" s="805">
        <f>4.819*10</f>
        <v>48.19</v>
      </c>
      <c r="K268" s="67" t="s">
        <v>44</v>
      </c>
      <c r="L268" s="794" t="s">
        <v>440</v>
      </c>
      <c r="M268" s="794" t="s">
        <v>431</v>
      </c>
      <c r="N268" s="513">
        <f t="shared" si="18"/>
        <v>0.12064555136970379</v>
      </c>
    </row>
    <row r="269" spans="2:14" x14ac:dyDescent="0.35">
      <c r="B269" s="379" t="s">
        <v>4</v>
      </c>
      <c r="C269" s="379" t="str">
        <f t="shared" si="17"/>
        <v>All</v>
      </c>
      <c r="D269" s="379"/>
      <c r="E269" s="379" t="s">
        <v>285</v>
      </c>
      <c r="F269" s="379" t="s">
        <v>15</v>
      </c>
      <c r="G269" s="379" t="s">
        <v>57</v>
      </c>
      <c r="H269" s="379" t="s">
        <v>47</v>
      </c>
      <c r="I269" s="792">
        <v>65.861000000000004</v>
      </c>
      <c r="J269" s="792">
        <f>7.3807*10</f>
        <v>73.807000000000002</v>
      </c>
      <c r="K269" s="67" t="s">
        <v>44</v>
      </c>
      <c r="L269" s="794" t="s">
        <v>440</v>
      </c>
      <c r="M269" s="794" t="s">
        <v>431</v>
      </c>
      <c r="N269" s="513">
        <f t="shared" si="18"/>
        <v>0.12064803146019654</v>
      </c>
    </row>
    <row r="270" spans="2:14" x14ac:dyDescent="0.35">
      <c r="B270" s="379" t="s">
        <v>4</v>
      </c>
      <c r="C270" s="379" t="str">
        <f t="shared" si="17"/>
        <v>Small business Flat rate</v>
      </c>
      <c r="D270" s="379" t="s">
        <v>13</v>
      </c>
      <c r="E270" s="379" t="s">
        <v>19</v>
      </c>
      <c r="F270" s="379" t="s">
        <v>19</v>
      </c>
      <c r="G270" s="379" t="s">
        <v>57</v>
      </c>
      <c r="H270" s="379" t="s">
        <v>47</v>
      </c>
      <c r="I270" s="805">
        <v>112.803</v>
      </c>
      <c r="J270" s="805">
        <f>12.5753*10</f>
        <v>125.753</v>
      </c>
      <c r="K270" s="67" t="s">
        <v>44</v>
      </c>
      <c r="L270" s="794" t="s">
        <v>440</v>
      </c>
      <c r="M270" s="794" t="s">
        <v>431</v>
      </c>
      <c r="N270" s="513">
        <f t="shared" si="18"/>
        <v>0.11480191129668538</v>
      </c>
    </row>
    <row r="271" spans="2:14" x14ac:dyDescent="0.35">
      <c r="B271" s="379" t="s">
        <v>4</v>
      </c>
      <c r="C271" s="379" t="str">
        <f t="shared" si="17"/>
        <v>Small business time of use</v>
      </c>
      <c r="D271" s="379" t="s">
        <v>13</v>
      </c>
      <c r="E271" s="379" t="s">
        <v>272</v>
      </c>
      <c r="F271" s="379" t="s">
        <v>279</v>
      </c>
      <c r="G271" s="379" t="s">
        <v>57</v>
      </c>
      <c r="H271" s="379" t="s">
        <v>47</v>
      </c>
      <c r="I271" s="792"/>
      <c r="J271" s="792">
        <f>13.4421*10</f>
        <v>134.42099999999999</v>
      </c>
      <c r="K271" s="67" t="s">
        <v>44</v>
      </c>
      <c r="L271" s="794" t="s">
        <v>304</v>
      </c>
      <c r="M271" s="794" t="s">
        <v>431</v>
      </c>
      <c r="N271" s="513" t="str">
        <f t="shared" si="18"/>
        <v/>
      </c>
    </row>
    <row r="272" spans="2:14" x14ac:dyDescent="0.35">
      <c r="B272" s="379" t="s">
        <v>4</v>
      </c>
      <c r="C272" s="379" t="str">
        <f t="shared" si="17"/>
        <v>Small business time of use</v>
      </c>
      <c r="D272" s="379" t="s">
        <v>13</v>
      </c>
      <c r="E272" s="379" t="s">
        <v>272</v>
      </c>
      <c r="F272" s="379" t="s">
        <v>280</v>
      </c>
      <c r="G272" s="379" t="s">
        <v>57</v>
      </c>
      <c r="H272" s="379" t="s">
        <v>47</v>
      </c>
      <c r="I272" s="805"/>
      <c r="J272" s="805">
        <f>25.1552*10</f>
        <v>251.55200000000002</v>
      </c>
      <c r="K272" s="67" t="s">
        <v>44</v>
      </c>
      <c r="L272" s="794" t="s">
        <v>304</v>
      </c>
      <c r="M272" s="794" t="s">
        <v>431</v>
      </c>
      <c r="N272" s="513" t="str">
        <f t="shared" si="18"/>
        <v/>
      </c>
    </row>
    <row r="273" spans="2:14" x14ac:dyDescent="0.35">
      <c r="B273" s="379" t="s">
        <v>4</v>
      </c>
      <c r="C273" s="379" t="str">
        <f t="shared" si="17"/>
        <v>Small business time of use</v>
      </c>
      <c r="D273" s="379" t="s">
        <v>13</v>
      </c>
      <c r="E273" s="379" t="s">
        <v>272</v>
      </c>
      <c r="F273" s="379" t="s">
        <v>281</v>
      </c>
      <c r="G273" s="379" t="s">
        <v>57</v>
      </c>
      <c r="H273" s="379" t="s">
        <v>47</v>
      </c>
      <c r="I273" s="792"/>
      <c r="J273" s="792">
        <f>16.9123*10</f>
        <v>169.12299999999999</v>
      </c>
      <c r="K273" s="67" t="s">
        <v>44</v>
      </c>
      <c r="L273" s="794" t="s">
        <v>304</v>
      </c>
      <c r="M273" s="794" t="s">
        <v>431</v>
      </c>
      <c r="N273" s="513" t="str">
        <f t="shared" si="18"/>
        <v/>
      </c>
    </row>
    <row r="274" spans="2:14" x14ac:dyDescent="0.35">
      <c r="B274" s="379" t="s">
        <v>4</v>
      </c>
      <c r="C274" s="379" t="str">
        <f t="shared" si="17"/>
        <v>Small business time of use</v>
      </c>
      <c r="D274" s="379" t="s">
        <v>13</v>
      </c>
      <c r="E274" s="379" t="s">
        <v>272</v>
      </c>
      <c r="F274" s="379" t="s">
        <v>282</v>
      </c>
      <c r="G274" s="379" t="s">
        <v>57</v>
      </c>
      <c r="H274" s="379" t="s">
        <v>47</v>
      </c>
      <c r="I274" s="805"/>
      <c r="J274" s="805">
        <f>5.1696*10</f>
        <v>51.695999999999998</v>
      </c>
      <c r="K274" s="67" t="s">
        <v>44</v>
      </c>
      <c r="L274" s="794" t="s">
        <v>304</v>
      </c>
      <c r="M274" s="794" t="s">
        <v>431</v>
      </c>
      <c r="N274" s="513" t="str">
        <f t="shared" si="18"/>
        <v/>
      </c>
    </row>
    <row r="275" spans="2:14" x14ac:dyDescent="0.35">
      <c r="B275" s="379" t="s">
        <v>4</v>
      </c>
      <c r="C275" s="379" t="str">
        <f t="shared" ref="C275:C281" si="19">IF(D275="","All",D275&amp;" "&amp;E275)</f>
        <v>Residential Flat rate</v>
      </c>
      <c r="D275" s="379" t="s">
        <v>6</v>
      </c>
      <c r="E275" s="379" t="s">
        <v>19</v>
      </c>
      <c r="F275" s="379" t="s">
        <v>19</v>
      </c>
      <c r="G275" s="379" t="s">
        <v>61</v>
      </c>
      <c r="H275" s="379" t="s">
        <v>46</v>
      </c>
      <c r="I275" s="792">
        <v>12.65455</v>
      </c>
      <c r="J275" s="792">
        <v>13.293665000000001</v>
      </c>
      <c r="K275" s="67" t="s">
        <v>148</v>
      </c>
      <c r="L275" s="794" t="s">
        <v>386</v>
      </c>
      <c r="M275" s="794" t="s">
        <v>433</v>
      </c>
      <c r="N275" s="513">
        <f t="shared" si="18"/>
        <v>5.0504759157773416E-2</v>
      </c>
    </row>
    <row r="276" spans="2:14" x14ac:dyDescent="0.35">
      <c r="B276" s="379" t="s">
        <v>4</v>
      </c>
      <c r="C276" s="379" t="str">
        <f t="shared" si="19"/>
        <v>Residential time of use</v>
      </c>
      <c r="D276" s="379" t="s">
        <v>6</v>
      </c>
      <c r="E276" s="379" t="s">
        <v>272</v>
      </c>
      <c r="F276" s="379" t="s">
        <v>272</v>
      </c>
      <c r="G276" s="379" t="s">
        <v>61</v>
      </c>
      <c r="H276" s="379" t="s">
        <v>46</v>
      </c>
      <c r="I276" s="805"/>
      <c r="J276" s="792">
        <v>13.293665000000001</v>
      </c>
      <c r="K276" s="67" t="s">
        <v>148</v>
      </c>
      <c r="L276" s="794" t="s">
        <v>304</v>
      </c>
      <c r="M276" s="794" t="s">
        <v>433</v>
      </c>
      <c r="N276" s="513" t="str">
        <f t="shared" si="18"/>
        <v/>
      </c>
    </row>
    <row r="277" spans="2:14" x14ac:dyDescent="0.35">
      <c r="B277" s="379" t="s">
        <v>4</v>
      </c>
      <c r="C277" s="379" t="str">
        <f t="shared" si="19"/>
        <v>All</v>
      </c>
      <c r="D277" s="379"/>
      <c r="E277" s="379" t="s">
        <v>285</v>
      </c>
      <c r="F277" s="379" t="s">
        <v>14</v>
      </c>
      <c r="G277" s="379" t="s">
        <v>61</v>
      </c>
      <c r="H277" s="379" t="s">
        <v>46</v>
      </c>
      <c r="I277" s="792">
        <v>12.65455</v>
      </c>
      <c r="J277" s="792">
        <v>13.293665000000001</v>
      </c>
      <c r="K277" s="67" t="s">
        <v>148</v>
      </c>
      <c r="L277" s="794" t="s">
        <v>386</v>
      </c>
      <c r="M277" s="794" t="s">
        <v>433</v>
      </c>
      <c r="N277" s="513">
        <f t="shared" si="18"/>
        <v>5.0504759157773416E-2</v>
      </c>
    </row>
    <row r="278" spans="2:14" x14ac:dyDescent="0.35">
      <c r="B278" s="379" t="s">
        <v>4</v>
      </c>
      <c r="C278" s="379" t="str">
        <f t="shared" si="19"/>
        <v>All</v>
      </c>
      <c r="D278" s="379"/>
      <c r="E278" s="379" t="s">
        <v>285</v>
      </c>
      <c r="F278" s="379" t="s">
        <v>15</v>
      </c>
      <c r="G278" s="379" t="s">
        <v>61</v>
      </c>
      <c r="H278" s="379" t="s">
        <v>46</v>
      </c>
      <c r="I278" s="805">
        <v>12.65455</v>
      </c>
      <c r="J278" s="792">
        <v>13.293665000000001</v>
      </c>
      <c r="K278" s="67" t="s">
        <v>148</v>
      </c>
      <c r="L278" s="794" t="s">
        <v>386</v>
      </c>
      <c r="M278" s="794" t="s">
        <v>433</v>
      </c>
      <c r="N278" s="513">
        <f t="shared" si="18"/>
        <v>5.0504759157773416E-2</v>
      </c>
    </row>
    <row r="279" spans="2:14" x14ac:dyDescent="0.35">
      <c r="B279" s="379" t="s">
        <v>4</v>
      </c>
      <c r="C279" s="379" t="str">
        <f t="shared" si="19"/>
        <v>Small business Flat rate</v>
      </c>
      <c r="D279" s="379" t="s">
        <v>13</v>
      </c>
      <c r="E279" s="379" t="s">
        <v>19</v>
      </c>
      <c r="F279" s="379" t="s">
        <v>19</v>
      </c>
      <c r="G279" s="379" t="s">
        <v>61</v>
      </c>
      <c r="H279" s="379" t="s">
        <v>46</v>
      </c>
      <c r="I279" s="792">
        <v>12.65455</v>
      </c>
      <c r="J279" s="792">
        <v>13.293665000000001</v>
      </c>
      <c r="K279" s="67" t="s">
        <v>148</v>
      </c>
      <c r="L279" s="794" t="s">
        <v>386</v>
      </c>
      <c r="M279" s="794" t="s">
        <v>433</v>
      </c>
      <c r="N279" s="513">
        <f t="shared" si="18"/>
        <v>5.0504759157773416E-2</v>
      </c>
    </row>
    <row r="280" spans="2:14" x14ac:dyDescent="0.35">
      <c r="B280" s="379" t="s">
        <v>4</v>
      </c>
      <c r="C280" s="379" t="str">
        <f t="shared" si="19"/>
        <v>Small business time of use</v>
      </c>
      <c r="D280" s="379" t="s">
        <v>13</v>
      </c>
      <c r="E280" s="379" t="s">
        <v>272</v>
      </c>
      <c r="F280" s="379" t="s">
        <v>272</v>
      </c>
      <c r="G280" s="379" t="s">
        <v>61</v>
      </c>
      <c r="H280" s="379" t="s">
        <v>46</v>
      </c>
      <c r="I280" s="805"/>
      <c r="J280" s="792">
        <v>13.293665000000001</v>
      </c>
      <c r="K280" s="67" t="s">
        <v>148</v>
      </c>
      <c r="L280" s="794" t="s">
        <v>304</v>
      </c>
      <c r="M280" s="794" t="s">
        <v>433</v>
      </c>
      <c r="N280" s="513" t="str">
        <f t="shared" si="18"/>
        <v/>
      </c>
    </row>
    <row r="281" spans="2:14" x14ac:dyDescent="0.35">
      <c r="B281" s="379" t="s">
        <v>3</v>
      </c>
      <c r="C281" s="379" t="str">
        <f t="shared" si="19"/>
        <v>Residential Flat rate</v>
      </c>
      <c r="D281" s="379" t="s">
        <v>6</v>
      </c>
      <c r="E281" s="379" t="s">
        <v>19</v>
      </c>
      <c r="F281" s="379" t="s">
        <v>19</v>
      </c>
      <c r="G281" s="379" t="s">
        <v>57</v>
      </c>
      <c r="H281" s="379" t="s">
        <v>46</v>
      </c>
      <c r="I281" s="792">
        <v>440.68497988884502</v>
      </c>
      <c r="J281" s="792">
        <v>473.35563654766003</v>
      </c>
      <c r="K281" s="67" t="s">
        <v>148</v>
      </c>
      <c r="L281" s="794" t="s">
        <v>441</v>
      </c>
      <c r="M281" s="794" t="s">
        <v>434</v>
      </c>
      <c r="N281" s="513">
        <f t="shared" si="18"/>
        <v>7.4136079398611665E-2</v>
      </c>
    </row>
    <row r="282" spans="2:14" x14ac:dyDescent="0.35">
      <c r="B282" s="379" t="s">
        <v>3</v>
      </c>
      <c r="C282" s="379" t="str">
        <f t="shared" ref="C282:C300" si="20">IF(D282="","All",D282&amp;" "&amp;E282)</f>
        <v>Residential time of use</v>
      </c>
      <c r="D282" s="379" t="s">
        <v>6</v>
      </c>
      <c r="E282" s="379" t="s">
        <v>272</v>
      </c>
      <c r="F282" s="379" t="s">
        <v>279</v>
      </c>
      <c r="G282" s="379" t="s">
        <v>57</v>
      </c>
      <c r="H282" s="379" t="s">
        <v>46</v>
      </c>
      <c r="I282" s="805"/>
      <c r="J282" s="805">
        <v>473.35563654766003</v>
      </c>
      <c r="K282" s="67" t="s">
        <v>148</v>
      </c>
      <c r="L282" s="794" t="s">
        <v>304</v>
      </c>
      <c r="M282" s="794" t="s">
        <v>434</v>
      </c>
      <c r="N282" s="513" t="str">
        <f t="shared" si="18"/>
        <v/>
      </c>
    </row>
    <row r="283" spans="2:14" x14ac:dyDescent="0.35">
      <c r="B283" s="379" t="s">
        <v>3</v>
      </c>
      <c r="C283" s="379" t="str">
        <f t="shared" si="20"/>
        <v>Residential time of use</v>
      </c>
      <c r="D283" s="379" t="s">
        <v>6</v>
      </c>
      <c r="E283" s="379" t="s">
        <v>272</v>
      </c>
      <c r="F283" s="379" t="s">
        <v>278</v>
      </c>
      <c r="G283" s="379" t="s">
        <v>57</v>
      </c>
      <c r="H283" s="379" t="s">
        <v>46</v>
      </c>
      <c r="I283" s="792"/>
      <c r="J283" s="792">
        <v>473.35563654766003</v>
      </c>
      <c r="K283" s="67" t="s">
        <v>148</v>
      </c>
      <c r="L283" s="794" t="s">
        <v>304</v>
      </c>
      <c r="M283" s="794" t="s">
        <v>434</v>
      </c>
      <c r="N283" s="513" t="str">
        <f t="shared" si="18"/>
        <v/>
      </c>
    </row>
    <row r="284" spans="2:14" x14ac:dyDescent="0.35">
      <c r="B284" s="379" t="s">
        <v>3</v>
      </c>
      <c r="C284" s="379" t="str">
        <f t="shared" si="20"/>
        <v>Residential time of use</v>
      </c>
      <c r="D284" s="379" t="s">
        <v>6</v>
      </c>
      <c r="E284" s="379" t="s">
        <v>272</v>
      </c>
      <c r="F284" s="379" t="s">
        <v>283</v>
      </c>
      <c r="G284" s="379" t="s">
        <v>57</v>
      </c>
      <c r="H284" s="379" t="s">
        <v>46</v>
      </c>
      <c r="I284" s="805"/>
      <c r="J284" s="805">
        <v>0</v>
      </c>
      <c r="K284" s="67" t="s">
        <v>148</v>
      </c>
      <c r="L284" s="794" t="s">
        <v>304</v>
      </c>
      <c r="M284" s="794" t="s">
        <v>434</v>
      </c>
      <c r="N284" s="513" t="str">
        <f t="shared" si="18"/>
        <v/>
      </c>
    </row>
    <row r="285" spans="2:14" x14ac:dyDescent="0.35">
      <c r="B285" s="379" t="s">
        <v>3</v>
      </c>
      <c r="C285" s="379" t="str">
        <f t="shared" si="20"/>
        <v>All</v>
      </c>
      <c r="D285" s="379"/>
      <c r="E285" s="379" t="s">
        <v>285</v>
      </c>
      <c r="F285" s="379" t="s">
        <v>14</v>
      </c>
      <c r="G285" s="379" t="s">
        <v>57</v>
      </c>
      <c r="H285" s="379" t="s">
        <v>46</v>
      </c>
      <c r="I285" s="792">
        <v>45.475249347430072</v>
      </c>
      <c r="J285" s="792">
        <v>48.8466060437229</v>
      </c>
      <c r="K285" s="67" t="s">
        <v>148</v>
      </c>
      <c r="L285" s="794" t="s">
        <v>441</v>
      </c>
      <c r="M285" s="794" t="s">
        <v>434</v>
      </c>
      <c r="N285" s="513">
        <f t="shared" si="18"/>
        <v>7.4136079398613663E-2</v>
      </c>
    </row>
    <row r="286" spans="2:14" x14ac:dyDescent="0.35">
      <c r="B286" s="379" t="s">
        <v>3</v>
      </c>
      <c r="C286" s="379" t="str">
        <f t="shared" si="20"/>
        <v>All</v>
      </c>
      <c r="D286" s="379"/>
      <c r="E286" s="379" t="s">
        <v>285</v>
      </c>
      <c r="F286" s="379" t="s">
        <v>15</v>
      </c>
      <c r="G286" s="379" t="s">
        <v>57</v>
      </c>
      <c r="H286" s="379" t="s">
        <v>46</v>
      </c>
      <c r="I286" s="805">
        <v>45.475249347430072</v>
      </c>
      <c r="J286" s="805">
        <v>48.8466060437229</v>
      </c>
      <c r="K286" s="67" t="s">
        <v>148</v>
      </c>
      <c r="L286" s="794" t="s">
        <v>441</v>
      </c>
      <c r="M286" s="794" t="s">
        <v>434</v>
      </c>
      <c r="N286" s="513">
        <f t="shared" si="18"/>
        <v>7.4136079398613663E-2</v>
      </c>
    </row>
    <row r="287" spans="2:14" x14ac:dyDescent="0.35">
      <c r="B287" s="379" t="s">
        <v>3</v>
      </c>
      <c r="C287" s="379" t="str">
        <f t="shared" si="20"/>
        <v>Small business Flat rate</v>
      </c>
      <c r="D287" s="379" t="s">
        <v>13</v>
      </c>
      <c r="E287" s="379" t="s">
        <v>19</v>
      </c>
      <c r="F287" s="379" t="s">
        <v>19</v>
      </c>
      <c r="G287" s="379" t="s">
        <v>57</v>
      </c>
      <c r="H287" s="379" t="s">
        <v>46</v>
      </c>
      <c r="I287" s="792">
        <v>749.22590509637962</v>
      </c>
      <c r="J287" s="792">
        <v>804.77057628410205</v>
      </c>
      <c r="K287" s="67" t="s">
        <v>148</v>
      </c>
      <c r="L287" s="794" t="s">
        <v>441</v>
      </c>
      <c r="M287" s="794" t="s">
        <v>434</v>
      </c>
      <c r="N287" s="513">
        <f t="shared" si="18"/>
        <v>7.4136079398612331E-2</v>
      </c>
    </row>
    <row r="288" spans="2:14" x14ac:dyDescent="0.35">
      <c r="B288" s="379" t="s">
        <v>3</v>
      </c>
      <c r="C288" s="379" t="str">
        <f t="shared" si="20"/>
        <v>Small business time of use</v>
      </c>
      <c r="D288" s="379" t="s">
        <v>13</v>
      </c>
      <c r="E288" s="379" t="s">
        <v>272</v>
      </c>
      <c r="F288" s="379" t="s">
        <v>279</v>
      </c>
      <c r="G288" s="379" t="s">
        <v>57</v>
      </c>
      <c r="H288" s="379" t="s">
        <v>46</v>
      </c>
      <c r="I288" s="805"/>
      <c r="J288" s="805">
        <v>804.77057628410205</v>
      </c>
      <c r="K288" s="67" t="s">
        <v>148</v>
      </c>
      <c r="L288" s="794" t="s">
        <v>304</v>
      </c>
      <c r="M288" s="794" t="s">
        <v>434</v>
      </c>
      <c r="N288" s="513" t="str">
        <f t="shared" si="18"/>
        <v/>
      </c>
    </row>
    <row r="289" spans="2:14" x14ac:dyDescent="0.35">
      <c r="B289" s="379" t="s">
        <v>3</v>
      </c>
      <c r="C289" s="379" t="str">
        <f t="shared" si="20"/>
        <v>Small business time of use</v>
      </c>
      <c r="D289" s="379" t="s">
        <v>13</v>
      </c>
      <c r="E289" s="379" t="s">
        <v>272</v>
      </c>
      <c r="F289" s="379" t="s">
        <v>278</v>
      </c>
      <c r="G289" s="379" t="s">
        <v>57</v>
      </c>
      <c r="H289" s="379" t="s">
        <v>46</v>
      </c>
      <c r="I289" s="792"/>
      <c r="J289" s="792">
        <v>804.77057628410205</v>
      </c>
      <c r="K289" s="67" t="s">
        <v>148</v>
      </c>
      <c r="L289" s="794" t="s">
        <v>304</v>
      </c>
      <c r="M289" s="794" t="s">
        <v>434</v>
      </c>
      <c r="N289" s="513" t="str">
        <f t="shared" si="18"/>
        <v/>
      </c>
    </row>
    <row r="290" spans="2:14" x14ac:dyDescent="0.35">
      <c r="B290" s="379" t="s">
        <v>3</v>
      </c>
      <c r="C290" s="379" t="str">
        <f t="shared" si="20"/>
        <v>Small business time of use</v>
      </c>
      <c r="D290" s="379" t="s">
        <v>13</v>
      </c>
      <c r="E290" s="379" t="s">
        <v>272</v>
      </c>
      <c r="F290" s="379" t="s">
        <v>283</v>
      </c>
      <c r="G290" s="379" t="s">
        <v>57</v>
      </c>
      <c r="H290" s="379" t="s">
        <v>46</v>
      </c>
      <c r="I290" s="805"/>
      <c r="J290" s="805">
        <v>0</v>
      </c>
      <c r="K290" s="67" t="s">
        <v>148</v>
      </c>
      <c r="L290" s="794" t="s">
        <v>304</v>
      </c>
      <c r="M290" s="794" t="s">
        <v>434</v>
      </c>
      <c r="N290" s="513" t="str">
        <f t="shared" si="18"/>
        <v/>
      </c>
    </row>
    <row r="291" spans="2:14" x14ac:dyDescent="0.35">
      <c r="B291" s="379" t="s">
        <v>3</v>
      </c>
      <c r="C291" s="379" t="str">
        <f t="shared" si="20"/>
        <v>Residential Flat rate</v>
      </c>
      <c r="D291" s="379" t="s">
        <v>6</v>
      </c>
      <c r="E291" s="379" t="s">
        <v>19</v>
      </c>
      <c r="F291" s="379" t="s">
        <v>19</v>
      </c>
      <c r="G291" s="379" t="s">
        <v>57</v>
      </c>
      <c r="H291" s="379" t="s">
        <v>47</v>
      </c>
      <c r="I291" s="792">
        <v>137.527253661571</v>
      </c>
      <c r="J291" s="792">
        <f>14.5489474906196*10</f>
        <v>145.48947490619599</v>
      </c>
      <c r="K291" s="67" t="s">
        <v>44</v>
      </c>
      <c r="L291" s="794" t="s">
        <v>441</v>
      </c>
      <c r="M291" s="794" t="s">
        <v>434</v>
      </c>
      <c r="N291" s="513">
        <f t="shared" si="18"/>
        <v>5.7895588202601322E-2</v>
      </c>
    </row>
    <row r="292" spans="2:14" x14ac:dyDescent="0.35">
      <c r="B292" s="379" t="s">
        <v>3</v>
      </c>
      <c r="C292" s="379" t="str">
        <f t="shared" si="20"/>
        <v>Residential time of use</v>
      </c>
      <c r="D292" s="379" t="s">
        <v>6</v>
      </c>
      <c r="E292" s="379" t="s">
        <v>272</v>
      </c>
      <c r="F292" s="379" t="s">
        <v>279</v>
      </c>
      <c r="G292" s="379" t="s">
        <v>57</v>
      </c>
      <c r="H292" s="379" t="s">
        <v>47</v>
      </c>
      <c r="I292" s="805"/>
      <c r="J292" s="805">
        <f>6.32751684052968*10</f>
        <v>63.275168405296796</v>
      </c>
      <c r="K292" s="67" t="s">
        <v>44</v>
      </c>
      <c r="L292" s="794" t="s">
        <v>304</v>
      </c>
      <c r="M292" s="794" t="s">
        <v>434</v>
      </c>
      <c r="N292" s="513" t="str">
        <f t="shared" si="18"/>
        <v/>
      </c>
    </row>
    <row r="293" spans="2:14" x14ac:dyDescent="0.35">
      <c r="B293" s="379" t="s">
        <v>3</v>
      </c>
      <c r="C293" s="379" t="str">
        <f t="shared" si="20"/>
        <v>Residential time of use</v>
      </c>
      <c r="D293" s="379" t="s">
        <v>6</v>
      </c>
      <c r="E293" s="379" t="s">
        <v>272</v>
      </c>
      <c r="F293" s="379" t="s">
        <v>278</v>
      </c>
      <c r="G293" s="379" t="s">
        <v>57</v>
      </c>
      <c r="H293" s="379" t="s">
        <v>47</v>
      </c>
      <c r="I293" s="792"/>
      <c r="J293" s="792">
        <f>17.9566269919317*10</f>
        <v>179.56626991931699</v>
      </c>
      <c r="K293" s="67" t="s">
        <v>44</v>
      </c>
      <c r="L293" s="794" t="s">
        <v>304</v>
      </c>
      <c r="M293" s="794" t="s">
        <v>434</v>
      </c>
      <c r="N293" s="513" t="str">
        <f t="shared" si="18"/>
        <v/>
      </c>
    </row>
    <row r="294" spans="2:14" x14ac:dyDescent="0.35">
      <c r="B294" s="379" t="s">
        <v>3</v>
      </c>
      <c r="C294" s="379" t="str">
        <f t="shared" si="20"/>
        <v>Residential time of use</v>
      </c>
      <c r="D294" s="379" t="s">
        <v>6</v>
      </c>
      <c r="E294" s="379" t="s">
        <v>272</v>
      </c>
      <c r="F294" s="379" t="s">
        <v>283</v>
      </c>
      <c r="G294" s="379" t="s">
        <v>57</v>
      </c>
      <c r="H294" s="379" t="s">
        <v>47</v>
      </c>
      <c r="I294" s="805"/>
      <c r="J294" s="805">
        <v>0</v>
      </c>
      <c r="K294" s="67" t="s">
        <v>44</v>
      </c>
      <c r="L294" s="794" t="s">
        <v>304</v>
      </c>
      <c r="M294" s="794" t="s">
        <v>434</v>
      </c>
      <c r="N294" s="513" t="str">
        <f t="shared" si="18"/>
        <v/>
      </c>
    </row>
    <row r="295" spans="2:14" x14ac:dyDescent="0.35">
      <c r="B295" s="379" t="s">
        <v>3</v>
      </c>
      <c r="C295" s="379" t="str">
        <f t="shared" si="20"/>
        <v>All</v>
      </c>
      <c r="D295" s="379"/>
      <c r="E295" s="379" t="s">
        <v>285</v>
      </c>
      <c r="F295" s="379" t="s">
        <v>14</v>
      </c>
      <c r="G295" s="379" t="s">
        <v>57</v>
      </c>
      <c r="H295" s="379" t="s">
        <v>47</v>
      </c>
      <c r="I295" s="792">
        <v>30.6707343973988</v>
      </c>
      <c r="J295" s="792">
        <f>3.50458617842459*10</f>
        <v>35.045861784245901</v>
      </c>
      <c r="K295" s="67" t="s">
        <v>44</v>
      </c>
      <c r="L295" s="794" t="s">
        <v>441</v>
      </c>
      <c r="M295" s="794" t="s">
        <v>434</v>
      </c>
      <c r="N295" s="513">
        <f t="shared" si="18"/>
        <v>0.14264827604578523</v>
      </c>
    </row>
    <row r="296" spans="2:14" x14ac:dyDescent="0.35">
      <c r="B296" s="379" t="s">
        <v>3</v>
      </c>
      <c r="C296" s="379" t="str">
        <f t="shared" si="20"/>
        <v>All</v>
      </c>
      <c r="D296" s="379"/>
      <c r="E296" s="379" t="s">
        <v>285</v>
      </c>
      <c r="F296" s="379" t="s">
        <v>15</v>
      </c>
      <c r="G296" s="379" t="s">
        <v>57</v>
      </c>
      <c r="H296" s="379" t="s">
        <v>47</v>
      </c>
      <c r="I296" s="805">
        <v>63.826537234862798</v>
      </c>
      <c r="J296" s="805">
        <f>7.00074707242805*10</f>
        <v>70.007470724280495</v>
      </c>
      <c r="K296" s="67" t="s">
        <v>44</v>
      </c>
      <c r="L296" s="794" t="s">
        <v>441</v>
      </c>
      <c r="M296" s="794" t="s">
        <v>434</v>
      </c>
      <c r="N296" s="513">
        <f t="shared" si="18"/>
        <v>9.6839555413662737E-2</v>
      </c>
    </row>
    <row r="297" spans="2:14" x14ac:dyDescent="0.35">
      <c r="B297" s="379" t="s">
        <v>3</v>
      </c>
      <c r="C297" s="379" t="str">
        <f t="shared" si="20"/>
        <v>Small business Flat rate</v>
      </c>
      <c r="D297" s="379" t="s">
        <v>13</v>
      </c>
      <c r="E297" s="379" t="s">
        <v>19</v>
      </c>
      <c r="F297" s="379" t="s">
        <v>19</v>
      </c>
      <c r="G297" s="379" t="s">
        <v>57</v>
      </c>
      <c r="H297" s="379" t="s">
        <v>47</v>
      </c>
      <c r="I297" s="792">
        <v>187.87786146018402</v>
      </c>
      <c r="J297" s="792">
        <f>19.6765003439893*10</f>
        <v>196.76500343989301</v>
      </c>
      <c r="K297" s="67" t="s">
        <v>44</v>
      </c>
      <c r="L297" s="794" t="s">
        <v>441</v>
      </c>
      <c r="M297" s="794" t="s">
        <v>434</v>
      </c>
      <c r="N297" s="513">
        <f t="shared" si="18"/>
        <v>4.7302763138978854E-2</v>
      </c>
    </row>
    <row r="298" spans="2:14" x14ac:dyDescent="0.35">
      <c r="B298" s="379" t="s">
        <v>3</v>
      </c>
      <c r="C298" s="379" t="str">
        <f t="shared" si="20"/>
        <v>Small business time of use</v>
      </c>
      <c r="D298" s="379" t="s">
        <v>13</v>
      </c>
      <c r="E298" s="379" t="s">
        <v>272</v>
      </c>
      <c r="F298" s="379" t="s">
        <v>279</v>
      </c>
      <c r="G298" s="379" t="s">
        <v>57</v>
      </c>
      <c r="H298" s="379" t="s">
        <v>47</v>
      </c>
      <c r="I298" s="805"/>
      <c r="J298" s="805">
        <f>8.5988100611331*10</f>
        <v>85.988100611331006</v>
      </c>
      <c r="K298" s="67" t="s">
        <v>44</v>
      </c>
      <c r="L298" s="794" t="s">
        <v>304</v>
      </c>
      <c r="M298" s="794" t="s">
        <v>434</v>
      </c>
      <c r="N298" s="513" t="str">
        <f t="shared" si="18"/>
        <v/>
      </c>
    </row>
    <row r="299" spans="2:14" x14ac:dyDescent="0.35">
      <c r="B299" s="379" t="s">
        <v>3</v>
      </c>
      <c r="C299" s="379" t="str">
        <f t="shared" si="20"/>
        <v>Small business time of use</v>
      </c>
      <c r="D299" s="379" t="s">
        <v>13</v>
      </c>
      <c r="E299" s="379" t="s">
        <v>272</v>
      </c>
      <c r="F299" s="379" t="s">
        <v>278</v>
      </c>
      <c r="G299" s="379" t="s">
        <v>57</v>
      </c>
      <c r="H299" s="379" t="s">
        <v>47</v>
      </c>
      <c r="I299" s="792"/>
      <c r="J299" s="792">
        <f>18.9741306277067*10</f>
        <v>189.741306277067</v>
      </c>
      <c r="K299" s="67" t="s">
        <v>44</v>
      </c>
      <c r="L299" s="794" t="s">
        <v>304</v>
      </c>
      <c r="M299" s="794" t="s">
        <v>434</v>
      </c>
      <c r="N299" s="513" t="str">
        <f t="shared" si="18"/>
        <v/>
      </c>
    </row>
    <row r="300" spans="2:14" x14ac:dyDescent="0.35">
      <c r="B300" s="379" t="s">
        <v>3</v>
      </c>
      <c r="C300" s="379" t="str">
        <f t="shared" si="20"/>
        <v>Small business time of use</v>
      </c>
      <c r="D300" s="379" t="s">
        <v>13</v>
      </c>
      <c r="E300" s="379" t="s">
        <v>272</v>
      </c>
      <c r="F300" s="379" t="s">
        <v>283</v>
      </c>
      <c r="G300" s="379" t="s">
        <v>57</v>
      </c>
      <c r="H300" s="379" t="s">
        <v>47</v>
      </c>
      <c r="I300" s="805"/>
      <c r="J300" s="805">
        <v>0</v>
      </c>
      <c r="K300" s="67" t="s">
        <v>44</v>
      </c>
      <c r="L300" s="794" t="s">
        <v>304</v>
      </c>
      <c r="M300" s="794" t="s">
        <v>434</v>
      </c>
      <c r="N300" s="513" t="str">
        <f t="shared" si="18"/>
        <v/>
      </c>
    </row>
    <row r="301" spans="2:14" x14ac:dyDescent="0.35">
      <c r="B301" s="379" t="s">
        <v>3</v>
      </c>
      <c r="C301" s="379" t="str">
        <f t="shared" ref="C301:C307" si="21">IF(D301="","All",D301&amp;" "&amp;E301)</f>
        <v>Residential Flat rate</v>
      </c>
      <c r="D301" s="379" t="s">
        <v>6</v>
      </c>
      <c r="E301" s="379" t="s">
        <v>19</v>
      </c>
      <c r="F301" s="379" t="s">
        <v>19</v>
      </c>
      <c r="G301" s="379" t="s">
        <v>61</v>
      </c>
      <c r="H301" s="379" t="s">
        <v>46</v>
      </c>
      <c r="I301" s="792">
        <v>62.126803217101561</v>
      </c>
      <c r="J301" s="792">
        <v>63.338476731270902</v>
      </c>
      <c r="K301" s="67" t="s">
        <v>148</v>
      </c>
      <c r="L301" s="794" t="s">
        <v>388</v>
      </c>
      <c r="M301" s="794" t="s">
        <v>435</v>
      </c>
      <c r="N301" s="513">
        <f t="shared" si="18"/>
        <v>1.9503232927262637E-2</v>
      </c>
    </row>
    <row r="302" spans="2:14" x14ac:dyDescent="0.35">
      <c r="B302" s="379" t="s">
        <v>3</v>
      </c>
      <c r="C302" s="379" t="str">
        <f t="shared" si="21"/>
        <v>Residential time of use</v>
      </c>
      <c r="D302" s="379" t="s">
        <v>6</v>
      </c>
      <c r="E302" s="379" t="s">
        <v>272</v>
      </c>
      <c r="F302" s="379" t="s">
        <v>272</v>
      </c>
      <c r="G302" s="379" t="s">
        <v>61</v>
      </c>
      <c r="H302" s="379" t="s">
        <v>46</v>
      </c>
      <c r="I302" s="805"/>
      <c r="J302" s="805">
        <v>63.338476731270902</v>
      </c>
      <c r="K302" s="67" t="s">
        <v>148</v>
      </c>
      <c r="L302" s="794" t="s">
        <v>304</v>
      </c>
      <c r="M302" s="794" t="s">
        <v>435</v>
      </c>
      <c r="N302" s="513" t="str">
        <f t="shared" si="18"/>
        <v/>
      </c>
    </row>
    <row r="303" spans="2:14" x14ac:dyDescent="0.35">
      <c r="B303" s="379" t="s">
        <v>3</v>
      </c>
      <c r="C303" s="379" t="str">
        <f t="shared" si="21"/>
        <v>All</v>
      </c>
      <c r="D303" s="379"/>
      <c r="E303" s="379" t="s">
        <v>285</v>
      </c>
      <c r="F303" s="379" t="s">
        <v>14</v>
      </c>
      <c r="G303" s="379" t="s">
        <v>61</v>
      </c>
      <c r="H303" s="379" t="s">
        <v>46</v>
      </c>
      <c r="I303" s="792">
        <v>0</v>
      </c>
      <c r="J303" s="792">
        <v>0</v>
      </c>
      <c r="K303" s="67" t="s">
        <v>148</v>
      </c>
      <c r="L303" s="794" t="s">
        <v>388</v>
      </c>
      <c r="M303" s="794" t="s">
        <v>435</v>
      </c>
      <c r="N303" s="513" t="str">
        <f t="shared" si="18"/>
        <v/>
      </c>
    </row>
    <row r="304" spans="2:14" x14ac:dyDescent="0.35">
      <c r="B304" s="379" t="s">
        <v>3</v>
      </c>
      <c r="C304" s="379" t="str">
        <f t="shared" si="21"/>
        <v>All</v>
      </c>
      <c r="D304" s="379"/>
      <c r="E304" s="379" t="s">
        <v>285</v>
      </c>
      <c r="F304" s="379" t="s">
        <v>15</v>
      </c>
      <c r="G304" s="379" t="s">
        <v>61</v>
      </c>
      <c r="H304" s="379" t="s">
        <v>46</v>
      </c>
      <c r="I304" s="805">
        <v>0</v>
      </c>
      <c r="J304" s="805">
        <v>0</v>
      </c>
      <c r="K304" s="67" t="s">
        <v>148</v>
      </c>
      <c r="L304" s="794" t="s">
        <v>388</v>
      </c>
      <c r="M304" s="794" t="s">
        <v>435</v>
      </c>
      <c r="N304" s="513" t="str">
        <f t="shared" si="18"/>
        <v/>
      </c>
    </row>
    <row r="305" spans="2:14" x14ac:dyDescent="0.35">
      <c r="B305" s="379" t="s">
        <v>3</v>
      </c>
      <c r="C305" s="379" t="str">
        <f t="shared" si="21"/>
        <v>Small business Flat rate</v>
      </c>
      <c r="D305" s="379" t="s">
        <v>13</v>
      </c>
      <c r="E305" s="379" t="s">
        <v>19</v>
      </c>
      <c r="F305" s="379" t="s">
        <v>19</v>
      </c>
      <c r="G305" s="379" t="s">
        <v>61</v>
      </c>
      <c r="H305" s="379" t="s">
        <v>46</v>
      </c>
      <c r="I305" s="792">
        <v>62.126803217101561</v>
      </c>
      <c r="J305" s="792">
        <v>63.338476731270902</v>
      </c>
      <c r="K305" s="67" t="s">
        <v>148</v>
      </c>
      <c r="L305" s="794" t="s">
        <v>388</v>
      </c>
      <c r="M305" s="794" t="s">
        <v>435</v>
      </c>
      <c r="N305" s="513">
        <f t="shared" si="18"/>
        <v>1.9503232927262637E-2</v>
      </c>
    </row>
    <row r="306" spans="2:14" x14ac:dyDescent="0.35">
      <c r="B306" s="379" t="s">
        <v>3</v>
      </c>
      <c r="C306" s="379" t="str">
        <f t="shared" si="21"/>
        <v>Small business time of use</v>
      </c>
      <c r="D306" s="379" t="s">
        <v>13</v>
      </c>
      <c r="E306" s="379" t="s">
        <v>272</v>
      </c>
      <c r="F306" s="379" t="s">
        <v>272</v>
      </c>
      <c r="G306" s="379" t="s">
        <v>61</v>
      </c>
      <c r="H306" s="379" t="s">
        <v>46</v>
      </c>
      <c r="I306" s="805"/>
      <c r="J306" s="805">
        <v>63.338476731270902</v>
      </c>
      <c r="K306" s="67" t="s">
        <v>148</v>
      </c>
      <c r="L306" s="794" t="s">
        <v>304</v>
      </c>
      <c r="M306" s="794" t="s">
        <v>435</v>
      </c>
      <c r="N306" s="513" t="str">
        <f t="shared" si="18"/>
        <v/>
      </c>
    </row>
    <row r="307" spans="2:14" x14ac:dyDescent="0.35">
      <c r="B307" s="379" t="s">
        <v>0</v>
      </c>
      <c r="C307" s="379" t="str">
        <f t="shared" si="21"/>
        <v>Residential Flat rate</v>
      </c>
      <c r="D307" s="379" t="s">
        <v>6</v>
      </c>
      <c r="E307" s="379" t="s">
        <v>19</v>
      </c>
      <c r="F307" s="379" t="s">
        <v>19</v>
      </c>
      <c r="G307" s="379" t="s">
        <v>57</v>
      </c>
      <c r="H307" s="379" t="s">
        <v>46</v>
      </c>
      <c r="I307" s="792">
        <v>253.30999999999997</v>
      </c>
      <c r="J307" s="792">
        <f>87.1*Days/100</f>
        <v>317.91499999999996</v>
      </c>
      <c r="K307" s="67" t="s">
        <v>148</v>
      </c>
      <c r="L307" s="794" t="s">
        <v>442</v>
      </c>
      <c r="M307" s="794" t="s">
        <v>436</v>
      </c>
      <c r="N307" s="513">
        <f t="shared" si="18"/>
        <v>0.25504322766570597</v>
      </c>
    </row>
    <row r="308" spans="2:14" x14ac:dyDescent="0.35">
      <c r="B308" s="379" t="s">
        <v>0</v>
      </c>
      <c r="C308" s="379" t="str">
        <f t="shared" ref="C308:C326" si="22">IF(D308="","All",D308&amp;" "&amp;E308)</f>
        <v>Residential time of use</v>
      </c>
      <c r="D308" s="379" t="s">
        <v>6</v>
      </c>
      <c r="E308" s="379" t="s">
        <v>272</v>
      </c>
      <c r="F308" s="379" t="s">
        <v>279</v>
      </c>
      <c r="G308" s="379" t="s">
        <v>57</v>
      </c>
      <c r="H308" s="379" t="s">
        <v>46</v>
      </c>
      <c r="I308" s="805"/>
      <c r="J308" s="805">
        <f>65.1*365/100</f>
        <v>237.61499999999995</v>
      </c>
      <c r="K308" s="67" t="s">
        <v>148</v>
      </c>
      <c r="L308" s="794" t="s">
        <v>304</v>
      </c>
      <c r="M308" s="794" t="s">
        <v>436</v>
      </c>
      <c r="N308" s="513" t="str">
        <f t="shared" si="18"/>
        <v/>
      </c>
    </row>
    <row r="309" spans="2:14" x14ac:dyDescent="0.35">
      <c r="B309" s="379" t="s">
        <v>0</v>
      </c>
      <c r="C309" s="379" t="str">
        <f t="shared" si="22"/>
        <v>Residential time of use</v>
      </c>
      <c r="D309" s="379" t="s">
        <v>6</v>
      </c>
      <c r="E309" s="379" t="s">
        <v>272</v>
      </c>
      <c r="F309" s="379" t="s">
        <v>278</v>
      </c>
      <c r="G309" s="379" t="s">
        <v>57</v>
      </c>
      <c r="H309" s="379" t="s">
        <v>46</v>
      </c>
      <c r="I309" s="792"/>
      <c r="J309" s="792">
        <f>65.1*365/100</f>
        <v>237.61499999999995</v>
      </c>
      <c r="K309" s="67" t="s">
        <v>148</v>
      </c>
      <c r="L309" s="794" t="s">
        <v>304</v>
      </c>
      <c r="M309" s="794" t="s">
        <v>436</v>
      </c>
      <c r="N309" s="513" t="str">
        <f t="shared" si="18"/>
        <v/>
      </c>
    </row>
    <row r="310" spans="2:14" x14ac:dyDescent="0.35">
      <c r="B310" s="379" t="s">
        <v>0</v>
      </c>
      <c r="C310" s="379" t="str">
        <f t="shared" si="22"/>
        <v>Residential time of use</v>
      </c>
      <c r="D310" s="379" t="s">
        <v>6</v>
      </c>
      <c r="E310" s="379" t="s">
        <v>272</v>
      </c>
      <c r="F310" s="379" t="s">
        <v>283</v>
      </c>
      <c r="G310" s="379" t="s">
        <v>57</v>
      </c>
      <c r="H310" s="379" t="s">
        <v>46</v>
      </c>
      <c r="I310" s="805"/>
      <c r="J310" s="805">
        <f>65.1*365/100</f>
        <v>237.61499999999995</v>
      </c>
      <c r="K310" s="67" t="s">
        <v>148</v>
      </c>
      <c r="L310" s="794" t="s">
        <v>304</v>
      </c>
      <c r="M310" s="794" t="s">
        <v>436</v>
      </c>
      <c r="N310" s="513" t="str">
        <f t="shared" si="18"/>
        <v/>
      </c>
    </row>
    <row r="311" spans="2:14" x14ac:dyDescent="0.35">
      <c r="B311" s="379" t="s">
        <v>0</v>
      </c>
      <c r="C311" s="379" t="str">
        <f t="shared" si="22"/>
        <v>All</v>
      </c>
      <c r="D311" s="379"/>
      <c r="E311" s="379" t="s">
        <v>285</v>
      </c>
      <c r="F311" s="379" t="s">
        <v>14</v>
      </c>
      <c r="G311" s="379" t="s">
        <v>57</v>
      </c>
      <c r="H311" s="379" t="s">
        <v>46</v>
      </c>
      <c r="I311" s="792">
        <v>0</v>
      </c>
      <c r="J311" s="792">
        <v>0</v>
      </c>
      <c r="K311" s="67" t="s">
        <v>148</v>
      </c>
      <c r="L311" s="794" t="s">
        <v>442</v>
      </c>
      <c r="M311" s="794" t="s">
        <v>436</v>
      </c>
      <c r="N311" s="513" t="str">
        <f t="shared" si="18"/>
        <v/>
      </c>
    </row>
    <row r="312" spans="2:14" x14ac:dyDescent="0.35">
      <c r="B312" s="379" t="s">
        <v>0</v>
      </c>
      <c r="C312" s="379" t="str">
        <f t="shared" si="22"/>
        <v>All</v>
      </c>
      <c r="D312" s="379"/>
      <c r="E312" s="379" t="s">
        <v>285</v>
      </c>
      <c r="F312" s="379" t="s">
        <v>15</v>
      </c>
      <c r="G312" s="379" t="s">
        <v>57</v>
      </c>
      <c r="H312" s="379" t="s">
        <v>46</v>
      </c>
      <c r="I312" s="805">
        <v>0</v>
      </c>
      <c r="J312" s="805">
        <v>0</v>
      </c>
      <c r="K312" s="67" t="s">
        <v>148</v>
      </c>
      <c r="L312" s="794" t="s">
        <v>442</v>
      </c>
      <c r="M312" s="794" t="s">
        <v>436</v>
      </c>
      <c r="N312" s="513" t="str">
        <f t="shared" si="18"/>
        <v/>
      </c>
    </row>
    <row r="313" spans="2:14" x14ac:dyDescent="0.35">
      <c r="B313" s="379" t="s">
        <v>0</v>
      </c>
      <c r="C313" s="379" t="str">
        <f t="shared" si="22"/>
        <v>Small business Flat rate</v>
      </c>
      <c r="D313" s="379" t="s">
        <v>13</v>
      </c>
      <c r="E313" s="379" t="s">
        <v>19</v>
      </c>
      <c r="F313" s="379" t="s">
        <v>19</v>
      </c>
      <c r="G313" s="379" t="s">
        <v>57</v>
      </c>
      <c r="H313" s="379" t="s">
        <v>46</v>
      </c>
      <c r="I313" s="792">
        <v>339.08500000000004</v>
      </c>
      <c r="J313" s="792">
        <f>1.224*Days</f>
        <v>446.76</v>
      </c>
      <c r="K313" s="67" t="s">
        <v>148</v>
      </c>
      <c r="L313" s="794" t="s">
        <v>442</v>
      </c>
      <c r="M313" s="794" t="s">
        <v>436</v>
      </c>
      <c r="N313" s="513">
        <f t="shared" si="18"/>
        <v>0.3175457481162538</v>
      </c>
    </row>
    <row r="314" spans="2:14" x14ac:dyDescent="0.35">
      <c r="B314" s="379" t="s">
        <v>0</v>
      </c>
      <c r="C314" s="379" t="str">
        <f t="shared" si="22"/>
        <v>Small business time of use</v>
      </c>
      <c r="D314" s="379" t="s">
        <v>13</v>
      </c>
      <c r="E314" s="379" t="s">
        <v>272</v>
      </c>
      <c r="F314" s="379" t="s">
        <v>279</v>
      </c>
      <c r="G314" s="379" t="s">
        <v>57</v>
      </c>
      <c r="H314" s="379" t="s">
        <v>46</v>
      </c>
      <c r="I314" s="805"/>
      <c r="J314" s="805">
        <f>122.1*Days/100</f>
        <v>445.66500000000002</v>
      </c>
      <c r="K314" s="67" t="s">
        <v>148</v>
      </c>
      <c r="L314" s="794" t="s">
        <v>304</v>
      </c>
      <c r="M314" s="794" t="s">
        <v>436</v>
      </c>
      <c r="N314" s="513" t="str">
        <f t="shared" si="18"/>
        <v/>
      </c>
    </row>
    <row r="315" spans="2:14" x14ac:dyDescent="0.35">
      <c r="B315" s="379" t="s">
        <v>0</v>
      </c>
      <c r="C315" s="379" t="str">
        <f t="shared" si="22"/>
        <v>Small business time of use</v>
      </c>
      <c r="D315" s="379" t="s">
        <v>13</v>
      </c>
      <c r="E315" s="379" t="s">
        <v>272</v>
      </c>
      <c r="F315" s="379" t="s">
        <v>278</v>
      </c>
      <c r="G315" s="379" t="s">
        <v>57</v>
      </c>
      <c r="H315" s="379" t="s">
        <v>46</v>
      </c>
      <c r="I315" s="792"/>
      <c r="J315" s="792">
        <f>122.1*Days/100</f>
        <v>445.66500000000002</v>
      </c>
      <c r="K315" s="67" t="s">
        <v>148</v>
      </c>
      <c r="L315" s="794" t="s">
        <v>304</v>
      </c>
      <c r="M315" s="794" t="s">
        <v>436</v>
      </c>
      <c r="N315" s="513" t="str">
        <f t="shared" si="18"/>
        <v/>
      </c>
    </row>
    <row r="316" spans="2:14" x14ac:dyDescent="0.35">
      <c r="B316" s="379" t="s">
        <v>0</v>
      </c>
      <c r="C316" s="379" t="str">
        <f t="shared" si="22"/>
        <v>Small business time of use</v>
      </c>
      <c r="D316" s="379" t="s">
        <v>13</v>
      </c>
      <c r="E316" s="379" t="s">
        <v>272</v>
      </c>
      <c r="F316" s="379" t="s">
        <v>283</v>
      </c>
      <c r="G316" s="379" t="s">
        <v>57</v>
      </c>
      <c r="H316" s="379" t="s">
        <v>46</v>
      </c>
      <c r="I316" s="805"/>
      <c r="J316" s="805">
        <f>122.1*Days/100</f>
        <v>445.66500000000002</v>
      </c>
      <c r="K316" s="67" t="s">
        <v>148</v>
      </c>
      <c r="L316" s="794" t="s">
        <v>304</v>
      </c>
      <c r="M316" s="794" t="s">
        <v>436</v>
      </c>
      <c r="N316" s="513" t="str">
        <f t="shared" si="18"/>
        <v/>
      </c>
    </row>
    <row r="317" spans="2:14" x14ac:dyDescent="0.35">
      <c r="B317" s="379" t="s">
        <v>0</v>
      </c>
      <c r="C317" s="379" t="str">
        <f t="shared" si="22"/>
        <v>Residential Flat rate</v>
      </c>
      <c r="D317" s="379" t="s">
        <v>6</v>
      </c>
      <c r="E317" s="379" t="s">
        <v>19</v>
      </c>
      <c r="F317" s="379" t="s">
        <v>19</v>
      </c>
      <c r="G317" s="379" t="s">
        <v>57</v>
      </c>
      <c r="H317" s="379" t="s">
        <v>47</v>
      </c>
      <c r="I317" s="792">
        <v>89.179999999999993</v>
      </c>
      <c r="J317" s="792">
        <f>9.391*10</f>
        <v>93.91</v>
      </c>
      <c r="K317" s="67" t="s">
        <v>44</v>
      </c>
      <c r="L317" s="794" t="s">
        <v>442</v>
      </c>
      <c r="M317" s="794" t="s">
        <v>436</v>
      </c>
      <c r="N317" s="513">
        <f t="shared" si="18"/>
        <v>5.3038797936757254E-2</v>
      </c>
    </row>
    <row r="318" spans="2:14" x14ac:dyDescent="0.35">
      <c r="B318" s="379" t="s">
        <v>0</v>
      </c>
      <c r="C318" s="379" t="str">
        <f t="shared" si="22"/>
        <v>Residential time of use</v>
      </c>
      <c r="D318" s="379" t="s">
        <v>6</v>
      </c>
      <c r="E318" s="379" t="s">
        <v>272</v>
      </c>
      <c r="F318" s="379" t="s">
        <v>279</v>
      </c>
      <c r="G318" s="379" t="s">
        <v>57</v>
      </c>
      <c r="H318" s="379" t="s">
        <v>47</v>
      </c>
      <c r="I318" s="805"/>
      <c r="J318" s="805">
        <f>0.434*10</f>
        <v>4.34</v>
      </c>
      <c r="K318" s="67" t="s">
        <v>44</v>
      </c>
      <c r="L318" s="794" t="s">
        <v>304</v>
      </c>
      <c r="M318" s="794" t="s">
        <v>436</v>
      </c>
      <c r="N318" s="513" t="str">
        <f t="shared" si="18"/>
        <v/>
      </c>
    </row>
    <row r="319" spans="2:14" x14ac:dyDescent="0.35">
      <c r="B319" s="379" t="s">
        <v>0</v>
      </c>
      <c r="C319" s="379" t="str">
        <f t="shared" si="22"/>
        <v>Residential time of use</v>
      </c>
      <c r="D319" s="379" t="s">
        <v>6</v>
      </c>
      <c r="E319" s="379" t="s">
        <v>272</v>
      </c>
      <c r="F319" s="379" t="s">
        <v>278</v>
      </c>
      <c r="G319" s="379" t="s">
        <v>57</v>
      </c>
      <c r="H319" s="379" t="s">
        <v>47</v>
      </c>
      <c r="I319" s="792"/>
      <c r="J319" s="792">
        <f>19.533*10</f>
        <v>195.33</v>
      </c>
      <c r="K319" s="67" t="s">
        <v>44</v>
      </c>
      <c r="L319" s="794" t="s">
        <v>304</v>
      </c>
      <c r="M319" s="794" t="s">
        <v>436</v>
      </c>
      <c r="N319" s="513" t="str">
        <f t="shared" si="18"/>
        <v/>
      </c>
    </row>
    <row r="320" spans="2:14" x14ac:dyDescent="0.35">
      <c r="B320" s="379" t="s">
        <v>0</v>
      </c>
      <c r="C320" s="379" t="str">
        <f t="shared" si="22"/>
        <v>Residential time of use</v>
      </c>
      <c r="D320" s="379" t="s">
        <v>6</v>
      </c>
      <c r="E320" s="379" t="s">
        <v>272</v>
      </c>
      <c r="F320" s="379" t="s">
        <v>283</v>
      </c>
      <c r="G320" s="379" t="s">
        <v>57</v>
      </c>
      <c r="H320" s="379" t="s">
        <v>47</v>
      </c>
      <c r="I320" s="805"/>
      <c r="J320" s="805">
        <f>6.069*10</f>
        <v>60.69</v>
      </c>
      <c r="K320" s="67" t="s">
        <v>44</v>
      </c>
      <c r="L320" s="794" t="s">
        <v>304</v>
      </c>
      <c r="M320" s="794" t="s">
        <v>436</v>
      </c>
      <c r="N320" s="513" t="str">
        <f t="shared" si="18"/>
        <v/>
      </c>
    </row>
    <row r="321" spans="2:14" x14ac:dyDescent="0.35">
      <c r="B321" s="379" t="s">
        <v>0</v>
      </c>
      <c r="C321" s="379" t="str">
        <f t="shared" si="22"/>
        <v>All</v>
      </c>
      <c r="D321" s="379"/>
      <c r="E321" s="379" t="s">
        <v>285</v>
      </c>
      <c r="F321" s="379" t="s">
        <v>14</v>
      </c>
      <c r="G321" s="379" t="s">
        <v>57</v>
      </c>
      <c r="H321" s="379" t="s">
        <v>47</v>
      </c>
      <c r="I321" s="792">
        <v>25</v>
      </c>
      <c r="J321" s="792">
        <f>2.675*10</f>
        <v>26.75</v>
      </c>
      <c r="K321" s="67" t="s">
        <v>44</v>
      </c>
      <c r="L321" s="794" t="s">
        <v>442</v>
      </c>
      <c r="M321" s="794" t="s">
        <v>436</v>
      </c>
      <c r="N321" s="513">
        <f t="shared" si="18"/>
        <v>7.0000000000000062E-2</v>
      </c>
    </row>
    <row r="322" spans="2:14" x14ac:dyDescent="0.35">
      <c r="B322" s="379" t="s">
        <v>0</v>
      </c>
      <c r="C322" s="379" t="str">
        <f t="shared" si="22"/>
        <v>All</v>
      </c>
      <c r="D322" s="379"/>
      <c r="E322" s="379" t="s">
        <v>285</v>
      </c>
      <c r="F322" s="379" t="s">
        <v>15</v>
      </c>
      <c r="G322" s="379" t="s">
        <v>57</v>
      </c>
      <c r="H322" s="379" t="s">
        <v>47</v>
      </c>
      <c r="I322" s="805">
        <v>25</v>
      </c>
      <c r="J322" s="805">
        <f>2.675*10</f>
        <v>26.75</v>
      </c>
      <c r="K322" s="67" t="s">
        <v>44</v>
      </c>
      <c r="L322" s="794" t="s">
        <v>442</v>
      </c>
      <c r="M322" s="794" t="s">
        <v>436</v>
      </c>
      <c r="N322" s="513">
        <f t="shared" si="18"/>
        <v>7.0000000000000062E-2</v>
      </c>
    </row>
    <row r="323" spans="2:14" x14ac:dyDescent="0.35">
      <c r="B323" s="379" t="s">
        <v>0</v>
      </c>
      <c r="C323" s="379" t="str">
        <f t="shared" si="22"/>
        <v>Small business Flat rate</v>
      </c>
      <c r="D323" s="379" t="s">
        <v>13</v>
      </c>
      <c r="E323" s="379" t="s">
        <v>19</v>
      </c>
      <c r="F323" s="379" t="s">
        <v>19</v>
      </c>
      <c r="G323" s="379" t="s">
        <v>57</v>
      </c>
      <c r="H323" s="379" t="s">
        <v>47</v>
      </c>
      <c r="I323" s="792">
        <v>98.62</v>
      </c>
      <c r="J323" s="792">
        <f>10.76*10</f>
        <v>107.6</v>
      </c>
      <c r="K323" s="67" t="s">
        <v>44</v>
      </c>
      <c r="L323" s="794" t="s">
        <v>442</v>
      </c>
      <c r="M323" s="794" t="s">
        <v>436</v>
      </c>
      <c r="N323" s="513">
        <f t="shared" si="18"/>
        <v>9.1056580815250365E-2</v>
      </c>
    </row>
    <row r="324" spans="2:14" x14ac:dyDescent="0.35">
      <c r="B324" s="379" t="s">
        <v>0</v>
      </c>
      <c r="C324" s="379" t="str">
        <f t="shared" si="22"/>
        <v>Small business time of use</v>
      </c>
      <c r="D324" s="379" t="s">
        <v>13</v>
      </c>
      <c r="E324" s="379" t="s">
        <v>272</v>
      </c>
      <c r="F324" s="379" t="s">
        <v>279</v>
      </c>
      <c r="G324" s="379" t="s">
        <v>57</v>
      </c>
      <c r="H324" s="379" t="s">
        <v>47</v>
      </c>
      <c r="I324" s="805"/>
      <c r="J324" s="805">
        <f>1.627*10</f>
        <v>16.27</v>
      </c>
      <c r="K324" s="67" t="s">
        <v>44</v>
      </c>
      <c r="L324" s="794" t="s">
        <v>304</v>
      </c>
      <c r="M324" s="794" t="s">
        <v>436</v>
      </c>
      <c r="N324" s="513" t="str">
        <f t="shared" ref="N324:N387" si="23">IFERROR(IF(K324="%",J324-I324,J324/I324-1),"")</f>
        <v/>
      </c>
    </row>
    <row r="325" spans="2:14" x14ac:dyDescent="0.35">
      <c r="B325" s="379" t="s">
        <v>0</v>
      </c>
      <c r="C325" s="379" t="str">
        <f t="shared" si="22"/>
        <v>Small business time of use</v>
      </c>
      <c r="D325" s="379" t="s">
        <v>13</v>
      </c>
      <c r="E325" s="379" t="s">
        <v>272</v>
      </c>
      <c r="F325" s="379" t="s">
        <v>278</v>
      </c>
      <c r="G325" s="379" t="s">
        <v>57</v>
      </c>
      <c r="H325" s="379" t="s">
        <v>47</v>
      </c>
      <c r="I325" s="792"/>
      <c r="J325" s="792">
        <f>26.318*10</f>
        <v>263.18</v>
      </c>
      <c r="K325" s="67" t="s">
        <v>44</v>
      </c>
      <c r="L325" s="794" t="s">
        <v>304</v>
      </c>
      <c r="M325" s="794" t="s">
        <v>436</v>
      </c>
      <c r="N325" s="513" t="str">
        <f t="shared" si="23"/>
        <v/>
      </c>
    </row>
    <row r="326" spans="2:14" x14ac:dyDescent="0.35">
      <c r="B326" s="379" t="s">
        <v>0</v>
      </c>
      <c r="C326" s="379" t="str">
        <f t="shared" si="22"/>
        <v>Small business time of use</v>
      </c>
      <c r="D326" s="379" t="s">
        <v>13</v>
      </c>
      <c r="E326" s="379" t="s">
        <v>272</v>
      </c>
      <c r="F326" s="379" t="s">
        <v>283</v>
      </c>
      <c r="G326" s="379" t="s">
        <v>57</v>
      </c>
      <c r="H326" s="379" t="s">
        <v>47</v>
      </c>
      <c r="I326" s="805"/>
      <c r="J326" s="805">
        <f>7.695*10</f>
        <v>76.95</v>
      </c>
      <c r="K326" s="67" t="s">
        <v>44</v>
      </c>
      <c r="L326" s="794" t="s">
        <v>304</v>
      </c>
      <c r="M326" s="794" t="s">
        <v>436</v>
      </c>
      <c r="N326" s="513" t="str">
        <f t="shared" si="23"/>
        <v/>
      </c>
    </row>
    <row r="327" spans="2:14" x14ac:dyDescent="0.35">
      <c r="B327" s="379" t="s">
        <v>0</v>
      </c>
      <c r="C327" s="379" t="str">
        <f t="shared" ref="C327:C334" si="24">IF(D327="","All",D327&amp;" "&amp;E327)</f>
        <v>Residential Flat rate</v>
      </c>
      <c r="D327" s="379" t="s">
        <v>6</v>
      </c>
      <c r="E327" s="379" t="s">
        <v>19</v>
      </c>
      <c r="F327" s="379" t="s">
        <v>19</v>
      </c>
      <c r="G327" s="379" t="s">
        <v>61</v>
      </c>
      <c r="H327" s="379" t="s">
        <v>46</v>
      </c>
      <c r="I327" s="792">
        <v>44.143306369334965</v>
      </c>
      <c r="J327" s="792">
        <f>0.123*365</f>
        <v>44.894999999999996</v>
      </c>
      <c r="K327" s="67" t="s">
        <v>148</v>
      </c>
      <c r="L327" s="794" t="s">
        <v>387</v>
      </c>
      <c r="M327" s="794" t="s">
        <v>437</v>
      </c>
      <c r="N327" s="513">
        <f t="shared" si="23"/>
        <v>1.7028485006895799E-2</v>
      </c>
    </row>
    <row r="328" spans="2:14" x14ac:dyDescent="0.35">
      <c r="B328" s="379" t="s">
        <v>0</v>
      </c>
      <c r="C328" s="379" t="str">
        <f t="shared" si="24"/>
        <v>Residential time of use</v>
      </c>
      <c r="D328" s="379" t="s">
        <v>6</v>
      </c>
      <c r="E328" s="379" t="s">
        <v>272</v>
      </c>
      <c r="F328" s="379" t="s">
        <v>272</v>
      </c>
      <c r="G328" s="379" t="s">
        <v>61</v>
      </c>
      <c r="H328" s="379" t="s">
        <v>46</v>
      </c>
      <c r="I328" s="805"/>
      <c r="J328" s="805">
        <f>0.123*365</f>
        <v>44.894999999999996</v>
      </c>
      <c r="K328" s="67" t="s">
        <v>148</v>
      </c>
      <c r="L328" s="794" t="s">
        <v>304</v>
      </c>
      <c r="M328" s="794" t="s">
        <v>437</v>
      </c>
      <c r="N328" s="513" t="str">
        <f t="shared" si="23"/>
        <v/>
      </c>
    </row>
    <row r="329" spans="2:14" x14ac:dyDescent="0.35">
      <c r="B329" s="379" t="s">
        <v>0</v>
      </c>
      <c r="C329" s="379" t="str">
        <f t="shared" si="24"/>
        <v>All</v>
      </c>
      <c r="D329" s="379"/>
      <c r="E329" s="379" t="s">
        <v>285</v>
      </c>
      <c r="F329" s="379" t="s">
        <v>14</v>
      </c>
      <c r="G329" s="379" t="s">
        <v>61</v>
      </c>
      <c r="H329" s="379" t="s">
        <v>46</v>
      </c>
      <c r="I329" s="792">
        <v>0</v>
      </c>
      <c r="J329" s="792">
        <v>0</v>
      </c>
      <c r="K329" s="67" t="s">
        <v>148</v>
      </c>
      <c r="L329" s="794" t="s">
        <v>387</v>
      </c>
      <c r="M329" s="794" t="s">
        <v>437</v>
      </c>
      <c r="N329" s="513" t="str">
        <f t="shared" si="23"/>
        <v/>
      </c>
    </row>
    <row r="330" spans="2:14" x14ac:dyDescent="0.35">
      <c r="B330" s="379" t="s">
        <v>0</v>
      </c>
      <c r="C330" s="379" t="str">
        <f t="shared" si="24"/>
        <v>All</v>
      </c>
      <c r="D330" s="379"/>
      <c r="E330" s="379" t="s">
        <v>285</v>
      </c>
      <c r="F330" s="379" t="s">
        <v>15</v>
      </c>
      <c r="G330" s="379" t="s">
        <v>61</v>
      </c>
      <c r="H330" s="379" t="s">
        <v>46</v>
      </c>
      <c r="I330" s="805">
        <v>0</v>
      </c>
      <c r="J330" s="805">
        <v>0</v>
      </c>
      <c r="K330" s="67" t="s">
        <v>148</v>
      </c>
      <c r="L330" s="794" t="s">
        <v>387</v>
      </c>
      <c r="M330" s="794" t="s">
        <v>437</v>
      </c>
      <c r="N330" s="513" t="str">
        <f t="shared" si="23"/>
        <v/>
      </c>
    </row>
    <row r="331" spans="2:14" x14ac:dyDescent="0.35">
      <c r="B331" s="379" t="s">
        <v>0</v>
      </c>
      <c r="C331" s="379" t="str">
        <f t="shared" si="24"/>
        <v>Small business Flat rate</v>
      </c>
      <c r="D331" s="379" t="s">
        <v>13</v>
      </c>
      <c r="E331" s="379" t="s">
        <v>19</v>
      </c>
      <c r="F331" s="379" t="s">
        <v>19</v>
      </c>
      <c r="G331" s="379" t="s">
        <v>61</v>
      </c>
      <c r="H331" s="379" t="s">
        <v>46</v>
      </c>
      <c r="I331" s="792">
        <v>44.143306369334965</v>
      </c>
      <c r="J331" s="792">
        <f>0.123*365</f>
        <v>44.894999999999996</v>
      </c>
      <c r="K331" s="67" t="s">
        <v>148</v>
      </c>
      <c r="L331" s="794" t="s">
        <v>387</v>
      </c>
      <c r="M331" s="794" t="s">
        <v>437</v>
      </c>
      <c r="N331" s="513">
        <f t="shared" si="23"/>
        <v>1.7028485006895799E-2</v>
      </c>
    </row>
    <row r="332" spans="2:14" x14ac:dyDescent="0.35">
      <c r="B332" s="379" t="s">
        <v>0</v>
      </c>
      <c r="C332" s="379" t="str">
        <f t="shared" si="24"/>
        <v>Small business time of use</v>
      </c>
      <c r="D332" s="379" t="s">
        <v>13</v>
      </c>
      <c r="E332" s="379" t="s">
        <v>272</v>
      </c>
      <c r="F332" s="379" t="s">
        <v>272</v>
      </c>
      <c r="G332" s="379" t="s">
        <v>61</v>
      </c>
      <c r="H332" s="379" t="s">
        <v>46</v>
      </c>
      <c r="I332" s="805"/>
      <c r="J332" s="805">
        <f>0.123*365</f>
        <v>44.894999999999996</v>
      </c>
      <c r="K332" s="67" t="s">
        <v>148</v>
      </c>
      <c r="L332" s="794" t="s">
        <v>304</v>
      </c>
      <c r="M332" s="794" t="s">
        <v>437</v>
      </c>
      <c r="N332" s="513" t="str">
        <f t="shared" si="23"/>
        <v/>
      </c>
    </row>
    <row r="333" spans="2:14" x14ac:dyDescent="0.35">
      <c r="B333" s="379" t="s">
        <v>5</v>
      </c>
      <c r="C333" s="379" t="str">
        <f t="shared" si="24"/>
        <v>Residential Flat rate</v>
      </c>
      <c r="D333" s="379" t="s">
        <v>6</v>
      </c>
      <c r="E333" s="379" t="s">
        <v>19</v>
      </c>
      <c r="F333" s="379" t="s">
        <v>19</v>
      </c>
      <c r="G333" s="379" t="s">
        <v>57</v>
      </c>
      <c r="H333" s="379" t="s">
        <v>46</v>
      </c>
      <c r="I333" s="792">
        <v>225.75096815715256</v>
      </c>
      <c r="J333" s="792">
        <f>65.527023870922*Days/100</f>
        <v>239.17363712886527</v>
      </c>
      <c r="K333" s="67" t="s">
        <v>148</v>
      </c>
      <c r="L333" s="794" t="s">
        <v>443</v>
      </c>
      <c r="M333" s="794" t="s">
        <v>438</v>
      </c>
      <c r="N333" s="513">
        <f t="shared" si="23"/>
        <v>5.9457857839035899E-2</v>
      </c>
    </row>
    <row r="334" spans="2:14" x14ac:dyDescent="0.35">
      <c r="B334" s="379" t="s">
        <v>5</v>
      </c>
      <c r="C334" s="379" t="str">
        <f t="shared" si="24"/>
        <v>Residential time of use</v>
      </c>
      <c r="D334" s="379" t="s">
        <v>6</v>
      </c>
      <c r="E334" s="379" t="s">
        <v>272</v>
      </c>
      <c r="F334" s="379" t="s">
        <v>278</v>
      </c>
      <c r="G334" s="379" t="s">
        <v>57</v>
      </c>
      <c r="H334" s="379" t="s">
        <v>46</v>
      </c>
      <c r="I334" s="805"/>
      <c r="J334" s="805">
        <f>65.527023870922*Days/100</f>
        <v>239.17363712886527</v>
      </c>
      <c r="K334" s="67" t="s">
        <v>148</v>
      </c>
      <c r="L334" s="794" t="s">
        <v>304</v>
      </c>
      <c r="M334" s="794" t="s">
        <v>438</v>
      </c>
      <c r="N334" s="513" t="str">
        <f t="shared" si="23"/>
        <v/>
      </c>
    </row>
    <row r="335" spans="2:14" x14ac:dyDescent="0.35">
      <c r="B335" s="379" t="s">
        <v>5</v>
      </c>
      <c r="C335" s="379" t="str">
        <f t="shared" ref="C335:C350" si="25">IF(D335="","All",D335&amp;" "&amp;E335)</f>
        <v>Residential time of use</v>
      </c>
      <c r="D335" s="379" t="s">
        <v>6</v>
      </c>
      <c r="E335" s="379" t="s">
        <v>272</v>
      </c>
      <c r="F335" s="379" t="s">
        <v>279</v>
      </c>
      <c r="G335" s="379" t="s">
        <v>57</v>
      </c>
      <c r="H335" s="379" t="s">
        <v>46</v>
      </c>
      <c r="I335" s="792"/>
      <c r="J335" s="792">
        <f>65.527023870922*Days/100</f>
        <v>239.17363712886527</v>
      </c>
      <c r="K335" s="67" t="s">
        <v>148</v>
      </c>
      <c r="L335" s="794" t="s">
        <v>304</v>
      </c>
      <c r="M335" s="794" t="s">
        <v>438</v>
      </c>
      <c r="N335" s="513" t="str">
        <f t="shared" si="23"/>
        <v/>
      </c>
    </row>
    <row r="336" spans="2:14" x14ac:dyDescent="0.35">
      <c r="B336" s="379" t="s">
        <v>5</v>
      </c>
      <c r="C336" s="379" t="str">
        <f t="shared" si="25"/>
        <v>Residential time of use</v>
      </c>
      <c r="D336" s="379" t="s">
        <v>6</v>
      </c>
      <c r="E336" s="379" t="s">
        <v>272</v>
      </c>
      <c r="F336" s="379" t="s">
        <v>284</v>
      </c>
      <c r="G336" s="379" t="s">
        <v>57</v>
      </c>
      <c r="H336" s="379" t="s">
        <v>46</v>
      </c>
      <c r="I336" s="805"/>
      <c r="J336" s="805">
        <f>65.527023870922*Days/100</f>
        <v>239.17363712886527</v>
      </c>
      <c r="K336" s="67" t="s">
        <v>148</v>
      </c>
      <c r="L336" s="794" t="s">
        <v>304</v>
      </c>
      <c r="M336" s="794" t="s">
        <v>438</v>
      </c>
      <c r="N336" s="513" t="str">
        <f t="shared" si="23"/>
        <v/>
      </c>
    </row>
    <row r="337" spans="2:14" x14ac:dyDescent="0.35">
      <c r="B337" s="379" t="s">
        <v>5</v>
      </c>
      <c r="C337" s="379" t="str">
        <f t="shared" si="25"/>
        <v>All</v>
      </c>
      <c r="D337" s="379"/>
      <c r="E337" s="379" t="s">
        <v>285</v>
      </c>
      <c r="F337" s="379" t="s">
        <v>14</v>
      </c>
      <c r="G337" s="379" t="s">
        <v>57</v>
      </c>
      <c r="H337" s="379" t="s">
        <v>46</v>
      </c>
      <c r="I337" s="792">
        <v>0</v>
      </c>
      <c r="J337" s="792">
        <v>0</v>
      </c>
      <c r="K337" s="67" t="s">
        <v>148</v>
      </c>
      <c r="L337" s="794" t="s">
        <v>443</v>
      </c>
      <c r="M337" s="794" t="s">
        <v>438</v>
      </c>
      <c r="N337" s="513" t="str">
        <f t="shared" si="23"/>
        <v/>
      </c>
    </row>
    <row r="338" spans="2:14" x14ac:dyDescent="0.35">
      <c r="B338" s="379" t="s">
        <v>5</v>
      </c>
      <c r="C338" s="379" t="str">
        <f t="shared" si="25"/>
        <v>Small business Flat rate</v>
      </c>
      <c r="D338" s="379" t="s">
        <v>13</v>
      </c>
      <c r="E338" s="379" t="s">
        <v>19</v>
      </c>
      <c r="F338" s="379" t="s">
        <v>19</v>
      </c>
      <c r="G338" s="379" t="s">
        <v>57</v>
      </c>
      <c r="H338" s="379" t="s">
        <v>46</v>
      </c>
      <c r="I338" s="805">
        <v>232.22824947221005</v>
      </c>
      <c r="J338" s="805">
        <f>66.4535147149754*Days/100</f>
        <v>242.55532870966022</v>
      </c>
      <c r="K338" s="67" t="s">
        <v>148</v>
      </c>
      <c r="L338" s="794" t="s">
        <v>443</v>
      </c>
      <c r="M338" s="794" t="s">
        <v>438</v>
      </c>
      <c r="N338" s="513">
        <f t="shared" si="23"/>
        <v>4.4469521950584179E-2</v>
      </c>
    </row>
    <row r="339" spans="2:14" x14ac:dyDescent="0.35">
      <c r="B339" s="379" t="s">
        <v>5</v>
      </c>
      <c r="C339" s="379" t="str">
        <f t="shared" si="25"/>
        <v>Small business time of use</v>
      </c>
      <c r="D339" s="379" t="s">
        <v>13</v>
      </c>
      <c r="E339" s="379" t="s">
        <v>272</v>
      </c>
      <c r="F339" s="379" t="s">
        <v>278</v>
      </c>
      <c r="G339" s="379" t="s">
        <v>57</v>
      </c>
      <c r="H339" s="379" t="s">
        <v>46</v>
      </c>
      <c r="I339" s="792"/>
      <c r="J339" s="792">
        <f>66.4535147149754*Days/100</f>
        <v>242.55532870966022</v>
      </c>
      <c r="K339" s="67" t="s">
        <v>148</v>
      </c>
      <c r="L339" s="794" t="s">
        <v>304</v>
      </c>
      <c r="M339" s="794" t="s">
        <v>438</v>
      </c>
      <c r="N339" s="513" t="str">
        <f t="shared" si="23"/>
        <v/>
      </c>
    </row>
    <row r="340" spans="2:14" x14ac:dyDescent="0.35">
      <c r="B340" s="379" t="s">
        <v>5</v>
      </c>
      <c r="C340" s="379" t="str">
        <f t="shared" si="25"/>
        <v>Small business time of use</v>
      </c>
      <c r="D340" s="379" t="s">
        <v>13</v>
      </c>
      <c r="E340" s="379" t="s">
        <v>272</v>
      </c>
      <c r="F340" s="379" t="s">
        <v>279</v>
      </c>
      <c r="G340" s="379" t="s">
        <v>57</v>
      </c>
      <c r="H340" s="379" t="s">
        <v>46</v>
      </c>
      <c r="I340" s="805"/>
      <c r="J340" s="805">
        <f>66.4535147149754*Days/100</f>
        <v>242.55532870966022</v>
      </c>
      <c r="K340" s="67" t="s">
        <v>148</v>
      </c>
      <c r="L340" s="794" t="s">
        <v>304</v>
      </c>
      <c r="M340" s="794" t="s">
        <v>438</v>
      </c>
      <c r="N340" s="513" t="str">
        <f t="shared" si="23"/>
        <v/>
      </c>
    </row>
    <row r="341" spans="2:14" x14ac:dyDescent="0.35">
      <c r="B341" s="379" t="s">
        <v>5</v>
      </c>
      <c r="C341" s="379" t="str">
        <f t="shared" si="25"/>
        <v>Small business time of use</v>
      </c>
      <c r="D341" s="379" t="s">
        <v>13</v>
      </c>
      <c r="E341" s="379" t="s">
        <v>272</v>
      </c>
      <c r="F341" s="379" t="s">
        <v>284</v>
      </c>
      <c r="G341" s="379" t="s">
        <v>57</v>
      </c>
      <c r="H341" s="379" t="s">
        <v>46</v>
      </c>
      <c r="I341" s="792"/>
      <c r="J341" s="792">
        <f>66.4535147149754*Days/100</f>
        <v>242.55532870966022</v>
      </c>
      <c r="K341" s="67" t="s">
        <v>148</v>
      </c>
      <c r="L341" s="794" t="s">
        <v>304</v>
      </c>
      <c r="M341" s="794" t="s">
        <v>438</v>
      </c>
      <c r="N341" s="513" t="str">
        <f t="shared" si="23"/>
        <v/>
      </c>
    </row>
    <row r="342" spans="2:14" x14ac:dyDescent="0.35">
      <c r="B342" s="379" t="s">
        <v>5</v>
      </c>
      <c r="C342" s="379" t="str">
        <f t="shared" si="25"/>
        <v xml:space="preserve">Residential </v>
      </c>
      <c r="D342" s="379" t="s">
        <v>6</v>
      </c>
      <c r="E342" s="379"/>
      <c r="F342" s="379" t="s">
        <v>19</v>
      </c>
      <c r="G342" s="379" t="s">
        <v>57</v>
      </c>
      <c r="H342" s="379" t="s">
        <v>47</v>
      </c>
      <c r="I342" s="805">
        <v>145.1</v>
      </c>
      <c r="J342" s="805">
        <f>0.1634*1000</f>
        <v>163.39999999999998</v>
      </c>
      <c r="K342" s="67" t="s">
        <v>44</v>
      </c>
      <c r="L342" s="794" t="s">
        <v>443</v>
      </c>
      <c r="M342" s="794" t="s">
        <v>438</v>
      </c>
      <c r="N342" s="513">
        <f t="shared" si="23"/>
        <v>0.12611991729841487</v>
      </c>
    </row>
    <row r="343" spans="2:14" x14ac:dyDescent="0.35">
      <c r="B343" s="379" t="s">
        <v>5</v>
      </c>
      <c r="C343" s="379" t="str">
        <f t="shared" si="25"/>
        <v>Residential time of use</v>
      </c>
      <c r="D343" s="379" t="s">
        <v>6</v>
      </c>
      <c r="E343" s="379" t="s">
        <v>272</v>
      </c>
      <c r="F343" s="379" t="s">
        <v>278</v>
      </c>
      <c r="G343" s="379" t="s">
        <v>57</v>
      </c>
      <c r="H343" s="379" t="s">
        <v>47</v>
      </c>
      <c r="I343" s="792"/>
      <c r="J343" s="792">
        <f>21.33*10</f>
        <v>213.29999999999998</v>
      </c>
      <c r="K343" s="67" t="s">
        <v>44</v>
      </c>
      <c r="L343" s="794" t="s">
        <v>304</v>
      </c>
      <c r="M343" s="794" t="s">
        <v>438</v>
      </c>
      <c r="N343" s="513" t="str">
        <f t="shared" si="23"/>
        <v/>
      </c>
    </row>
    <row r="344" spans="2:14" x14ac:dyDescent="0.35">
      <c r="B344" s="379" t="s">
        <v>5</v>
      </c>
      <c r="C344" s="379" t="str">
        <f t="shared" si="25"/>
        <v>Residential time of use</v>
      </c>
      <c r="D344" s="379" t="s">
        <v>6</v>
      </c>
      <c r="E344" s="379" t="s">
        <v>272</v>
      </c>
      <c r="F344" s="379" t="s">
        <v>279</v>
      </c>
      <c r="G344" s="379" t="s">
        <v>57</v>
      </c>
      <c r="H344" s="379" t="s">
        <v>47</v>
      </c>
      <c r="I344" s="805"/>
      <c r="J344" s="805">
        <f>10.67*10</f>
        <v>106.7</v>
      </c>
      <c r="K344" s="67" t="s">
        <v>44</v>
      </c>
      <c r="L344" s="794" t="s">
        <v>304</v>
      </c>
      <c r="M344" s="794" t="s">
        <v>438</v>
      </c>
      <c r="N344" s="513" t="str">
        <f t="shared" si="23"/>
        <v/>
      </c>
    </row>
    <row r="345" spans="2:14" x14ac:dyDescent="0.35">
      <c r="B345" s="379" t="s">
        <v>5</v>
      </c>
      <c r="C345" s="379" t="str">
        <f t="shared" si="25"/>
        <v>Residential time of use</v>
      </c>
      <c r="D345" s="379" t="s">
        <v>6</v>
      </c>
      <c r="E345" s="379" t="s">
        <v>272</v>
      </c>
      <c r="F345" s="379" t="s">
        <v>284</v>
      </c>
      <c r="G345" s="379" t="s">
        <v>57</v>
      </c>
      <c r="H345" s="379" t="s">
        <v>47</v>
      </c>
      <c r="I345" s="792"/>
      <c r="J345" s="792">
        <f>5.35*10</f>
        <v>53.5</v>
      </c>
      <c r="K345" s="67" t="s">
        <v>44</v>
      </c>
      <c r="L345" s="794" t="s">
        <v>304</v>
      </c>
      <c r="M345" s="794" t="s">
        <v>438</v>
      </c>
      <c r="N345" s="513" t="str">
        <f t="shared" si="23"/>
        <v/>
      </c>
    </row>
    <row r="346" spans="2:14" x14ac:dyDescent="0.35">
      <c r="B346" s="379" t="s">
        <v>5</v>
      </c>
      <c r="C346" s="379" t="str">
        <f t="shared" si="25"/>
        <v>All</v>
      </c>
      <c r="D346" s="379"/>
      <c r="E346" s="379" t="s">
        <v>285</v>
      </c>
      <c r="F346" s="379" t="s">
        <v>14</v>
      </c>
      <c r="G346" s="379" t="s">
        <v>57</v>
      </c>
      <c r="H346" s="379" t="s">
        <v>47</v>
      </c>
      <c r="I346" s="805">
        <v>72.599999999999994</v>
      </c>
      <c r="J346" s="805">
        <f>0.0817*1000</f>
        <v>81.699999999999989</v>
      </c>
      <c r="K346" s="67" t="s">
        <v>44</v>
      </c>
      <c r="L346" s="794" t="s">
        <v>443</v>
      </c>
      <c r="M346" s="794" t="s">
        <v>438</v>
      </c>
      <c r="N346" s="513">
        <f t="shared" si="23"/>
        <v>0.12534435261707988</v>
      </c>
    </row>
    <row r="347" spans="2:14" x14ac:dyDescent="0.35">
      <c r="B347" s="379" t="s">
        <v>5</v>
      </c>
      <c r="C347" s="379" t="str">
        <f t="shared" si="25"/>
        <v>Small business Flat rate</v>
      </c>
      <c r="D347" s="379" t="s">
        <v>13</v>
      </c>
      <c r="E347" s="379" t="s">
        <v>19</v>
      </c>
      <c r="F347" s="379" t="s">
        <v>19</v>
      </c>
      <c r="G347" s="379" t="s">
        <v>57</v>
      </c>
      <c r="H347" s="379" t="s">
        <v>47</v>
      </c>
      <c r="I347" s="792">
        <v>183.29999999999998</v>
      </c>
      <c r="J347" s="792">
        <f>19.14*10</f>
        <v>191.4</v>
      </c>
      <c r="K347" s="67" t="s">
        <v>44</v>
      </c>
      <c r="L347" s="794" t="s">
        <v>443</v>
      </c>
      <c r="M347" s="794" t="s">
        <v>438</v>
      </c>
      <c r="N347" s="513">
        <f t="shared" si="23"/>
        <v>4.4189852700491139E-2</v>
      </c>
    </row>
    <row r="348" spans="2:14" x14ac:dyDescent="0.35">
      <c r="B348" s="379" t="s">
        <v>5</v>
      </c>
      <c r="C348" s="379" t="str">
        <f t="shared" si="25"/>
        <v>Small business time of use</v>
      </c>
      <c r="D348" s="379" t="s">
        <v>13</v>
      </c>
      <c r="E348" s="379" t="s">
        <v>272</v>
      </c>
      <c r="F348" s="379" t="s">
        <v>278</v>
      </c>
      <c r="G348" s="379" t="s">
        <v>57</v>
      </c>
      <c r="H348" s="379" t="s">
        <v>47</v>
      </c>
      <c r="I348" s="805"/>
      <c r="J348" s="805">
        <f>28.72*10</f>
        <v>287.2</v>
      </c>
      <c r="K348" s="67" t="s">
        <v>44</v>
      </c>
      <c r="L348" s="794" t="s">
        <v>304</v>
      </c>
      <c r="M348" s="794" t="s">
        <v>438</v>
      </c>
      <c r="N348" s="513" t="str">
        <f t="shared" si="23"/>
        <v/>
      </c>
    </row>
    <row r="349" spans="2:14" x14ac:dyDescent="0.35">
      <c r="B349" s="379" t="s">
        <v>5</v>
      </c>
      <c r="C349" s="379" t="str">
        <f t="shared" si="25"/>
        <v>Small business time of use</v>
      </c>
      <c r="D349" s="379" t="s">
        <v>13</v>
      </c>
      <c r="E349" s="379" t="s">
        <v>272</v>
      </c>
      <c r="F349" s="379" t="s">
        <v>279</v>
      </c>
      <c r="G349" s="379" t="s">
        <v>57</v>
      </c>
      <c r="H349" s="379" t="s">
        <v>47</v>
      </c>
      <c r="I349" s="792"/>
      <c r="J349" s="792">
        <f>10.79*10</f>
        <v>107.89999999999999</v>
      </c>
      <c r="K349" s="67" t="s">
        <v>44</v>
      </c>
      <c r="L349" s="794" t="s">
        <v>304</v>
      </c>
      <c r="M349" s="794" t="s">
        <v>438</v>
      </c>
      <c r="N349" s="513" t="str">
        <f t="shared" si="23"/>
        <v/>
      </c>
    </row>
    <row r="350" spans="2:14" x14ac:dyDescent="0.35">
      <c r="B350" s="379" t="s">
        <v>5</v>
      </c>
      <c r="C350" s="379" t="str">
        <f t="shared" si="25"/>
        <v>Small business time of use</v>
      </c>
      <c r="D350" s="379" t="s">
        <v>13</v>
      </c>
      <c r="E350" s="379" t="s">
        <v>272</v>
      </c>
      <c r="F350" s="379" t="s">
        <v>284</v>
      </c>
      <c r="G350" s="379" t="s">
        <v>57</v>
      </c>
      <c r="H350" s="379" t="s">
        <v>47</v>
      </c>
      <c r="I350" s="805"/>
      <c r="J350" s="805">
        <f>19.98*10</f>
        <v>199.8</v>
      </c>
      <c r="K350" s="67" t="s">
        <v>44</v>
      </c>
      <c r="L350" s="794" t="s">
        <v>304</v>
      </c>
      <c r="M350" s="794" t="s">
        <v>438</v>
      </c>
      <c r="N350" s="513" t="str">
        <f t="shared" si="23"/>
        <v/>
      </c>
    </row>
    <row r="351" spans="2:14" x14ac:dyDescent="0.35">
      <c r="B351" s="379" t="s">
        <v>5</v>
      </c>
      <c r="C351" s="379" t="str">
        <f t="shared" ref="C351:C357" si="26">IF(D351="","All",D351&amp;" "&amp;E351)</f>
        <v>Residential Flat rate</v>
      </c>
      <c r="D351" s="379" t="s">
        <v>6</v>
      </c>
      <c r="E351" s="379" t="s">
        <v>19</v>
      </c>
      <c r="F351" s="379" t="s">
        <v>19</v>
      </c>
      <c r="G351" s="379" t="s">
        <v>61</v>
      </c>
      <c r="H351" s="379" t="s">
        <v>46</v>
      </c>
      <c r="I351" s="792">
        <v>9.2957536593661754</v>
      </c>
      <c r="J351" s="792">
        <v>9.5558999999999994</v>
      </c>
      <c r="K351" s="67" t="s">
        <v>148</v>
      </c>
      <c r="L351" s="794" t="s">
        <v>389</v>
      </c>
      <c r="M351" s="794" t="s">
        <v>439</v>
      </c>
      <c r="N351" s="513">
        <f t="shared" si="23"/>
        <v>2.7985502861481937E-2</v>
      </c>
    </row>
    <row r="352" spans="2:14" x14ac:dyDescent="0.35">
      <c r="B352" s="379" t="s">
        <v>5</v>
      </c>
      <c r="C352" s="379" t="str">
        <f t="shared" si="26"/>
        <v>Residential time of use</v>
      </c>
      <c r="D352" s="379" t="s">
        <v>6</v>
      </c>
      <c r="E352" s="379" t="s">
        <v>272</v>
      </c>
      <c r="F352" s="379" t="s">
        <v>272</v>
      </c>
      <c r="G352" s="379" t="s">
        <v>61</v>
      </c>
      <c r="H352" s="379" t="s">
        <v>46</v>
      </c>
      <c r="I352" s="805"/>
      <c r="J352" s="805">
        <v>9.5558999999999994</v>
      </c>
      <c r="K352" s="67" t="s">
        <v>148</v>
      </c>
      <c r="L352" s="794" t="s">
        <v>304</v>
      </c>
      <c r="M352" s="794" t="s">
        <v>439</v>
      </c>
      <c r="N352" s="513" t="str">
        <f t="shared" si="23"/>
        <v/>
      </c>
    </row>
    <row r="353" spans="2:24" x14ac:dyDescent="0.35">
      <c r="B353" s="379" t="s">
        <v>5</v>
      </c>
      <c r="C353" s="379" t="str">
        <f t="shared" si="26"/>
        <v>All</v>
      </c>
      <c r="D353" s="379"/>
      <c r="E353" s="379" t="s">
        <v>285</v>
      </c>
      <c r="F353" s="379" t="s">
        <v>14</v>
      </c>
      <c r="G353" s="379" t="s">
        <v>61</v>
      </c>
      <c r="H353" s="379" t="s">
        <v>46</v>
      </c>
      <c r="I353" s="792">
        <v>0</v>
      </c>
      <c r="J353" s="792">
        <v>0</v>
      </c>
      <c r="K353" s="67" t="s">
        <v>148</v>
      </c>
      <c r="L353" s="794" t="s">
        <v>389</v>
      </c>
      <c r="M353" s="794" t="s">
        <v>439</v>
      </c>
      <c r="N353" s="513" t="str">
        <f t="shared" si="23"/>
        <v/>
      </c>
    </row>
    <row r="354" spans="2:24" x14ac:dyDescent="0.35">
      <c r="B354" s="379" t="s">
        <v>5</v>
      </c>
      <c r="C354" s="379" t="str">
        <f t="shared" si="26"/>
        <v>Small business Flat rate</v>
      </c>
      <c r="D354" s="379" t="s">
        <v>13</v>
      </c>
      <c r="E354" s="379" t="s">
        <v>19</v>
      </c>
      <c r="F354" s="379" t="s">
        <v>19</v>
      </c>
      <c r="G354" s="379" t="s">
        <v>61</v>
      </c>
      <c r="H354" s="379" t="s">
        <v>46</v>
      </c>
      <c r="I354" s="805">
        <v>9.2957536593661754</v>
      </c>
      <c r="J354" s="805">
        <v>9.5558999999999994</v>
      </c>
      <c r="K354" s="67" t="s">
        <v>148</v>
      </c>
      <c r="L354" s="794" t="s">
        <v>389</v>
      </c>
      <c r="M354" s="794" t="s">
        <v>439</v>
      </c>
      <c r="N354" s="513">
        <f t="shared" si="23"/>
        <v>2.7985502861481937E-2</v>
      </c>
    </row>
    <row r="355" spans="2:24" x14ac:dyDescent="0.35">
      <c r="B355" s="379" t="s">
        <v>5</v>
      </c>
      <c r="C355" s="379" t="str">
        <f t="shared" si="26"/>
        <v>Small business time of use</v>
      </c>
      <c r="D355" s="379" t="s">
        <v>13</v>
      </c>
      <c r="E355" s="379" t="s">
        <v>272</v>
      </c>
      <c r="F355" s="379" t="s">
        <v>272</v>
      </c>
      <c r="G355" s="379" t="s">
        <v>61</v>
      </c>
      <c r="H355" s="379" t="s">
        <v>46</v>
      </c>
      <c r="I355" s="792"/>
      <c r="J355" s="792">
        <v>9.5558999999999994</v>
      </c>
      <c r="K355" s="67" t="s">
        <v>148</v>
      </c>
      <c r="L355" s="794" t="s">
        <v>304</v>
      </c>
      <c r="M355" s="794" t="s">
        <v>439</v>
      </c>
      <c r="N355" s="513" t="str">
        <f t="shared" si="23"/>
        <v/>
      </c>
    </row>
    <row r="356" spans="2:24" x14ac:dyDescent="0.35">
      <c r="B356" s="379" t="s">
        <v>2</v>
      </c>
      <c r="C356" s="379" t="str">
        <f t="shared" si="26"/>
        <v>Residential time of use</v>
      </c>
      <c r="D356" s="379" t="s">
        <v>6</v>
      </c>
      <c r="E356" s="379" t="s">
        <v>272</v>
      </c>
      <c r="F356" s="379" t="s">
        <v>279</v>
      </c>
      <c r="G356" s="379" t="s">
        <v>69</v>
      </c>
      <c r="H356" s="379" t="s">
        <v>47</v>
      </c>
      <c r="I356" s="806"/>
      <c r="J356" s="807">
        <v>129.31337105625872</v>
      </c>
      <c r="K356" s="793" t="s">
        <v>44</v>
      </c>
      <c r="L356" s="794" t="s">
        <v>304</v>
      </c>
      <c r="M356" s="798" t="s">
        <v>450</v>
      </c>
      <c r="N356" s="513" t="str">
        <f t="shared" si="23"/>
        <v/>
      </c>
    </row>
    <row r="357" spans="2:24" x14ac:dyDescent="0.35">
      <c r="B357" s="379" t="s">
        <v>2</v>
      </c>
      <c r="C357" s="379" t="str">
        <f t="shared" si="26"/>
        <v>Residential time of use</v>
      </c>
      <c r="D357" s="379" t="s">
        <v>6</v>
      </c>
      <c r="E357" s="379" t="s">
        <v>272</v>
      </c>
      <c r="F357" s="379" t="s">
        <v>278</v>
      </c>
      <c r="G357" s="379" t="s">
        <v>69</v>
      </c>
      <c r="H357" s="379" t="s">
        <v>47</v>
      </c>
      <c r="I357" s="806"/>
      <c r="J357" s="795">
        <v>165.06227037418986</v>
      </c>
      <c r="K357" s="793" t="s">
        <v>44</v>
      </c>
      <c r="L357" s="794" t="s">
        <v>304</v>
      </c>
      <c r="M357" s="798" t="s">
        <v>450</v>
      </c>
      <c r="N357" s="513" t="str">
        <f t="shared" si="23"/>
        <v/>
      </c>
    </row>
    <row r="358" spans="2:24" s="66" customFormat="1" x14ac:dyDescent="0.35">
      <c r="B358" s="379" t="s">
        <v>2</v>
      </c>
      <c r="C358" s="379" t="str">
        <f t="shared" ref="C358:C405" si="27">IF(D358="","All",D358&amp;" "&amp;E358)</f>
        <v>Residential time of use</v>
      </c>
      <c r="D358" s="379" t="s">
        <v>6</v>
      </c>
      <c r="E358" s="379" t="s">
        <v>272</v>
      </c>
      <c r="F358" s="379" t="s">
        <v>279</v>
      </c>
      <c r="G358" s="379" t="s">
        <v>245</v>
      </c>
      <c r="H358" s="379" t="s">
        <v>247</v>
      </c>
      <c r="I358" s="782">
        <v>0.79401876784252312</v>
      </c>
      <c r="J358" s="796">
        <v>0.77882874453213113</v>
      </c>
      <c r="K358" s="793" t="s">
        <v>27</v>
      </c>
      <c r="L358" s="794" t="s">
        <v>304</v>
      </c>
      <c r="M358" s="794" t="s">
        <v>383</v>
      </c>
      <c r="N358" s="513">
        <f t="shared" si="23"/>
        <v>-1.5190023310391987E-2</v>
      </c>
      <c r="X358" s="30"/>
    </row>
    <row r="359" spans="2:24" s="66" customFormat="1" x14ac:dyDescent="0.35">
      <c r="B359" s="379" t="s">
        <v>2</v>
      </c>
      <c r="C359" s="379" t="str">
        <f t="shared" si="27"/>
        <v>Residential time of use</v>
      </c>
      <c r="D359" s="379" t="s">
        <v>6</v>
      </c>
      <c r="E359" s="379" t="s">
        <v>272</v>
      </c>
      <c r="F359" s="379" t="s">
        <v>278</v>
      </c>
      <c r="G359" s="379" t="s">
        <v>245</v>
      </c>
      <c r="H359" s="379" t="s">
        <v>247</v>
      </c>
      <c r="I359" s="782">
        <v>0.20585985139208116</v>
      </c>
      <c r="J359" s="796">
        <v>0.22117125546786892</v>
      </c>
      <c r="K359" s="793" t="s">
        <v>27</v>
      </c>
      <c r="L359" s="794" t="s">
        <v>304</v>
      </c>
      <c r="M359" s="794" t="s">
        <v>383</v>
      </c>
      <c r="N359" s="513">
        <f t="shared" si="23"/>
        <v>1.5311404075787766E-2</v>
      </c>
      <c r="X359" s="30"/>
    </row>
    <row r="360" spans="2:24" x14ac:dyDescent="0.35">
      <c r="B360" s="379" t="s">
        <v>4</v>
      </c>
      <c r="C360" s="379" t="str">
        <f t="shared" si="27"/>
        <v>Residential time of use</v>
      </c>
      <c r="D360" s="379" t="s">
        <v>6</v>
      </c>
      <c r="E360" s="379" t="s">
        <v>272</v>
      </c>
      <c r="F360" s="379" t="s">
        <v>280</v>
      </c>
      <c r="G360" s="379" t="s">
        <v>69</v>
      </c>
      <c r="H360" s="379" t="s">
        <v>47</v>
      </c>
      <c r="I360" s="806"/>
      <c r="J360" s="807">
        <v>138.00642699939837</v>
      </c>
      <c r="K360" s="793" t="s">
        <v>44</v>
      </c>
      <c r="L360" s="794" t="s">
        <v>304</v>
      </c>
      <c r="M360" s="798" t="s">
        <v>450</v>
      </c>
      <c r="N360" s="513" t="str">
        <f t="shared" si="23"/>
        <v/>
      </c>
    </row>
    <row r="361" spans="2:24" x14ac:dyDescent="0.35">
      <c r="B361" s="379" t="s">
        <v>4</v>
      </c>
      <c r="C361" s="379" t="str">
        <f t="shared" si="27"/>
        <v>Residential time of use</v>
      </c>
      <c r="D361" s="379" t="s">
        <v>6</v>
      </c>
      <c r="E361" s="379" t="s">
        <v>272</v>
      </c>
      <c r="F361" s="379" t="s">
        <v>281</v>
      </c>
      <c r="G361" s="379" t="s">
        <v>69</v>
      </c>
      <c r="H361" s="379" t="s">
        <v>47</v>
      </c>
      <c r="I361" s="806"/>
      <c r="J361" s="795">
        <v>220.4001470428426</v>
      </c>
      <c r="K361" s="793" t="s">
        <v>44</v>
      </c>
      <c r="L361" s="794" t="s">
        <v>304</v>
      </c>
      <c r="M361" s="798" t="s">
        <v>450</v>
      </c>
      <c r="N361" s="513" t="str">
        <f t="shared" si="23"/>
        <v/>
      </c>
    </row>
    <row r="362" spans="2:24" x14ac:dyDescent="0.35">
      <c r="B362" s="379" t="s">
        <v>4</v>
      </c>
      <c r="C362" s="379" t="str">
        <f t="shared" si="27"/>
        <v>Residential time of use</v>
      </c>
      <c r="D362" s="379" t="s">
        <v>6</v>
      </c>
      <c r="E362" s="379" t="s">
        <v>272</v>
      </c>
      <c r="F362" s="379" t="s">
        <v>279</v>
      </c>
      <c r="G362" s="379" t="s">
        <v>69</v>
      </c>
      <c r="H362" s="379" t="s">
        <v>47</v>
      </c>
      <c r="I362" s="806"/>
      <c r="J362" s="807">
        <v>160.80421318471832</v>
      </c>
      <c r="K362" s="793" t="s">
        <v>44</v>
      </c>
      <c r="L362" s="794" t="s">
        <v>304</v>
      </c>
      <c r="M362" s="798" t="s">
        <v>450</v>
      </c>
      <c r="N362" s="513" t="str">
        <f t="shared" si="23"/>
        <v/>
      </c>
    </row>
    <row r="363" spans="2:24" x14ac:dyDescent="0.35">
      <c r="B363" s="379" t="s">
        <v>4</v>
      </c>
      <c r="C363" s="379" t="str">
        <f t="shared" si="27"/>
        <v>Residential time of use</v>
      </c>
      <c r="D363" s="379" t="s">
        <v>6</v>
      </c>
      <c r="E363" s="379" t="s">
        <v>272</v>
      </c>
      <c r="F363" s="379" t="s">
        <v>282</v>
      </c>
      <c r="G363" s="379" t="s">
        <v>69</v>
      </c>
      <c r="H363" s="379" t="s">
        <v>47</v>
      </c>
      <c r="I363" s="806"/>
      <c r="J363" s="795">
        <v>40.43007371631635</v>
      </c>
      <c r="K363" s="793" t="s">
        <v>44</v>
      </c>
      <c r="L363" s="794" t="s">
        <v>304</v>
      </c>
      <c r="M363" s="798" t="s">
        <v>450</v>
      </c>
      <c r="N363" s="513" t="str">
        <f t="shared" si="23"/>
        <v/>
      </c>
    </row>
    <row r="364" spans="2:24" x14ac:dyDescent="0.35">
      <c r="B364" s="66" t="s">
        <v>4</v>
      </c>
      <c r="C364" s="379" t="str">
        <f t="shared" si="27"/>
        <v>Residential time of use</v>
      </c>
      <c r="D364" s="379" t="s">
        <v>6</v>
      </c>
      <c r="E364" s="379" t="s">
        <v>272</v>
      </c>
      <c r="F364" s="379" t="s">
        <v>279</v>
      </c>
      <c r="G364" s="379" t="s">
        <v>245</v>
      </c>
      <c r="H364" s="379" t="s">
        <v>247</v>
      </c>
      <c r="I364" s="782">
        <v>0.63406553295832224</v>
      </c>
      <c r="J364" s="796">
        <v>0.66415837530788258</v>
      </c>
      <c r="K364" s="793" t="s">
        <v>27</v>
      </c>
      <c r="L364" s="794" t="s">
        <v>304</v>
      </c>
      <c r="M364" s="794" t="s">
        <v>383</v>
      </c>
      <c r="N364" s="513">
        <f t="shared" si="23"/>
        <v>3.0092842349560334E-2</v>
      </c>
    </row>
    <row r="365" spans="2:24" x14ac:dyDescent="0.35">
      <c r="B365" s="66" t="s">
        <v>4</v>
      </c>
      <c r="C365" s="379" t="str">
        <f t="shared" si="27"/>
        <v>Residential time of use</v>
      </c>
      <c r="D365" s="379" t="s">
        <v>6</v>
      </c>
      <c r="E365" s="379" t="s">
        <v>272</v>
      </c>
      <c r="F365" s="379" t="s">
        <v>280</v>
      </c>
      <c r="G365" s="379" t="s">
        <v>245</v>
      </c>
      <c r="H365" s="379" t="s">
        <v>247</v>
      </c>
      <c r="I365" s="782">
        <v>8.8700870570140367E-2</v>
      </c>
      <c r="J365" s="796">
        <v>6.6757815534887383E-2</v>
      </c>
      <c r="K365" s="793" t="s">
        <v>27</v>
      </c>
      <c r="L365" s="794" t="s">
        <v>304</v>
      </c>
      <c r="M365" s="794" t="s">
        <v>383</v>
      </c>
      <c r="N365" s="513">
        <f t="shared" si="23"/>
        <v>-2.1943055035252984E-2</v>
      </c>
    </row>
    <row r="366" spans="2:24" x14ac:dyDescent="0.35">
      <c r="B366" s="66" t="s">
        <v>4</v>
      </c>
      <c r="C366" s="379" t="str">
        <f t="shared" si="27"/>
        <v>Residential time of use</v>
      </c>
      <c r="D366" s="379" t="s">
        <v>6</v>
      </c>
      <c r="E366" s="379" t="s">
        <v>272</v>
      </c>
      <c r="F366" s="379" t="s">
        <v>281</v>
      </c>
      <c r="G366" s="379" t="s">
        <v>245</v>
      </c>
      <c r="H366" s="379" t="s">
        <v>247</v>
      </c>
      <c r="I366" s="782">
        <v>0.12570851855635803</v>
      </c>
      <c r="J366" s="796">
        <v>9.8173258139540281E-2</v>
      </c>
      <c r="K366" s="793" t="s">
        <v>27</v>
      </c>
      <c r="L366" s="794" t="s">
        <v>304</v>
      </c>
      <c r="M366" s="794" t="s">
        <v>383</v>
      </c>
      <c r="N366" s="513">
        <f t="shared" si="23"/>
        <v>-2.7535260416817753E-2</v>
      </c>
    </row>
    <row r="367" spans="2:24" x14ac:dyDescent="0.35">
      <c r="B367" s="66" t="s">
        <v>4</v>
      </c>
      <c r="C367" s="379" t="str">
        <f t="shared" si="27"/>
        <v>Residential time of use</v>
      </c>
      <c r="D367" s="379" t="s">
        <v>6</v>
      </c>
      <c r="E367" s="379" t="s">
        <v>272</v>
      </c>
      <c r="F367" s="379" t="s">
        <v>282</v>
      </c>
      <c r="G367" s="379" t="s">
        <v>245</v>
      </c>
      <c r="H367" s="379" t="s">
        <v>247</v>
      </c>
      <c r="I367" s="782">
        <v>0.15152507791514139</v>
      </c>
      <c r="J367" s="796">
        <v>0.17091055101768973</v>
      </c>
      <c r="K367" s="793" t="s">
        <v>27</v>
      </c>
      <c r="L367" s="794" t="s">
        <v>304</v>
      </c>
      <c r="M367" s="794" t="s">
        <v>383</v>
      </c>
      <c r="N367" s="513">
        <f t="shared" si="23"/>
        <v>1.9385473102548345E-2</v>
      </c>
    </row>
    <row r="368" spans="2:24" x14ac:dyDescent="0.35">
      <c r="B368" s="66" t="s">
        <v>3</v>
      </c>
      <c r="C368" s="379" t="str">
        <f t="shared" si="27"/>
        <v>Residential time of use</v>
      </c>
      <c r="D368" s="379" t="s">
        <v>6</v>
      </c>
      <c r="E368" s="379" t="s">
        <v>272</v>
      </c>
      <c r="F368" s="379" t="s">
        <v>279</v>
      </c>
      <c r="G368" s="379" t="s">
        <v>69</v>
      </c>
      <c r="H368" s="379" t="s">
        <v>47</v>
      </c>
      <c r="I368" s="792"/>
      <c r="J368" s="792">
        <v>121.28021196061293</v>
      </c>
      <c r="K368" s="793" t="s">
        <v>44</v>
      </c>
      <c r="L368" s="794" t="s">
        <v>304</v>
      </c>
      <c r="M368" s="798" t="s">
        <v>450</v>
      </c>
      <c r="N368" s="513" t="str">
        <f t="shared" si="23"/>
        <v/>
      </c>
    </row>
    <row r="369" spans="2:14" x14ac:dyDescent="0.35">
      <c r="B369" s="66" t="s">
        <v>3</v>
      </c>
      <c r="C369" s="379" t="str">
        <f t="shared" si="27"/>
        <v>Residential time of use</v>
      </c>
      <c r="D369" s="379" t="s">
        <v>6</v>
      </c>
      <c r="E369" s="379" t="s">
        <v>272</v>
      </c>
      <c r="F369" s="379" t="s">
        <v>278</v>
      </c>
      <c r="G369" s="379" t="s">
        <v>69</v>
      </c>
      <c r="H369" s="379" t="s">
        <v>47</v>
      </c>
      <c r="I369" s="792"/>
      <c r="J369" s="792">
        <v>156.96453553352927</v>
      </c>
      <c r="K369" s="793" t="s">
        <v>44</v>
      </c>
      <c r="L369" s="794" t="s">
        <v>304</v>
      </c>
      <c r="M369" s="798" t="s">
        <v>450</v>
      </c>
      <c r="N369" s="513" t="str">
        <f t="shared" si="23"/>
        <v/>
      </c>
    </row>
    <row r="370" spans="2:14" x14ac:dyDescent="0.35">
      <c r="B370" s="66" t="s">
        <v>3</v>
      </c>
      <c r="C370" s="379" t="str">
        <f t="shared" si="27"/>
        <v>Residential time of use</v>
      </c>
      <c r="D370" s="379" t="s">
        <v>6</v>
      </c>
      <c r="E370" s="379" t="s">
        <v>272</v>
      </c>
      <c r="F370" s="379" t="s">
        <v>283</v>
      </c>
      <c r="G370" s="379" t="s">
        <v>69</v>
      </c>
      <c r="H370" s="379" t="s">
        <v>47</v>
      </c>
      <c r="I370" s="792"/>
      <c r="J370" s="792">
        <v>0</v>
      </c>
      <c r="K370" s="793" t="s">
        <v>44</v>
      </c>
      <c r="L370" s="794" t="s">
        <v>304</v>
      </c>
      <c r="M370" s="798" t="s">
        <v>450</v>
      </c>
      <c r="N370" s="513" t="str">
        <f t="shared" si="23"/>
        <v/>
      </c>
    </row>
    <row r="371" spans="2:14" x14ac:dyDescent="0.35">
      <c r="B371" s="66" t="s">
        <v>3</v>
      </c>
      <c r="C371" s="379" t="str">
        <f t="shared" si="27"/>
        <v>Residential time of use</v>
      </c>
      <c r="D371" s="379" t="s">
        <v>6</v>
      </c>
      <c r="E371" s="379" t="s">
        <v>272</v>
      </c>
      <c r="F371" s="379" t="s">
        <v>279</v>
      </c>
      <c r="G371" s="379" t="s">
        <v>245</v>
      </c>
      <c r="H371" s="379" t="s">
        <v>247</v>
      </c>
      <c r="I371" s="782">
        <v>0.60450627837427329</v>
      </c>
      <c r="J371" s="796">
        <v>0.48549429550286499</v>
      </c>
      <c r="K371" s="793" t="s">
        <v>27</v>
      </c>
      <c r="L371" s="794" t="s">
        <v>304</v>
      </c>
      <c r="M371" s="794" t="s">
        <v>383</v>
      </c>
      <c r="N371" s="513">
        <f t="shared" si="23"/>
        <v>-0.1190119828714083</v>
      </c>
    </row>
    <row r="372" spans="2:14" x14ac:dyDescent="0.35">
      <c r="B372" s="66" t="s">
        <v>3</v>
      </c>
      <c r="C372" s="379" t="str">
        <f t="shared" si="27"/>
        <v>Residential time of use</v>
      </c>
      <c r="D372" s="379" t="s">
        <v>6</v>
      </c>
      <c r="E372" s="379" t="s">
        <v>272</v>
      </c>
      <c r="F372" s="379" t="s">
        <v>278</v>
      </c>
      <c r="G372" s="379" t="s">
        <v>245</v>
      </c>
      <c r="H372" s="379" t="s">
        <v>247</v>
      </c>
      <c r="I372" s="782">
        <v>0.39549372162571922</v>
      </c>
      <c r="J372" s="796">
        <v>0.51450570449713506</v>
      </c>
      <c r="K372" s="793" t="s">
        <v>27</v>
      </c>
      <c r="L372" s="794" t="s">
        <v>304</v>
      </c>
      <c r="M372" s="794" t="s">
        <v>383</v>
      </c>
      <c r="N372" s="513">
        <f t="shared" si="23"/>
        <v>0.11901198287141584</v>
      </c>
    </row>
    <row r="373" spans="2:14" x14ac:dyDescent="0.35">
      <c r="B373" s="66" t="s">
        <v>3</v>
      </c>
      <c r="C373" s="379" t="str">
        <f t="shared" si="27"/>
        <v>Residential time of use</v>
      </c>
      <c r="D373" s="379" t="s">
        <v>6</v>
      </c>
      <c r="E373" s="379" t="s">
        <v>272</v>
      </c>
      <c r="F373" s="379" t="s">
        <v>283</v>
      </c>
      <c r="G373" s="379" t="s">
        <v>245</v>
      </c>
      <c r="H373" s="379" t="s">
        <v>247</v>
      </c>
      <c r="I373" s="782">
        <v>0</v>
      </c>
      <c r="J373" s="796">
        <v>0</v>
      </c>
      <c r="K373" s="793" t="s">
        <v>27</v>
      </c>
      <c r="L373" s="794" t="s">
        <v>304</v>
      </c>
      <c r="M373" s="794" t="s">
        <v>383</v>
      </c>
      <c r="N373" s="513">
        <f t="shared" si="23"/>
        <v>0</v>
      </c>
    </row>
    <row r="374" spans="2:14" x14ac:dyDescent="0.35">
      <c r="B374" s="66" t="s">
        <v>0</v>
      </c>
      <c r="C374" s="379" t="str">
        <f t="shared" si="27"/>
        <v>Residential time of use</v>
      </c>
      <c r="D374" s="379" t="s">
        <v>6</v>
      </c>
      <c r="E374" s="379" t="s">
        <v>272</v>
      </c>
      <c r="F374" s="379" t="s">
        <v>279</v>
      </c>
      <c r="G374" s="379" t="s">
        <v>69</v>
      </c>
      <c r="H374" s="379" t="s">
        <v>47</v>
      </c>
      <c r="I374" s="792"/>
      <c r="J374" s="792">
        <v>40.044524801981424</v>
      </c>
      <c r="K374" s="793" t="s">
        <v>44</v>
      </c>
      <c r="L374" s="794" t="s">
        <v>304</v>
      </c>
      <c r="M374" s="798" t="s">
        <v>450</v>
      </c>
      <c r="N374" s="513" t="str">
        <f t="shared" si="23"/>
        <v/>
      </c>
    </row>
    <row r="375" spans="2:14" x14ac:dyDescent="0.35">
      <c r="B375" s="66" t="s">
        <v>0</v>
      </c>
      <c r="C375" s="379" t="str">
        <f t="shared" si="27"/>
        <v>Residential time of use</v>
      </c>
      <c r="D375" s="379" t="s">
        <v>6</v>
      </c>
      <c r="E375" s="379" t="s">
        <v>272</v>
      </c>
      <c r="F375" s="379" t="s">
        <v>278</v>
      </c>
      <c r="G375" s="379" t="s">
        <v>69</v>
      </c>
      <c r="H375" s="379" t="s">
        <v>47</v>
      </c>
      <c r="I375" s="792"/>
      <c r="J375" s="792">
        <v>189.02785719391017</v>
      </c>
      <c r="K375" s="793" t="s">
        <v>44</v>
      </c>
      <c r="L375" s="794" t="s">
        <v>304</v>
      </c>
      <c r="M375" s="798" t="s">
        <v>450</v>
      </c>
      <c r="N375" s="513" t="str">
        <f t="shared" si="23"/>
        <v/>
      </c>
    </row>
    <row r="376" spans="2:14" x14ac:dyDescent="0.35">
      <c r="B376" s="66" t="s">
        <v>0</v>
      </c>
      <c r="C376" s="379" t="str">
        <f t="shared" si="27"/>
        <v>Residential time of use</v>
      </c>
      <c r="D376" s="379" t="s">
        <v>6</v>
      </c>
      <c r="E376" s="379" t="s">
        <v>272</v>
      </c>
      <c r="F376" s="379" t="s">
        <v>283</v>
      </c>
      <c r="G376" s="379" t="s">
        <v>69</v>
      </c>
      <c r="H376" s="379" t="s">
        <v>47</v>
      </c>
      <c r="I376" s="792"/>
      <c r="J376" s="792">
        <v>134.6507940303394</v>
      </c>
      <c r="K376" s="793" t="s">
        <v>44</v>
      </c>
      <c r="L376" s="794" t="s">
        <v>304</v>
      </c>
      <c r="M376" s="798" t="s">
        <v>450</v>
      </c>
      <c r="N376" s="513" t="str">
        <f t="shared" si="23"/>
        <v/>
      </c>
    </row>
    <row r="377" spans="2:14" x14ac:dyDescent="0.35">
      <c r="B377" s="66" t="s">
        <v>0</v>
      </c>
      <c r="C377" s="379" t="str">
        <f t="shared" si="27"/>
        <v>Residential time of use</v>
      </c>
      <c r="D377" s="379" t="s">
        <v>6</v>
      </c>
      <c r="E377" s="379" t="s">
        <v>272</v>
      </c>
      <c r="F377" s="379" t="s">
        <v>279</v>
      </c>
      <c r="G377" s="379" t="s">
        <v>245</v>
      </c>
      <c r="H377" s="379" t="s">
        <v>247</v>
      </c>
      <c r="I377" s="782">
        <v>0.20906169410830813</v>
      </c>
      <c r="J377" s="796">
        <v>0.23602420887011052</v>
      </c>
      <c r="K377" s="793" t="s">
        <v>27</v>
      </c>
      <c r="L377" s="794" t="s">
        <v>304</v>
      </c>
      <c r="M377" s="794" t="s">
        <v>383</v>
      </c>
      <c r="N377" s="513">
        <f t="shared" si="23"/>
        <v>2.6962514761802392E-2</v>
      </c>
    </row>
    <row r="378" spans="2:14" x14ac:dyDescent="0.35">
      <c r="B378" s="66" t="s">
        <v>0</v>
      </c>
      <c r="C378" s="379" t="str">
        <f t="shared" si="27"/>
        <v>Residential time of use</v>
      </c>
      <c r="D378" s="379" t="s">
        <v>6</v>
      </c>
      <c r="E378" s="379" t="s">
        <v>272</v>
      </c>
      <c r="F378" s="379" t="s">
        <v>278</v>
      </c>
      <c r="G378" s="379" t="s">
        <v>245</v>
      </c>
      <c r="H378" s="379" t="s">
        <v>247</v>
      </c>
      <c r="I378" s="782">
        <v>0.29928188851417903</v>
      </c>
      <c r="J378" s="796">
        <v>0.28980189259271605</v>
      </c>
      <c r="K378" s="793" t="s">
        <v>27</v>
      </c>
      <c r="L378" s="794" t="s">
        <v>304</v>
      </c>
      <c r="M378" s="794" t="s">
        <v>383</v>
      </c>
      <c r="N378" s="513">
        <f t="shared" si="23"/>
        <v>-9.4799959214629803E-3</v>
      </c>
    </row>
    <row r="379" spans="2:14" x14ac:dyDescent="0.35">
      <c r="B379" s="66" t="s">
        <v>0</v>
      </c>
      <c r="C379" s="379" t="str">
        <f t="shared" si="27"/>
        <v>Residential time of use</v>
      </c>
      <c r="D379" s="379" t="s">
        <v>6</v>
      </c>
      <c r="E379" s="379" t="s">
        <v>272</v>
      </c>
      <c r="F379" s="379" t="s">
        <v>283</v>
      </c>
      <c r="G379" s="379" t="s">
        <v>245</v>
      </c>
      <c r="H379" s="379" t="s">
        <v>247</v>
      </c>
      <c r="I379" s="782">
        <v>0.49165641737749177</v>
      </c>
      <c r="J379" s="796">
        <v>0.47417389853717357</v>
      </c>
      <c r="K379" s="793" t="s">
        <v>27</v>
      </c>
      <c r="L379" s="794" t="s">
        <v>304</v>
      </c>
      <c r="M379" s="794" t="s">
        <v>383</v>
      </c>
      <c r="N379" s="513">
        <f t="shared" si="23"/>
        <v>-1.7482518840318206E-2</v>
      </c>
    </row>
    <row r="380" spans="2:14" x14ac:dyDescent="0.35">
      <c r="B380" s="511" t="s">
        <v>5</v>
      </c>
      <c r="C380" s="379" t="str">
        <f t="shared" si="27"/>
        <v>Residential time of use</v>
      </c>
      <c r="D380" s="379" t="s">
        <v>6</v>
      </c>
      <c r="E380" s="379" t="s">
        <v>272</v>
      </c>
      <c r="F380" s="379" t="s">
        <v>279</v>
      </c>
      <c r="G380" s="379" t="s">
        <v>69</v>
      </c>
      <c r="H380" s="379" t="s">
        <v>47</v>
      </c>
      <c r="I380" s="792"/>
      <c r="J380" s="792">
        <v>128.67454644032401</v>
      </c>
      <c r="K380" s="793" t="s">
        <v>44</v>
      </c>
      <c r="L380" s="794" t="s">
        <v>304</v>
      </c>
      <c r="M380" s="798" t="s">
        <v>450</v>
      </c>
      <c r="N380" s="513" t="str">
        <f t="shared" si="23"/>
        <v/>
      </c>
    </row>
    <row r="381" spans="2:14" x14ac:dyDescent="0.35">
      <c r="B381" s="511" t="s">
        <v>5</v>
      </c>
      <c r="C381" s="379" t="str">
        <f t="shared" si="27"/>
        <v>Residential time of use</v>
      </c>
      <c r="D381" s="379" t="s">
        <v>6</v>
      </c>
      <c r="E381" s="379" t="s">
        <v>272</v>
      </c>
      <c r="F381" s="379" t="s">
        <v>278</v>
      </c>
      <c r="G381" s="379" t="s">
        <v>69</v>
      </c>
      <c r="H381" s="379" t="s">
        <v>47</v>
      </c>
      <c r="I381" s="792"/>
      <c r="J381" s="792">
        <v>214.52235765242605</v>
      </c>
      <c r="K381" s="793" t="s">
        <v>44</v>
      </c>
      <c r="L381" s="794" t="s">
        <v>304</v>
      </c>
      <c r="M381" s="798" t="s">
        <v>450</v>
      </c>
      <c r="N381" s="513" t="str">
        <f t="shared" si="23"/>
        <v/>
      </c>
    </row>
    <row r="382" spans="2:14" x14ac:dyDescent="0.35">
      <c r="B382" s="511" t="s">
        <v>5</v>
      </c>
      <c r="C382" s="379" t="str">
        <f t="shared" si="27"/>
        <v>Residential time of use</v>
      </c>
      <c r="D382" s="379" t="s">
        <v>6</v>
      </c>
      <c r="E382" s="379" t="s">
        <v>272</v>
      </c>
      <c r="F382" s="379" t="s">
        <v>284</v>
      </c>
      <c r="G382" s="379" t="s">
        <v>69</v>
      </c>
      <c r="H382" s="379" t="s">
        <v>47</v>
      </c>
      <c r="I382" s="792"/>
      <c r="J382" s="792">
        <v>57.507316335818572</v>
      </c>
      <c r="K382" s="793" t="s">
        <v>44</v>
      </c>
      <c r="L382" s="794" t="s">
        <v>304</v>
      </c>
      <c r="M382" s="798" t="s">
        <v>450</v>
      </c>
      <c r="N382" s="513" t="str">
        <f t="shared" si="23"/>
        <v/>
      </c>
    </row>
    <row r="383" spans="2:14" x14ac:dyDescent="0.35">
      <c r="B383" s="511" t="s">
        <v>5</v>
      </c>
      <c r="C383" s="379" t="str">
        <f t="shared" si="27"/>
        <v>Residential time of use</v>
      </c>
      <c r="D383" s="379" t="s">
        <v>6</v>
      </c>
      <c r="E383" s="379" t="s">
        <v>272</v>
      </c>
      <c r="F383" s="379" t="s">
        <v>279</v>
      </c>
      <c r="G383" s="379" t="s">
        <v>245</v>
      </c>
      <c r="H383" s="379" t="s">
        <v>247</v>
      </c>
      <c r="I383" s="796">
        <v>0.22938567674115568</v>
      </c>
      <c r="J383" s="796">
        <v>0.21245978569430815</v>
      </c>
      <c r="K383" s="793" t="s">
        <v>27</v>
      </c>
      <c r="L383" s="794" t="s">
        <v>304</v>
      </c>
      <c r="M383" s="794" t="s">
        <v>383</v>
      </c>
      <c r="N383" s="513">
        <f t="shared" si="23"/>
        <v>-1.6925891046847524E-2</v>
      </c>
    </row>
    <row r="384" spans="2:14" x14ac:dyDescent="0.35">
      <c r="B384" s="511" t="s">
        <v>5</v>
      </c>
      <c r="C384" s="379" t="str">
        <f t="shared" si="27"/>
        <v>Residential time of use</v>
      </c>
      <c r="D384" s="379" t="s">
        <v>6</v>
      </c>
      <c r="E384" s="379" t="s">
        <v>272</v>
      </c>
      <c r="F384" s="379" t="s">
        <v>278</v>
      </c>
      <c r="G384" s="379" t="s">
        <v>245</v>
      </c>
      <c r="H384" s="379" t="s">
        <v>247</v>
      </c>
      <c r="I384" s="796">
        <v>0.53496860855605466</v>
      </c>
      <c r="J384" s="796">
        <v>0.51366103865865786</v>
      </c>
      <c r="K384" s="793" t="s">
        <v>27</v>
      </c>
      <c r="L384" s="794" t="s">
        <v>304</v>
      </c>
      <c r="M384" s="794" t="s">
        <v>383</v>
      </c>
      <c r="N384" s="513">
        <f t="shared" si="23"/>
        <v>-2.1307569897396794E-2</v>
      </c>
    </row>
    <row r="385" spans="2:14" x14ac:dyDescent="0.35">
      <c r="B385" s="511" t="s">
        <v>5</v>
      </c>
      <c r="C385" s="379" t="str">
        <f t="shared" si="27"/>
        <v>Residential time of use</v>
      </c>
      <c r="D385" s="379" t="s">
        <v>6</v>
      </c>
      <c r="E385" s="379" t="s">
        <v>272</v>
      </c>
      <c r="F385" s="379" t="s">
        <v>284</v>
      </c>
      <c r="G385" s="379" t="s">
        <v>245</v>
      </c>
      <c r="H385" s="379" t="s">
        <v>247</v>
      </c>
      <c r="I385" s="796">
        <v>0.23564571470289147</v>
      </c>
      <c r="J385" s="796">
        <v>0.27387917564703407</v>
      </c>
      <c r="K385" s="793" t="s">
        <v>27</v>
      </c>
      <c r="L385" s="794" t="s">
        <v>304</v>
      </c>
      <c r="M385" s="794" t="s">
        <v>383</v>
      </c>
      <c r="N385" s="513">
        <f t="shared" si="23"/>
        <v>3.8233460944142594E-2</v>
      </c>
    </row>
    <row r="386" spans="2:14" x14ac:dyDescent="0.35">
      <c r="B386" s="379" t="s">
        <v>2</v>
      </c>
      <c r="C386" s="379" t="str">
        <f t="shared" si="27"/>
        <v>Residential time of use</v>
      </c>
      <c r="D386" s="379" t="s">
        <v>6</v>
      </c>
      <c r="E386" s="379" t="s">
        <v>272</v>
      </c>
      <c r="F386" s="379" t="s">
        <v>272</v>
      </c>
      <c r="G386" s="379" t="s">
        <v>24</v>
      </c>
      <c r="H386" s="379"/>
      <c r="I386" s="802">
        <v>3900</v>
      </c>
      <c r="J386" s="802">
        <v>3900</v>
      </c>
      <c r="K386" s="793" t="s">
        <v>25</v>
      </c>
      <c r="L386" s="794" t="s">
        <v>382</v>
      </c>
      <c r="M386" s="794" t="s">
        <v>448</v>
      </c>
      <c r="N386" s="513">
        <f t="shared" si="23"/>
        <v>0</v>
      </c>
    </row>
    <row r="387" spans="2:14" x14ac:dyDescent="0.35">
      <c r="B387" s="379" t="s">
        <v>4</v>
      </c>
      <c r="C387" s="379" t="str">
        <f t="shared" si="27"/>
        <v>Residential time of use</v>
      </c>
      <c r="D387" s="379" t="s">
        <v>6</v>
      </c>
      <c r="E387" s="379" t="s">
        <v>272</v>
      </c>
      <c r="F387" s="379" t="s">
        <v>272</v>
      </c>
      <c r="G387" s="379" t="s">
        <v>24</v>
      </c>
      <c r="H387" s="379"/>
      <c r="I387" s="802">
        <v>4900</v>
      </c>
      <c r="J387" s="802">
        <v>4900</v>
      </c>
      <c r="K387" s="793" t="s">
        <v>25</v>
      </c>
      <c r="L387" s="794" t="s">
        <v>382</v>
      </c>
      <c r="M387" s="794" t="s">
        <v>448</v>
      </c>
      <c r="N387" s="513">
        <f t="shared" si="23"/>
        <v>0</v>
      </c>
    </row>
    <row r="388" spans="2:14" x14ac:dyDescent="0.35">
      <c r="B388" s="379" t="s">
        <v>0</v>
      </c>
      <c r="C388" s="379" t="str">
        <f t="shared" si="27"/>
        <v>Residential time of use</v>
      </c>
      <c r="D388" s="379" t="s">
        <v>6</v>
      </c>
      <c r="E388" s="379" t="s">
        <v>272</v>
      </c>
      <c r="F388" s="379" t="s">
        <v>272</v>
      </c>
      <c r="G388" s="379" t="s">
        <v>24</v>
      </c>
      <c r="H388" s="379"/>
      <c r="I388" s="802">
        <v>4600</v>
      </c>
      <c r="J388" s="802">
        <v>4600</v>
      </c>
      <c r="K388" s="793" t="s">
        <v>25</v>
      </c>
      <c r="L388" s="794" t="s">
        <v>382</v>
      </c>
      <c r="M388" s="794" t="s">
        <v>448</v>
      </c>
      <c r="N388" s="513">
        <f t="shared" ref="N388:N451" si="28">IFERROR(IF(K388="%",J388-I388,J388/I388-1),"")</f>
        <v>0</v>
      </c>
    </row>
    <row r="389" spans="2:14" x14ac:dyDescent="0.35">
      <c r="B389" s="379" t="s">
        <v>3</v>
      </c>
      <c r="C389" s="379" t="str">
        <f t="shared" si="27"/>
        <v>Residential time of use</v>
      </c>
      <c r="D389" s="379" t="s">
        <v>6</v>
      </c>
      <c r="E389" s="379" t="s">
        <v>272</v>
      </c>
      <c r="F389" s="379" t="s">
        <v>272</v>
      </c>
      <c r="G389" s="379" t="s">
        <v>24</v>
      </c>
      <c r="H389" s="379"/>
      <c r="I389" s="802">
        <v>4600</v>
      </c>
      <c r="J389" s="802">
        <v>4600</v>
      </c>
      <c r="K389" s="793" t="s">
        <v>25</v>
      </c>
      <c r="L389" s="794" t="s">
        <v>382</v>
      </c>
      <c r="M389" s="794" t="s">
        <v>448</v>
      </c>
      <c r="N389" s="513">
        <f t="shared" si="28"/>
        <v>0</v>
      </c>
    </row>
    <row r="390" spans="2:14" x14ac:dyDescent="0.35">
      <c r="B390" s="379" t="s">
        <v>5</v>
      </c>
      <c r="C390" s="379" t="str">
        <f t="shared" si="27"/>
        <v>Residential time of use</v>
      </c>
      <c r="D390" s="379" t="s">
        <v>6</v>
      </c>
      <c r="E390" s="379" t="s">
        <v>272</v>
      </c>
      <c r="F390" s="379" t="s">
        <v>272</v>
      </c>
      <c r="G390" s="379" t="s">
        <v>24</v>
      </c>
      <c r="H390" s="379"/>
      <c r="I390" s="802">
        <v>4000</v>
      </c>
      <c r="J390" s="802">
        <v>4000</v>
      </c>
      <c r="K390" s="793" t="s">
        <v>25</v>
      </c>
      <c r="L390" s="794" t="s">
        <v>382</v>
      </c>
      <c r="M390" s="794" t="s">
        <v>448</v>
      </c>
      <c r="N390" s="513">
        <f t="shared" si="28"/>
        <v>0</v>
      </c>
    </row>
    <row r="391" spans="2:14" x14ac:dyDescent="0.35">
      <c r="B391" s="379" t="s">
        <v>2</v>
      </c>
      <c r="C391" s="379" t="str">
        <f t="shared" si="27"/>
        <v>Small business time of use</v>
      </c>
      <c r="D391" s="379" t="s">
        <v>13</v>
      </c>
      <c r="E391" s="379" t="s">
        <v>272</v>
      </c>
      <c r="F391" s="379" t="s">
        <v>272</v>
      </c>
      <c r="G391" s="379" t="s">
        <v>24</v>
      </c>
      <c r="H391" s="379"/>
      <c r="I391" s="802">
        <v>10000</v>
      </c>
      <c r="J391" s="802">
        <v>10000</v>
      </c>
      <c r="K391" s="793" t="s">
        <v>25</v>
      </c>
      <c r="L391" s="794" t="s">
        <v>382</v>
      </c>
      <c r="M391" s="794" t="s">
        <v>448</v>
      </c>
      <c r="N391" s="513">
        <f t="shared" si="28"/>
        <v>0</v>
      </c>
    </row>
    <row r="392" spans="2:14" x14ac:dyDescent="0.35">
      <c r="B392" s="379" t="s">
        <v>4</v>
      </c>
      <c r="C392" s="379" t="str">
        <f t="shared" si="27"/>
        <v>Small business time of use</v>
      </c>
      <c r="D392" s="379" t="s">
        <v>13</v>
      </c>
      <c r="E392" s="379" t="s">
        <v>272</v>
      </c>
      <c r="F392" s="379" t="s">
        <v>272</v>
      </c>
      <c r="G392" s="379" t="s">
        <v>24</v>
      </c>
      <c r="H392" s="379"/>
      <c r="I392" s="802">
        <v>10000</v>
      </c>
      <c r="J392" s="802">
        <v>10000</v>
      </c>
      <c r="K392" s="793" t="s">
        <v>25</v>
      </c>
      <c r="L392" s="794" t="s">
        <v>382</v>
      </c>
      <c r="M392" s="794" t="s">
        <v>448</v>
      </c>
      <c r="N392" s="513">
        <f t="shared" si="28"/>
        <v>0</v>
      </c>
    </row>
    <row r="393" spans="2:14" x14ac:dyDescent="0.35">
      <c r="B393" s="379" t="s">
        <v>0</v>
      </c>
      <c r="C393" s="379" t="str">
        <f t="shared" si="27"/>
        <v>Small business time of use</v>
      </c>
      <c r="D393" s="379" t="s">
        <v>13</v>
      </c>
      <c r="E393" s="379" t="s">
        <v>272</v>
      </c>
      <c r="F393" s="379" t="s">
        <v>272</v>
      </c>
      <c r="G393" s="379" t="s">
        <v>24</v>
      </c>
      <c r="H393" s="379"/>
      <c r="I393" s="802">
        <v>10000</v>
      </c>
      <c r="J393" s="802">
        <v>10000</v>
      </c>
      <c r="K393" s="793" t="s">
        <v>25</v>
      </c>
      <c r="L393" s="794" t="s">
        <v>382</v>
      </c>
      <c r="M393" s="794" t="s">
        <v>448</v>
      </c>
      <c r="N393" s="513">
        <f t="shared" si="28"/>
        <v>0</v>
      </c>
    </row>
    <row r="394" spans="2:14" x14ac:dyDescent="0.35">
      <c r="B394" s="379" t="s">
        <v>3</v>
      </c>
      <c r="C394" s="379" t="str">
        <f t="shared" si="27"/>
        <v>Small business time of use</v>
      </c>
      <c r="D394" s="379" t="s">
        <v>13</v>
      </c>
      <c r="E394" s="379" t="s">
        <v>272</v>
      </c>
      <c r="F394" s="379" t="s">
        <v>272</v>
      </c>
      <c r="G394" s="379" t="s">
        <v>24</v>
      </c>
      <c r="H394" s="379"/>
      <c r="I394" s="802">
        <v>10000</v>
      </c>
      <c r="J394" s="802">
        <v>10000</v>
      </c>
      <c r="K394" s="793" t="s">
        <v>25</v>
      </c>
      <c r="L394" s="794" t="s">
        <v>382</v>
      </c>
      <c r="M394" s="794" t="s">
        <v>448</v>
      </c>
      <c r="N394" s="513">
        <f t="shared" si="28"/>
        <v>0</v>
      </c>
    </row>
    <row r="395" spans="2:14" x14ac:dyDescent="0.35">
      <c r="B395" s="379" t="s">
        <v>5</v>
      </c>
      <c r="C395" s="379" t="str">
        <f t="shared" si="27"/>
        <v>Small business time of use</v>
      </c>
      <c r="D395" s="379" t="s">
        <v>13</v>
      </c>
      <c r="E395" s="379" t="s">
        <v>272</v>
      </c>
      <c r="F395" s="379" t="s">
        <v>272</v>
      </c>
      <c r="G395" s="379" t="s">
        <v>24</v>
      </c>
      <c r="H395" s="379"/>
      <c r="I395" s="802">
        <v>10000</v>
      </c>
      <c r="J395" s="802">
        <v>10000</v>
      </c>
      <c r="K395" s="793" t="s">
        <v>25</v>
      </c>
      <c r="L395" s="794" t="s">
        <v>382</v>
      </c>
      <c r="M395" s="794" t="s">
        <v>448</v>
      </c>
      <c r="N395" s="513">
        <f t="shared" si="28"/>
        <v>0</v>
      </c>
    </row>
    <row r="396" spans="2:14" x14ac:dyDescent="0.35">
      <c r="B396" s="379" t="s">
        <v>2</v>
      </c>
      <c r="C396" s="379" t="str">
        <f t="shared" si="27"/>
        <v>All</v>
      </c>
      <c r="D396" s="379"/>
      <c r="E396" s="379" t="s">
        <v>285</v>
      </c>
      <c r="F396" s="379" t="s">
        <v>14</v>
      </c>
      <c r="G396" s="379" t="s">
        <v>24</v>
      </c>
      <c r="H396" s="379"/>
      <c r="I396" s="802">
        <v>1340</v>
      </c>
      <c r="J396" s="802">
        <v>1340</v>
      </c>
      <c r="K396" s="793" t="s">
        <v>25</v>
      </c>
      <c r="L396" s="794" t="s">
        <v>382</v>
      </c>
      <c r="M396" s="794" t="s">
        <v>448</v>
      </c>
      <c r="N396" s="513">
        <f t="shared" si="28"/>
        <v>0</v>
      </c>
    </row>
    <row r="397" spans="2:14" x14ac:dyDescent="0.35">
      <c r="B397" s="379" t="s">
        <v>4</v>
      </c>
      <c r="C397" s="379" t="str">
        <f t="shared" si="27"/>
        <v>All</v>
      </c>
      <c r="D397" s="379"/>
      <c r="E397" s="379" t="s">
        <v>285</v>
      </c>
      <c r="F397" s="379" t="s">
        <v>14</v>
      </c>
      <c r="G397" s="379" t="s">
        <v>24</v>
      </c>
      <c r="H397" s="379"/>
      <c r="I397" s="802">
        <v>1474</v>
      </c>
      <c r="J397" s="802">
        <v>1474</v>
      </c>
      <c r="K397" s="793" t="s">
        <v>25</v>
      </c>
      <c r="L397" s="794" t="s">
        <v>382</v>
      </c>
      <c r="M397" s="794" t="s">
        <v>448</v>
      </c>
      <c r="N397" s="513">
        <f t="shared" si="28"/>
        <v>0</v>
      </c>
    </row>
    <row r="398" spans="2:14" x14ac:dyDescent="0.35">
      <c r="B398" s="379" t="s">
        <v>0</v>
      </c>
      <c r="C398" s="379" t="str">
        <f t="shared" si="27"/>
        <v>All</v>
      </c>
      <c r="D398" s="379"/>
      <c r="E398" s="379" t="s">
        <v>285</v>
      </c>
      <c r="F398" s="379" t="s">
        <v>14</v>
      </c>
      <c r="G398" s="379" t="s">
        <v>24</v>
      </c>
      <c r="H398" s="379"/>
      <c r="I398" s="802">
        <v>551</v>
      </c>
      <c r="J398" s="802">
        <v>551</v>
      </c>
      <c r="K398" s="793" t="s">
        <v>25</v>
      </c>
      <c r="L398" s="794" t="s">
        <v>382</v>
      </c>
      <c r="M398" s="794" t="s">
        <v>448</v>
      </c>
      <c r="N398" s="513">
        <f t="shared" si="28"/>
        <v>0</v>
      </c>
    </row>
    <row r="399" spans="2:14" x14ac:dyDescent="0.35">
      <c r="B399" s="379" t="s">
        <v>3</v>
      </c>
      <c r="C399" s="379" t="str">
        <f t="shared" si="27"/>
        <v>All</v>
      </c>
      <c r="D399" s="379"/>
      <c r="E399" s="379" t="s">
        <v>285</v>
      </c>
      <c r="F399" s="379" t="s">
        <v>14</v>
      </c>
      <c r="G399" s="379" t="s">
        <v>24</v>
      </c>
      <c r="H399" s="379"/>
      <c r="I399" s="802">
        <v>1540</v>
      </c>
      <c r="J399" s="802">
        <v>1540</v>
      </c>
      <c r="K399" s="793" t="s">
        <v>25</v>
      </c>
      <c r="L399" s="794" t="s">
        <v>382</v>
      </c>
      <c r="M399" s="794" t="s">
        <v>448</v>
      </c>
      <c r="N399" s="513">
        <f t="shared" si="28"/>
        <v>0</v>
      </c>
    </row>
    <row r="400" spans="2:14" x14ac:dyDescent="0.35">
      <c r="B400" s="379" t="s">
        <v>5</v>
      </c>
      <c r="C400" s="379" t="str">
        <f t="shared" si="27"/>
        <v>All</v>
      </c>
      <c r="D400" s="379"/>
      <c r="E400" s="379" t="s">
        <v>285</v>
      </c>
      <c r="F400" s="379" t="s">
        <v>14</v>
      </c>
      <c r="G400" s="379" t="s">
        <v>24</v>
      </c>
      <c r="H400" s="379"/>
      <c r="I400" s="802">
        <v>1800</v>
      </c>
      <c r="J400" s="802">
        <v>1800</v>
      </c>
      <c r="K400" s="793" t="s">
        <v>25</v>
      </c>
      <c r="L400" s="794" t="s">
        <v>382</v>
      </c>
      <c r="M400" s="794" t="s">
        <v>448</v>
      </c>
      <c r="N400" s="513">
        <f t="shared" si="28"/>
        <v>0</v>
      </c>
    </row>
    <row r="401" spans="2:24" x14ac:dyDescent="0.35">
      <c r="B401" s="379" t="s">
        <v>2</v>
      </c>
      <c r="C401" s="379" t="str">
        <f t="shared" si="27"/>
        <v>All</v>
      </c>
      <c r="D401" s="379"/>
      <c r="E401" s="379" t="s">
        <v>285</v>
      </c>
      <c r="F401" s="379" t="s">
        <v>15</v>
      </c>
      <c r="G401" s="379" t="s">
        <v>24</v>
      </c>
      <c r="H401" s="379"/>
      <c r="I401" s="802">
        <v>660</v>
      </c>
      <c r="J401" s="802">
        <v>660</v>
      </c>
      <c r="K401" s="793" t="s">
        <v>25</v>
      </c>
      <c r="L401" s="794" t="s">
        <v>382</v>
      </c>
      <c r="M401" s="794" t="s">
        <v>448</v>
      </c>
      <c r="N401" s="513">
        <f t="shared" si="28"/>
        <v>0</v>
      </c>
    </row>
    <row r="402" spans="2:24" x14ac:dyDescent="0.35">
      <c r="B402" s="379" t="s">
        <v>4</v>
      </c>
      <c r="C402" s="379" t="str">
        <f t="shared" si="27"/>
        <v>All</v>
      </c>
      <c r="D402" s="379"/>
      <c r="E402" s="379" t="s">
        <v>285</v>
      </c>
      <c r="F402" s="379" t="s">
        <v>15</v>
      </c>
      <c r="G402" s="379" t="s">
        <v>24</v>
      </c>
      <c r="H402" s="379"/>
      <c r="I402" s="802">
        <v>726</v>
      </c>
      <c r="J402" s="802">
        <v>726</v>
      </c>
      <c r="K402" s="793" t="s">
        <v>25</v>
      </c>
      <c r="L402" s="794" t="s">
        <v>382</v>
      </c>
      <c r="M402" s="794" t="s">
        <v>448</v>
      </c>
      <c r="N402" s="513">
        <f t="shared" si="28"/>
        <v>0</v>
      </c>
    </row>
    <row r="403" spans="2:24" x14ac:dyDescent="0.35">
      <c r="B403" s="379" t="s">
        <v>0</v>
      </c>
      <c r="C403" s="379" t="str">
        <f t="shared" si="27"/>
        <v>All</v>
      </c>
      <c r="D403" s="379"/>
      <c r="E403" s="379" t="s">
        <v>285</v>
      </c>
      <c r="F403" s="379" t="s">
        <v>15</v>
      </c>
      <c r="G403" s="379" t="s">
        <v>24</v>
      </c>
      <c r="H403" s="379"/>
      <c r="I403" s="802">
        <v>1349</v>
      </c>
      <c r="J403" s="802">
        <v>1349</v>
      </c>
      <c r="K403" s="793" t="s">
        <v>25</v>
      </c>
      <c r="L403" s="794" t="s">
        <v>382</v>
      </c>
      <c r="M403" s="794" t="s">
        <v>448</v>
      </c>
      <c r="N403" s="513">
        <f t="shared" si="28"/>
        <v>0</v>
      </c>
    </row>
    <row r="404" spans="2:24" x14ac:dyDescent="0.35">
      <c r="B404" s="379" t="s">
        <v>3</v>
      </c>
      <c r="C404" s="379" t="str">
        <f t="shared" si="27"/>
        <v>All</v>
      </c>
      <c r="D404" s="379"/>
      <c r="E404" s="379" t="s">
        <v>285</v>
      </c>
      <c r="F404" s="379" t="s">
        <v>15</v>
      </c>
      <c r="G404" s="379" t="s">
        <v>24</v>
      </c>
      <c r="H404" s="379"/>
      <c r="I404" s="802">
        <v>460</v>
      </c>
      <c r="J404" s="802">
        <v>460</v>
      </c>
      <c r="K404" s="793" t="s">
        <v>25</v>
      </c>
      <c r="L404" s="794" t="s">
        <v>382</v>
      </c>
      <c r="M404" s="794" t="s">
        <v>448</v>
      </c>
      <c r="N404" s="513">
        <f t="shared" si="28"/>
        <v>0</v>
      </c>
    </row>
    <row r="405" spans="2:24" x14ac:dyDescent="0.35">
      <c r="B405" s="379" t="s">
        <v>5</v>
      </c>
      <c r="C405" s="379" t="str">
        <f t="shared" si="27"/>
        <v>All</v>
      </c>
      <c r="D405" s="379"/>
      <c r="E405" s="379" t="s">
        <v>285</v>
      </c>
      <c r="F405" s="379" t="s">
        <v>15</v>
      </c>
      <c r="G405" s="379" t="s">
        <v>24</v>
      </c>
      <c r="H405" s="379"/>
      <c r="I405" s="802">
        <v>0</v>
      </c>
      <c r="J405" s="802">
        <v>0</v>
      </c>
      <c r="K405" s="793" t="s">
        <v>25</v>
      </c>
      <c r="L405" s="794" t="s">
        <v>382</v>
      </c>
      <c r="M405" s="794" t="s">
        <v>448</v>
      </c>
      <c r="N405" s="513" t="str">
        <f t="shared" si="28"/>
        <v/>
      </c>
    </row>
    <row r="406" spans="2:24" x14ac:dyDescent="0.35">
      <c r="B406" s="379" t="s">
        <v>2</v>
      </c>
      <c r="C406" s="379" t="str">
        <f>IF(D406="","All",D406&amp;" "&amp;E406)</f>
        <v>Small business time of use</v>
      </c>
      <c r="D406" s="379" t="s">
        <v>13</v>
      </c>
      <c r="E406" s="379" t="s">
        <v>272</v>
      </c>
      <c r="F406" s="379" t="s">
        <v>279</v>
      </c>
      <c r="G406" s="379" t="s">
        <v>69</v>
      </c>
      <c r="H406" s="379" t="s">
        <v>47</v>
      </c>
      <c r="I406" s="792"/>
      <c r="J406" s="807">
        <v>130.36192422946164</v>
      </c>
      <c r="K406" s="793" t="s">
        <v>44</v>
      </c>
      <c r="L406" s="794" t="s">
        <v>304</v>
      </c>
      <c r="M406" s="798" t="s">
        <v>450</v>
      </c>
      <c r="N406" s="513" t="str">
        <f t="shared" si="28"/>
        <v/>
      </c>
    </row>
    <row r="407" spans="2:24" x14ac:dyDescent="0.35">
      <c r="B407" s="379" t="s">
        <v>2</v>
      </c>
      <c r="C407" s="379" t="str">
        <f>IF(D407="","All",D407&amp;" "&amp;E407)</f>
        <v>Small business time of use</v>
      </c>
      <c r="D407" s="379" t="s">
        <v>13</v>
      </c>
      <c r="E407" s="379" t="s">
        <v>272</v>
      </c>
      <c r="F407" s="379" t="s">
        <v>278</v>
      </c>
      <c r="G407" s="379" t="s">
        <v>69</v>
      </c>
      <c r="H407" s="379" t="s">
        <v>47</v>
      </c>
      <c r="I407" s="792"/>
      <c r="J407" s="795">
        <v>187.97742416067607</v>
      </c>
      <c r="K407" s="793" t="s">
        <v>44</v>
      </c>
      <c r="L407" s="794" t="s">
        <v>304</v>
      </c>
      <c r="M407" s="798" t="s">
        <v>450</v>
      </c>
      <c r="N407" s="513" t="str">
        <f t="shared" si="28"/>
        <v/>
      </c>
    </row>
    <row r="408" spans="2:24" s="66" customFormat="1" x14ac:dyDescent="0.35">
      <c r="B408" s="379" t="s">
        <v>2</v>
      </c>
      <c r="C408" s="379" t="str">
        <f t="shared" ref="C408:C440" si="29">IF(D408="","All",D408&amp;" "&amp;E408)</f>
        <v>Small business time of use</v>
      </c>
      <c r="D408" s="379" t="s">
        <v>13</v>
      </c>
      <c r="E408" s="379" t="s">
        <v>272</v>
      </c>
      <c r="F408" s="379" t="s">
        <v>278</v>
      </c>
      <c r="G408" s="379" t="s">
        <v>245</v>
      </c>
      <c r="H408" s="379" t="s">
        <v>247</v>
      </c>
      <c r="I408" s="782">
        <v>0.20585985139208116</v>
      </c>
      <c r="J408" s="796">
        <v>0.11903178448032289</v>
      </c>
      <c r="K408" s="793" t="s">
        <v>27</v>
      </c>
      <c r="L408" s="794" t="s">
        <v>304</v>
      </c>
      <c r="M408" s="794" t="s">
        <v>383</v>
      </c>
      <c r="N408" s="513">
        <f t="shared" si="28"/>
        <v>-8.6828066911758262E-2</v>
      </c>
      <c r="X408" s="30"/>
    </row>
    <row r="409" spans="2:24" s="66" customFormat="1" x14ac:dyDescent="0.35">
      <c r="B409" s="379" t="s">
        <v>2</v>
      </c>
      <c r="C409" s="379" t="str">
        <f t="shared" si="29"/>
        <v>Small business time of use</v>
      </c>
      <c r="D409" s="379" t="s">
        <v>13</v>
      </c>
      <c r="E409" s="379" t="s">
        <v>272</v>
      </c>
      <c r="F409" s="379" t="s">
        <v>279</v>
      </c>
      <c r="G409" s="379" t="s">
        <v>245</v>
      </c>
      <c r="H409" s="379" t="s">
        <v>247</v>
      </c>
      <c r="I409" s="782">
        <v>0.79401876784252312</v>
      </c>
      <c r="J409" s="796">
        <v>0.88096821551967708</v>
      </c>
      <c r="K409" s="793" t="s">
        <v>27</v>
      </c>
      <c r="L409" s="794" t="s">
        <v>304</v>
      </c>
      <c r="M409" s="794" t="s">
        <v>383</v>
      </c>
      <c r="N409" s="513">
        <f t="shared" si="28"/>
        <v>8.6949447677153957E-2</v>
      </c>
      <c r="X409" s="30"/>
    </row>
    <row r="410" spans="2:24" x14ac:dyDescent="0.35">
      <c r="B410" s="66" t="s">
        <v>4</v>
      </c>
      <c r="C410" s="379" t="str">
        <f t="shared" si="29"/>
        <v>Small business time of use</v>
      </c>
      <c r="D410" s="379" t="s">
        <v>13</v>
      </c>
      <c r="E410" s="379" t="s">
        <v>272</v>
      </c>
      <c r="F410" s="379" t="s">
        <v>279</v>
      </c>
      <c r="G410" s="379" t="s">
        <v>69</v>
      </c>
      <c r="H410" s="379" t="s">
        <v>47</v>
      </c>
      <c r="I410" s="792"/>
      <c r="J410" s="792">
        <v>169.68994323740978</v>
      </c>
      <c r="K410" s="793" t="s">
        <v>44</v>
      </c>
      <c r="L410" s="794" t="s">
        <v>304</v>
      </c>
      <c r="M410" s="798" t="s">
        <v>450</v>
      </c>
      <c r="N410" s="513" t="str">
        <f t="shared" si="28"/>
        <v/>
      </c>
    </row>
    <row r="411" spans="2:24" x14ac:dyDescent="0.35">
      <c r="B411" s="66" t="s">
        <v>4</v>
      </c>
      <c r="C411" s="379" t="str">
        <f t="shared" si="29"/>
        <v>Small business time of use</v>
      </c>
      <c r="D411" s="379" t="s">
        <v>13</v>
      </c>
      <c r="E411" s="379" t="s">
        <v>272</v>
      </c>
      <c r="F411" s="379" t="s">
        <v>280</v>
      </c>
      <c r="G411" s="379" t="s">
        <v>69</v>
      </c>
      <c r="H411" s="379" t="s">
        <v>47</v>
      </c>
      <c r="I411" s="792"/>
      <c r="J411" s="795">
        <v>146.89215705208983</v>
      </c>
      <c r="K411" s="793" t="s">
        <v>44</v>
      </c>
      <c r="L411" s="794" t="s">
        <v>304</v>
      </c>
      <c r="M411" s="798" t="s">
        <v>450</v>
      </c>
      <c r="N411" s="513" t="str">
        <f t="shared" si="28"/>
        <v/>
      </c>
    </row>
    <row r="412" spans="2:24" x14ac:dyDescent="0.35">
      <c r="B412" s="66" t="s">
        <v>4</v>
      </c>
      <c r="C412" s="379" t="str">
        <f t="shared" si="29"/>
        <v>Small business time of use</v>
      </c>
      <c r="D412" s="379" t="s">
        <v>13</v>
      </c>
      <c r="E412" s="379" t="s">
        <v>272</v>
      </c>
      <c r="F412" s="379" t="s">
        <v>281</v>
      </c>
      <c r="G412" s="379" t="s">
        <v>69</v>
      </c>
      <c r="H412" s="379" t="s">
        <v>47</v>
      </c>
      <c r="I412" s="792"/>
      <c r="J412" s="792">
        <v>229.28587709553406</v>
      </c>
      <c r="K412" s="793" t="s">
        <v>44</v>
      </c>
      <c r="L412" s="794" t="s">
        <v>304</v>
      </c>
      <c r="M412" s="798" t="s">
        <v>450</v>
      </c>
      <c r="N412" s="513" t="str">
        <f t="shared" si="28"/>
        <v/>
      </c>
    </row>
    <row r="413" spans="2:24" x14ac:dyDescent="0.35">
      <c r="B413" s="66" t="s">
        <v>4</v>
      </c>
      <c r="C413" s="379" t="str">
        <f t="shared" si="29"/>
        <v>Small business time of use</v>
      </c>
      <c r="D413" s="379" t="s">
        <v>13</v>
      </c>
      <c r="E413" s="379" t="s">
        <v>272</v>
      </c>
      <c r="F413" s="379" t="s">
        <v>282</v>
      </c>
      <c r="G413" s="379" t="s">
        <v>69</v>
      </c>
      <c r="H413" s="379" t="s">
        <v>47</v>
      </c>
      <c r="I413" s="792"/>
      <c r="J413" s="792">
        <v>49.315803769007807</v>
      </c>
      <c r="K413" s="793" t="s">
        <v>44</v>
      </c>
      <c r="L413" s="794" t="s">
        <v>304</v>
      </c>
      <c r="M413" s="798" t="s">
        <v>450</v>
      </c>
      <c r="N413" s="513" t="str">
        <f t="shared" si="28"/>
        <v/>
      </c>
    </row>
    <row r="414" spans="2:24" x14ac:dyDescent="0.35">
      <c r="B414" s="66" t="s">
        <v>4</v>
      </c>
      <c r="C414" s="379" t="str">
        <f t="shared" si="29"/>
        <v>Small business time of use</v>
      </c>
      <c r="D414" s="379" t="s">
        <v>13</v>
      </c>
      <c r="E414" s="379" t="s">
        <v>272</v>
      </c>
      <c r="F414" s="379" t="s">
        <v>279</v>
      </c>
      <c r="G414" s="379" t="s">
        <v>245</v>
      </c>
      <c r="H414" s="379" t="s">
        <v>247</v>
      </c>
      <c r="I414" s="782">
        <v>0.63406553295832224</v>
      </c>
      <c r="J414" s="796">
        <v>0.64698407560338622</v>
      </c>
      <c r="K414" s="793" t="s">
        <v>27</v>
      </c>
      <c r="L414" s="794" t="s">
        <v>304</v>
      </c>
      <c r="M414" s="794" t="s">
        <v>383</v>
      </c>
      <c r="N414" s="513">
        <f t="shared" si="28"/>
        <v>1.291854264506398E-2</v>
      </c>
    </row>
    <row r="415" spans="2:24" x14ac:dyDescent="0.35">
      <c r="B415" s="66" t="s">
        <v>4</v>
      </c>
      <c r="C415" s="379" t="str">
        <f t="shared" si="29"/>
        <v>Small business time of use</v>
      </c>
      <c r="D415" s="379" t="s">
        <v>13</v>
      </c>
      <c r="E415" s="379" t="s">
        <v>272</v>
      </c>
      <c r="F415" s="379" t="s">
        <v>280</v>
      </c>
      <c r="G415" s="379" t="s">
        <v>245</v>
      </c>
      <c r="H415" s="379" t="s">
        <v>247</v>
      </c>
      <c r="I415" s="782">
        <v>8.8700870570140367E-2</v>
      </c>
      <c r="J415" s="796">
        <v>4.793542934644119E-2</v>
      </c>
      <c r="K415" s="793" t="s">
        <v>27</v>
      </c>
      <c r="L415" s="794" t="s">
        <v>304</v>
      </c>
      <c r="M415" s="794" t="s">
        <v>383</v>
      </c>
      <c r="N415" s="513">
        <f t="shared" si="28"/>
        <v>-4.0765441223699177E-2</v>
      </c>
    </row>
    <row r="416" spans="2:24" x14ac:dyDescent="0.35">
      <c r="B416" s="66" t="s">
        <v>4</v>
      </c>
      <c r="C416" s="379" t="str">
        <f t="shared" si="29"/>
        <v>Small business time of use</v>
      </c>
      <c r="D416" s="379" t="s">
        <v>13</v>
      </c>
      <c r="E416" s="379" t="s">
        <v>272</v>
      </c>
      <c r="F416" s="379" t="s">
        <v>281</v>
      </c>
      <c r="G416" s="379" t="s">
        <v>245</v>
      </c>
      <c r="H416" s="379" t="s">
        <v>247</v>
      </c>
      <c r="I416" s="782">
        <v>0.12570851855635803</v>
      </c>
      <c r="J416" s="796">
        <v>7.0493278450648802E-2</v>
      </c>
      <c r="K416" s="793" t="s">
        <v>27</v>
      </c>
      <c r="L416" s="794" t="s">
        <v>304</v>
      </c>
      <c r="M416" s="794" t="s">
        <v>383</v>
      </c>
      <c r="N416" s="513">
        <f t="shared" si="28"/>
        <v>-5.5215240105709232E-2</v>
      </c>
    </row>
    <row r="417" spans="2:14" x14ac:dyDescent="0.35">
      <c r="B417" s="66" t="s">
        <v>4</v>
      </c>
      <c r="C417" s="379" t="str">
        <f t="shared" si="29"/>
        <v>Small business time of use</v>
      </c>
      <c r="D417" s="379" t="s">
        <v>13</v>
      </c>
      <c r="E417" s="379" t="s">
        <v>272</v>
      </c>
      <c r="F417" s="379" t="s">
        <v>282</v>
      </c>
      <c r="G417" s="379" t="s">
        <v>245</v>
      </c>
      <c r="H417" s="379" t="s">
        <v>247</v>
      </c>
      <c r="I417" s="782">
        <v>0.15152507791514139</v>
      </c>
      <c r="J417" s="796">
        <v>0.23458721659952375</v>
      </c>
      <c r="K417" s="793" t="s">
        <v>27</v>
      </c>
      <c r="L417" s="794" t="s">
        <v>304</v>
      </c>
      <c r="M417" s="794" t="s">
        <v>383</v>
      </c>
      <c r="N417" s="513">
        <f t="shared" si="28"/>
        <v>8.3062138684382364E-2</v>
      </c>
    </row>
    <row r="418" spans="2:14" x14ac:dyDescent="0.35">
      <c r="B418" s="66" t="s">
        <v>3</v>
      </c>
      <c r="C418" s="379" t="str">
        <f t="shared" si="29"/>
        <v>Small business time of use</v>
      </c>
      <c r="D418" s="379" t="s">
        <v>13</v>
      </c>
      <c r="E418" s="379" t="s">
        <v>272</v>
      </c>
      <c r="F418" s="379" t="s">
        <v>279</v>
      </c>
      <c r="G418" s="379" t="s">
        <v>69</v>
      </c>
      <c r="H418" s="379" t="s">
        <v>47</v>
      </c>
      <c r="I418" s="792"/>
      <c r="J418" s="792">
        <v>123.96815316178113</v>
      </c>
      <c r="K418" s="793" t="s">
        <v>44</v>
      </c>
      <c r="L418" s="794" t="s">
        <v>304</v>
      </c>
      <c r="M418" s="798" t="s">
        <v>450</v>
      </c>
      <c r="N418" s="513" t="str">
        <f t="shared" si="28"/>
        <v/>
      </c>
    </row>
    <row r="419" spans="2:14" x14ac:dyDescent="0.35">
      <c r="B419" s="66" t="s">
        <v>3</v>
      </c>
      <c r="C419" s="379" t="str">
        <f t="shared" si="29"/>
        <v>Small business time of use</v>
      </c>
      <c r="D419" s="379" t="s">
        <v>13</v>
      </c>
      <c r="E419" s="379" t="s">
        <v>272</v>
      </c>
      <c r="F419" s="379" t="s">
        <v>278</v>
      </c>
      <c r="G419" s="379" t="s">
        <v>69</v>
      </c>
      <c r="H419" s="379" t="s">
        <v>47</v>
      </c>
      <c r="I419" s="792"/>
      <c r="J419" s="792">
        <v>159.65247673469747</v>
      </c>
      <c r="K419" s="793" t="s">
        <v>44</v>
      </c>
      <c r="L419" s="794" t="s">
        <v>304</v>
      </c>
      <c r="M419" s="798" t="s">
        <v>450</v>
      </c>
      <c r="N419" s="513" t="str">
        <f t="shared" si="28"/>
        <v/>
      </c>
    </row>
    <row r="420" spans="2:14" x14ac:dyDescent="0.35">
      <c r="B420" s="66" t="s">
        <v>3</v>
      </c>
      <c r="C420" s="379" t="str">
        <f t="shared" si="29"/>
        <v>Small business time of use</v>
      </c>
      <c r="D420" s="379" t="s">
        <v>13</v>
      </c>
      <c r="E420" s="379" t="s">
        <v>272</v>
      </c>
      <c r="F420" s="379" t="s">
        <v>283</v>
      </c>
      <c r="G420" s="379" t="s">
        <v>69</v>
      </c>
      <c r="H420" s="379" t="s">
        <v>47</v>
      </c>
      <c r="I420" s="792"/>
      <c r="J420" s="792">
        <v>0</v>
      </c>
      <c r="K420" s="793" t="s">
        <v>44</v>
      </c>
      <c r="L420" s="794" t="s">
        <v>304</v>
      </c>
      <c r="M420" s="798" t="s">
        <v>450</v>
      </c>
      <c r="N420" s="513" t="str">
        <f t="shared" si="28"/>
        <v/>
      </c>
    </row>
    <row r="421" spans="2:14" x14ac:dyDescent="0.35">
      <c r="B421" s="66" t="s">
        <v>3</v>
      </c>
      <c r="C421" s="379" t="str">
        <f t="shared" si="29"/>
        <v>Small business time of use</v>
      </c>
      <c r="D421" s="379" t="s">
        <v>13</v>
      </c>
      <c r="E421" s="379" t="s">
        <v>272</v>
      </c>
      <c r="F421" s="379" t="s">
        <v>279</v>
      </c>
      <c r="G421" s="379" t="s">
        <v>245</v>
      </c>
      <c r="H421" s="379" t="s">
        <v>247</v>
      </c>
      <c r="I421" s="782">
        <v>0.60450627837427329</v>
      </c>
      <c r="J421" s="796">
        <v>0.560819842747042</v>
      </c>
      <c r="K421" s="793" t="s">
        <v>27</v>
      </c>
      <c r="L421" s="794" t="s">
        <v>304</v>
      </c>
      <c r="M421" s="794" t="s">
        <v>383</v>
      </c>
      <c r="N421" s="513">
        <f t="shared" si="28"/>
        <v>-4.368643562723129E-2</v>
      </c>
    </row>
    <row r="422" spans="2:14" x14ac:dyDescent="0.35">
      <c r="B422" s="66" t="s">
        <v>3</v>
      </c>
      <c r="C422" s="379" t="str">
        <f t="shared" si="29"/>
        <v>Small business time of use</v>
      </c>
      <c r="D422" s="379" t="s">
        <v>13</v>
      </c>
      <c r="E422" s="379" t="s">
        <v>272</v>
      </c>
      <c r="F422" s="379" t="s">
        <v>278</v>
      </c>
      <c r="G422" s="379" t="s">
        <v>245</v>
      </c>
      <c r="H422" s="379" t="s">
        <v>247</v>
      </c>
      <c r="I422" s="782">
        <v>0.39549372162571922</v>
      </c>
      <c r="J422" s="796">
        <v>0.43918015725295806</v>
      </c>
      <c r="K422" s="793" t="s">
        <v>27</v>
      </c>
      <c r="L422" s="794" t="s">
        <v>304</v>
      </c>
      <c r="M422" s="794" t="s">
        <v>383</v>
      </c>
      <c r="N422" s="513">
        <f t="shared" si="28"/>
        <v>4.368643562723884E-2</v>
      </c>
    </row>
    <row r="423" spans="2:14" x14ac:dyDescent="0.35">
      <c r="B423" s="66" t="s">
        <v>3</v>
      </c>
      <c r="C423" s="379" t="str">
        <f t="shared" si="29"/>
        <v>Small business time of use</v>
      </c>
      <c r="D423" s="379" t="s">
        <v>13</v>
      </c>
      <c r="E423" s="379" t="s">
        <v>272</v>
      </c>
      <c r="F423" s="379" t="s">
        <v>283</v>
      </c>
      <c r="G423" s="379" t="s">
        <v>245</v>
      </c>
      <c r="H423" s="379" t="s">
        <v>247</v>
      </c>
      <c r="I423" s="782">
        <v>0</v>
      </c>
      <c r="J423" s="796">
        <v>0</v>
      </c>
      <c r="K423" s="793" t="s">
        <v>27</v>
      </c>
      <c r="L423" s="794" t="s">
        <v>304</v>
      </c>
      <c r="M423" s="794" t="s">
        <v>383</v>
      </c>
      <c r="N423" s="513">
        <f t="shared" si="28"/>
        <v>0</v>
      </c>
    </row>
    <row r="424" spans="2:14" x14ac:dyDescent="0.35">
      <c r="B424" s="66" t="s">
        <v>0</v>
      </c>
      <c r="C424" s="379" t="str">
        <f t="shared" si="29"/>
        <v>Small business time of use</v>
      </c>
      <c r="D424" s="379" t="s">
        <v>13</v>
      </c>
      <c r="E424" s="379" t="s">
        <v>272</v>
      </c>
      <c r="F424" s="379" t="s">
        <v>279</v>
      </c>
      <c r="G424" s="379" t="s">
        <v>69</v>
      </c>
      <c r="H424" s="379" t="s">
        <v>47</v>
      </c>
      <c r="I424" s="792"/>
      <c r="J424" s="792">
        <v>42.906265494968743</v>
      </c>
      <c r="K424" s="793" t="s">
        <v>44</v>
      </c>
      <c r="L424" s="794" t="s">
        <v>304</v>
      </c>
      <c r="M424" s="798" t="s">
        <v>450</v>
      </c>
      <c r="N424" s="513" t="str">
        <f t="shared" si="28"/>
        <v/>
      </c>
    </row>
    <row r="425" spans="2:14" x14ac:dyDescent="0.35">
      <c r="B425" s="66" t="s">
        <v>0</v>
      </c>
      <c r="C425" s="379" t="str">
        <f t="shared" si="29"/>
        <v>Small business time of use</v>
      </c>
      <c r="D425" s="379" t="s">
        <v>13</v>
      </c>
      <c r="E425" s="379" t="s">
        <v>272</v>
      </c>
      <c r="F425" s="379" t="s">
        <v>278</v>
      </c>
      <c r="G425" s="379" t="s">
        <v>69</v>
      </c>
      <c r="H425" s="379" t="s">
        <v>47</v>
      </c>
      <c r="I425" s="792"/>
      <c r="J425" s="792">
        <v>202.01278494604139</v>
      </c>
      <c r="K425" s="793" t="s">
        <v>44</v>
      </c>
      <c r="L425" s="794" t="s">
        <v>304</v>
      </c>
      <c r="M425" s="798" t="s">
        <v>450</v>
      </c>
      <c r="N425" s="513" t="str">
        <f t="shared" si="28"/>
        <v/>
      </c>
    </row>
    <row r="426" spans="2:14" x14ac:dyDescent="0.35">
      <c r="B426" s="66" t="s">
        <v>0</v>
      </c>
      <c r="C426" s="379" t="str">
        <f t="shared" si="29"/>
        <v>Small business time of use</v>
      </c>
      <c r="D426" s="379" t="s">
        <v>13</v>
      </c>
      <c r="E426" s="379" t="s">
        <v>272</v>
      </c>
      <c r="F426" s="379" t="s">
        <v>283</v>
      </c>
      <c r="G426" s="379" t="s">
        <v>69</v>
      </c>
      <c r="H426" s="379" t="s">
        <v>47</v>
      </c>
      <c r="I426" s="792"/>
      <c r="J426" s="792">
        <v>133.47565818422368</v>
      </c>
      <c r="K426" s="793" t="s">
        <v>44</v>
      </c>
      <c r="L426" s="794" t="s">
        <v>304</v>
      </c>
      <c r="M426" s="798" t="s">
        <v>450</v>
      </c>
      <c r="N426" s="513" t="str">
        <f t="shared" si="28"/>
        <v/>
      </c>
    </row>
    <row r="427" spans="2:14" x14ac:dyDescent="0.35">
      <c r="B427" s="66" t="s">
        <v>0</v>
      </c>
      <c r="C427" s="379" t="str">
        <f t="shared" si="29"/>
        <v>Small business time of use</v>
      </c>
      <c r="D427" s="379" t="s">
        <v>13</v>
      </c>
      <c r="E427" s="379" t="s">
        <v>272</v>
      </c>
      <c r="F427" s="379" t="s">
        <v>279</v>
      </c>
      <c r="G427" s="379" t="s">
        <v>245</v>
      </c>
      <c r="H427" s="379" t="s">
        <v>247</v>
      </c>
      <c r="I427" s="782">
        <v>0.20906169410830813</v>
      </c>
      <c r="J427" s="796">
        <v>0.12518730860537927</v>
      </c>
      <c r="K427" s="793" t="s">
        <v>27</v>
      </c>
      <c r="L427" s="794" t="s">
        <v>304</v>
      </c>
      <c r="M427" s="794" t="s">
        <v>383</v>
      </c>
      <c r="N427" s="513">
        <f t="shared" si="28"/>
        <v>-8.3874385502928861E-2</v>
      </c>
    </row>
    <row r="428" spans="2:14" x14ac:dyDescent="0.35">
      <c r="B428" s="66" t="s">
        <v>0</v>
      </c>
      <c r="C428" s="379" t="str">
        <f t="shared" si="29"/>
        <v>Small business time of use</v>
      </c>
      <c r="D428" s="379" t="s">
        <v>13</v>
      </c>
      <c r="E428" s="379" t="s">
        <v>272</v>
      </c>
      <c r="F428" s="379" t="s">
        <v>278</v>
      </c>
      <c r="G428" s="379" t="s">
        <v>245</v>
      </c>
      <c r="H428" s="379" t="s">
        <v>247</v>
      </c>
      <c r="I428" s="782">
        <v>0.29928188851417903</v>
      </c>
      <c r="J428" s="796">
        <v>8.6704544081915774E-2</v>
      </c>
      <c r="K428" s="793" t="s">
        <v>27</v>
      </c>
      <c r="L428" s="794" t="s">
        <v>304</v>
      </c>
      <c r="M428" s="794" t="s">
        <v>383</v>
      </c>
      <c r="N428" s="513">
        <f t="shared" si="28"/>
        <v>-0.21257734443226325</v>
      </c>
    </row>
    <row r="429" spans="2:14" x14ac:dyDescent="0.35">
      <c r="B429" s="66" t="s">
        <v>0</v>
      </c>
      <c r="C429" s="379" t="str">
        <f t="shared" si="29"/>
        <v>Small business time of use</v>
      </c>
      <c r="D429" s="379" t="s">
        <v>13</v>
      </c>
      <c r="E429" s="379" t="s">
        <v>272</v>
      </c>
      <c r="F429" s="379" t="s">
        <v>283</v>
      </c>
      <c r="G429" s="379" t="s">
        <v>245</v>
      </c>
      <c r="H429" s="379" t="s">
        <v>247</v>
      </c>
      <c r="I429" s="782">
        <v>0.49165641737749177</v>
      </c>
      <c r="J429" s="796">
        <v>0.78810814731270495</v>
      </c>
      <c r="K429" s="793" t="s">
        <v>27</v>
      </c>
      <c r="L429" s="794" t="s">
        <v>304</v>
      </c>
      <c r="M429" s="794" t="s">
        <v>383</v>
      </c>
      <c r="N429" s="513">
        <f t="shared" si="28"/>
        <v>0.29645172993521318</v>
      </c>
    </row>
    <row r="430" spans="2:14" x14ac:dyDescent="0.35">
      <c r="B430" s="511" t="s">
        <v>5</v>
      </c>
      <c r="C430" s="379" t="str">
        <f t="shared" si="29"/>
        <v>Small business time of use</v>
      </c>
      <c r="D430" s="379" t="s">
        <v>13</v>
      </c>
      <c r="E430" s="379" t="s">
        <v>272</v>
      </c>
      <c r="F430" s="379" t="s">
        <v>279</v>
      </c>
      <c r="G430" s="379" t="s">
        <v>69</v>
      </c>
      <c r="H430" s="379" t="s">
        <v>47</v>
      </c>
      <c r="I430" s="792"/>
      <c r="J430" s="792">
        <v>148.10339592686745</v>
      </c>
      <c r="K430" s="793" t="s">
        <v>44</v>
      </c>
      <c r="L430" s="794" t="s">
        <v>304</v>
      </c>
      <c r="M430" s="798" t="s">
        <v>450</v>
      </c>
      <c r="N430" s="513" t="str">
        <f t="shared" si="28"/>
        <v/>
      </c>
    </row>
    <row r="431" spans="2:14" x14ac:dyDescent="0.35">
      <c r="B431" s="511" t="s">
        <v>5</v>
      </c>
      <c r="C431" s="379" t="str">
        <f t="shared" si="29"/>
        <v>Small business time of use</v>
      </c>
      <c r="D431" s="379" t="s">
        <v>13</v>
      </c>
      <c r="E431" s="379" t="s">
        <v>272</v>
      </c>
      <c r="F431" s="379" t="s">
        <v>278</v>
      </c>
      <c r="G431" s="379" t="s">
        <v>69</v>
      </c>
      <c r="H431" s="379" t="s">
        <v>47</v>
      </c>
      <c r="I431" s="792"/>
      <c r="J431" s="792">
        <v>299.26210291852112</v>
      </c>
      <c r="K431" s="793" t="s">
        <v>44</v>
      </c>
      <c r="L431" s="794" t="s">
        <v>304</v>
      </c>
      <c r="M431" s="798" t="s">
        <v>450</v>
      </c>
      <c r="N431" s="513" t="str">
        <f t="shared" si="28"/>
        <v/>
      </c>
    </row>
    <row r="432" spans="2:14" x14ac:dyDescent="0.35">
      <c r="B432" s="511" t="s">
        <v>5</v>
      </c>
      <c r="C432" s="379" t="str">
        <f t="shared" si="29"/>
        <v>Small business time of use</v>
      </c>
      <c r="D432" s="379" t="s">
        <v>13</v>
      </c>
      <c r="E432" s="379" t="s">
        <v>272</v>
      </c>
      <c r="F432" s="379" t="s">
        <v>284</v>
      </c>
      <c r="G432" s="379" t="s">
        <v>69</v>
      </c>
      <c r="H432" s="379" t="s">
        <v>47</v>
      </c>
      <c r="I432" s="792"/>
      <c r="J432" s="792">
        <v>130.02915333504743</v>
      </c>
      <c r="K432" s="793" t="s">
        <v>44</v>
      </c>
      <c r="L432" s="794" t="s">
        <v>304</v>
      </c>
      <c r="M432" s="798" t="s">
        <v>450</v>
      </c>
      <c r="N432" s="513" t="str">
        <f t="shared" si="28"/>
        <v/>
      </c>
    </row>
    <row r="433" spans="2:14" x14ac:dyDescent="0.35">
      <c r="B433" s="511" t="s">
        <v>5</v>
      </c>
      <c r="C433" s="379" t="str">
        <f t="shared" si="29"/>
        <v>Small business time of use</v>
      </c>
      <c r="D433" s="379" t="s">
        <v>13</v>
      </c>
      <c r="E433" s="379" t="s">
        <v>272</v>
      </c>
      <c r="F433" s="379" t="s">
        <v>279</v>
      </c>
      <c r="G433" s="379" t="s">
        <v>245</v>
      </c>
      <c r="H433" s="379" t="s">
        <v>247</v>
      </c>
      <c r="I433" s="796">
        <v>0.78</v>
      </c>
      <c r="J433" s="808">
        <v>0.51975109421105981</v>
      </c>
      <c r="K433" s="793" t="s">
        <v>27</v>
      </c>
      <c r="L433" s="794" t="s">
        <v>304</v>
      </c>
      <c r="M433" s="794" t="s">
        <v>383</v>
      </c>
      <c r="N433" s="513">
        <f t="shared" si="28"/>
        <v>-0.26024890578894022</v>
      </c>
    </row>
    <row r="434" spans="2:14" x14ac:dyDescent="0.35">
      <c r="B434" s="511" t="s">
        <v>5</v>
      </c>
      <c r="C434" s="379" t="str">
        <f t="shared" si="29"/>
        <v>Small business time of use</v>
      </c>
      <c r="D434" s="379" t="s">
        <v>13</v>
      </c>
      <c r="E434" s="379" t="s">
        <v>272</v>
      </c>
      <c r="F434" s="379" t="s">
        <v>278</v>
      </c>
      <c r="G434" s="379" t="s">
        <v>245</v>
      </c>
      <c r="H434" s="379" t="s">
        <v>247</v>
      </c>
      <c r="I434" s="796">
        <v>8.1879677302339984E-2</v>
      </c>
      <c r="J434" s="808">
        <v>8.1879677302339984E-2</v>
      </c>
      <c r="K434" s="793" t="s">
        <v>27</v>
      </c>
      <c r="L434" s="794" t="s">
        <v>304</v>
      </c>
      <c r="M434" s="794" t="s">
        <v>383</v>
      </c>
      <c r="N434" s="513">
        <f t="shared" si="28"/>
        <v>0</v>
      </c>
    </row>
    <row r="435" spans="2:14" x14ac:dyDescent="0.35">
      <c r="B435" s="511" t="s">
        <v>5</v>
      </c>
      <c r="C435" s="379" t="str">
        <f t="shared" si="29"/>
        <v>Small business time of use</v>
      </c>
      <c r="D435" s="379" t="s">
        <v>13</v>
      </c>
      <c r="E435" s="379" t="s">
        <v>272</v>
      </c>
      <c r="F435" s="379" t="s">
        <v>284</v>
      </c>
      <c r="G435" s="379" t="s">
        <v>245</v>
      </c>
      <c r="H435" s="379" t="s">
        <v>247</v>
      </c>
      <c r="I435" s="796">
        <v>0.39836922848660011</v>
      </c>
      <c r="J435" s="808">
        <v>0.39836922848660011</v>
      </c>
      <c r="K435" s="793" t="s">
        <v>27</v>
      </c>
      <c r="L435" s="794" t="s">
        <v>304</v>
      </c>
      <c r="M435" s="794" t="s">
        <v>383</v>
      </c>
      <c r="N435" s="513">
        <f t="shared" si="28"/>
        <v>0</v>
      </c>
    </row>
    <row r="436" spans="2:14" x14ac:dyDescent="0.35">
      <c r="B436" s="379" t="s">
        <v>2</v>
      </c>
      <c r="C436" s="379" t="str">
        <f t="shared" si="29"/>
        <v>All</v>
      </c>
      <c r="D436" s="379"/>
      <c r="E436" s="379" t="s">
        <v>19</v>
      </c>
      <c r="F436" s="379" t="s">
        <v>19</v>
      </c>
      <c r="G436" s="379" t="s">
        <v>303</v>
      </c>
      <c r="H436" s="379" t="s">
        <v>47</v>
      </c>
      <c r="I436" s="802"/>
      <c r="J436" s="486">
        <v>1.7960000000000009</v>
      </c>
      <c r="K436" s="793" t="s">
        <v>44</v>
      </c>
      <c r="L436" s="794" t="s">
        <v>304</v>
      </c>
      <c r="M436" s="794" t="s">
        <v>454</v>
      </c>
      <c r="N436" s="513" t="str">
        <f t="shared" si="28"/>
        <v/>
      </c>
    </row>
    <row r="437" spans="2:14" ht="28" x14ac:dyDescent="0.35">
      <c r="B437" s="379" t="s">
        <v>4</v>
      </c>
      <c r="C437" s="379" t="str">
        <f t="shared" si="29"/>
        <v>All</v>
      </c>
      <c r="D437" s="379"/>
      <c r="E437" s="379" t="s">
        <v>19</v>
      </c>
      <c r="F437" s="379" t="s">
        <v>19</v>
      </c>
      <c r="G437" s="379" t="s">
        <v>303</v>
      </c>
      <c r="H437" s="379" t="s">
        <v>47</v>
      </c>
      <c r="I437" s="802"/>
      <c r="J437" s="486">
        <v>2.0909999999999997</v>
      </c>
      <c r="K437" s="793" t="s">
        <v>44</v>
      </c>
      <c r="L437" s="794" t="s">
        <v>304</v>
      </c>
      <c r="M437" s="798" t="s">
        <v>454</v>
      </c>
      <c r="N437" s="513" t="str">
        <f t="shared" si="28"/>
        <v/>
      </c>
    </row>
    <row r="438" spans="2:14" ht="28" x14ac:dyDescent="0.35">
      <c r="B438" s="379" t="s">
        <v>0</v>
      </c>
      <c r="C438" s="379" t="str">
        <f t="shared" si="29"/>
        <v>All</v>
      </c>
      <c r="D438" s="379"/>
      <c r="E438" s="379" t="s">
        <v>19</v>
      </c>
      <c r="F438" s="379" t="s">
        <v>19</v>
      </c>
      <c r="G438" s="379" t="s">
        <v>303</v>
      </c>
      <c r="H438" s="379" t="s">
        <v>47</v>
      </c>
      <c r="I438" s="802"/>
      <c r="J438" s="486">
        <v>0.99299999999999788</v>
      </c>
      <c r="K438" s="793" t="s">
        <v>44</v>
      </c>
      <c r="L438" s="794" t="s">
        <v>304</v>
      </c>
      <c r="M438" s="798" t="s">
        <v>454</v>
      </c>
      <c r="N438" s="513" t="str">
        <f t="shared" si="28"/>
        <v/>
      </c>
    </row>
    <row r="439" spans="2:14" ht="28" x14ac:dyDescent="0.35">
      <c r="B439" s="379" t="s">
        <v>3</v>
      </c>
      <c r="C439" s="379" t="str">
        <f t="shared" si="29"/>
        <v>All</v>
      </c>
      <c r="D439" s="379"/>
      <c r="E439" s="379" t="s">
        <v>19</v>
      </c>
      <c r="F439" s="379" t="s">
        <v>19</v>
      </c>
      <c r="G439" s="379" t="s">
        <v>303</v>
      </c>
      <c r="H439" s="379" t="s">
        <v>47</v>
      </c>
      <c r="I439" s="802"/>
      <c r="J439" s="486">
        <v>1.5680000000000007</v>
      </c>
      <c r="K439" s="793" t="s">
        <v>44</v>
      </c>
      <c r="L439" s="794" t="s">
        <v>304</v>
      </c>
      <c r="M439" s="798" t="s">
        <v>454</v>
      </c>
      <c r="N439" s="513" t="str">
        <f t="shared" si="28"/>
        <v/>
      </c>
    </row>
    <row r="440" spans="2:14" ht="28" x14ac:dyDescent="0.35">
      <c r="B440" s="379" t="s">
        <v>5</v>
      </c>
      <c r="C440" s="379" t="str">
        <f t="shared" si="29"/>
        <v>All</v>
      </c>
      <c r="D440" s="379"/>
      <c r="E440" s="379" t="s">
        <v>19</v>
      </c>
      <c r="F440" s="379" t="s">
        <v>19</v>
      </c>
      <c r="G440" s="379" t="s">
        <v>303</v>
      </c>
      <c r="H440" s="379" t="s">
        <v>47</v>
      </c>
      <c r="I440" s="802"/>
      <c r="J440" s="486">
        <v>1.0139999999999987</v>
      </c>
      <c r="K440" s="793" t="s">
        <v>44</v>
      </c>
      <c r="L440" s="794" t="s">
        <v>304</v>
      </c>
      <c r="M440" s="798" t="s">
        <v>454</v>
      </c>
      <c r="N440" s="513" t="str">
        <f t="shared" si="28"/>
        <v/>
      </c>
    </row>
    <row r="441" spans="2:14" ht="28" x14ac:dyDescent="0.35">
      <c r="B441" s="379" t="s">
        <v>2</v>
      </c>
      <c r="C441" s="379" t="str">
        <f t="shared" ref="C441:C447" si="30">IF(D441="","All",D441&amp;" "&amp;E441)</f>
        <v>All</v>
      </c>
      <c r="D441" s="379"/>
      <c r="E441" s="379" t="s">
        <v>272</v>
      </c>
      <c r="F441" s="379" t="s">
        <v>272</v>
      </c>
      <c r="G441" s="379" t="s">
        <v>303</v>
      </c>
      <c r="H441" s="379" t="s">
        <v>47</v>
      </c>
      <c r="I441" s="802"/>
      <c r="J441" s="486">
        <v>1.7960000000000009</v>
      </c>
      <c r="K441" s="793" t="s">
        <v>44</v>
      </c>
      <c r="L441" s="794" t="s">
        <v>304</v>
      </c>
      <c r="M441" s="798" t="s">
        <v>454</v>
      </c>
      <c r="N441" s="513" t="str">
        <f t="shared" si="28"/>
        <v/>
      </c>
    </row>
    <row r="442" spans="2:14" ht="28" x14ac:dyDescent="0.35">
      <c r="B442" s="379" t="s">
        <v>4</v>
      </c>
      <c r="C442" s="379" t="str">
        <f t="shared" si="30"/>
        <v>All</v>
      </c>
      <c r="D442" s="379"/>
      <c r="E442" s="379" t="s">
        <v>272</v>
      </c>
      <c r="F442" s="379" t="s">
        <v>272</v>
      </c>
      <c r="G442" s="379" t="s">
        <v>303</v>
      </c>
      <c r="H442" s="379" t="s">
        <v>47</v>
      </c>
      <c r="I442" s="802"/>
      <c r="J442" s="486">
        <v>2.0909999999999997</v>
      </c>
      <c r="K442" s="793" t="s">
        <v>44</v>
      </c>
      <c r="L442" s="794" t="s">
        <v>304</v>
      </c>
      <c r="M442" s="798" t="s">
        <v>454</v>
      </c>
      <c r="N442" s="513" t="str">
        <f t="shared" si="28"/>
        <v/>
      </c>
    </row>
    <row r="443" spans="2:14" ht="28" x14ac:dyDescent="0.35">
      <c r="B443" s="379" t="s">
        <v>0</v>
      </c>
      <c r="C443" s="379" t="str">
        <f t="shared" si="30"/>
        <v>All</v>
      </c>
      <c r="D443" s="379"/>
      <c r="E443" s="379" t="s">
        <v>272</v>
      </c>
      <c r="F443" s="379" t="s">
        <v>272</v>
      </c>
      <c r="G443" s="379" t="s">
        <v>303</v>
      </c>
      <c r="H443" s="379" t="s">
        <v>47</v>
      </c>
      <c r="I443" s="802"/>
      <c r="J443" s="486">
        <v>0.99299999999999788</v>
      </c>
      <c r="K443" s="793" t="s">
        <v>44</v>
      </c>
      <c r="L443" s="794" t="s">
        <v>304</v>
      </c>
      <c r="M443" s="798" t="s">
        <v>454</v>
      </c>
      <c r="N443" s="513" t="str">
        <f t="shared" si="28"/>
        <v/>
      </c>
    </row>
    <row r="444" spans="2:14" ht="28" x14ac:dyDescent="0.35">
      <c r="B444" s="379" t="s">
        <v>3</v>
      </c>
      <c r="C444" s="379" t="str">
        <f t="shared" si="30"/>
        <v>All</v>
      </c>
      <c r="D444" s="379"/>
      <c r="E444" s="379" t="s">
        <v>272</v>
      </c>
      <c r="F444" s="379" t="s">
        <v>272</v>
      </c>
      <c r="G444" s="379" t="s">
        <v>303</v>
      </c>
      <c r="H444" s="379" t="s">
        <v>47</v>
      </c>
      <c r="I444" s="802"/>
      <c r="J444" s="486">
        <v>1.5680000000000007</v>
      </c>
      <c r="K444" s="793" t="s">
        <v>44</v>
      </c>
      <c r="L444" s="794" t="s">
        <v>304</v>
      </c>
      <c r="M444" s="798" t="s">
        <v>454</v>
      </c>
      <c r="N444" s="513" t="str">
        <f t="shared" si="28"/>
        <v/>
      </c>
    </row>
    <row r="445" spans="2:14" ht="28" x14ac:dyDescent="0.35">
      <c r="B445" s="379" t="s">
        <v>5</v>
      </c>
      <c r="C445" s="379" t="str">
        <f t="shared" si="30"/>
        <v>All</v>
      </c>
      <c r="D445" s="379"/>
      <c r="E445" s="379" t="s">
        <v>272</v>
      </c>
      <c r="F445" s="379" t="s">
        <v>272</v>
      </c>
      <c r="G445" s="379" t="s">
        <v>303</v>
      </c>
      <c r="H445" s="379" t="s">
        <v>47</v>
      </c>
      <c r="I445" s="802"/>
      <c r="J445" s="486">
        <v>1.0139999999999987</v>
      </c>
      <c r="K445" s="793" t="s">
        <v>44</v>
      </c>
      <c r="L445" s="794" t="s">
        <v>304</v>
      </c>
      <c r="M445" s="798" t="s">
        <v>454</v>
      </c>
      <c r="N445" s="513" t="str">
        <f t="shared" si="28"/>
        <v/>
      </c>
    </row>
    <row r="446" spans="2:14" ht="28" x14ac:dyDescent="0.35">
      <c r="B446" s="66" t="s">
        <v>2</v>
      </c>
      <c r="C446" s="379" t="str">
        <f t="shared" si="30"/>
        <v>All</v>
      </c>
      <c r="D446" s="379"/>
      <c r="E446" s="379" t="s">
        <v>285</v>
      </c>
      <c r="F446" s="379" t="s">
        <v>14</v>
      </c>
      <c r="G446" s="379" t="s">
        <v>303</v>
      </c>
      <c r="H446" s="379" t="s">
        <v>47</v>
      </c>
      <c r="I446" s="792"/>
      <c r="J446" s="792">
        <v>1.1030000000000002</v>
      </c>
      <c r="K446" s="793" t="s">
        <v>44</v>
      </c>
      <c r="L446" s="794" t="s">
        <v>304</v>
      </c>
      <c r="M446" s="798" t="s">
        <v>454</v>
      </c>
      <c r="N446" s="513" t="str">
        <f t="shared" si="28"/>
        <v/>
      </c>
    </row>
    <row r="447" spans="2:14" ht="28" x14ac:dyDescent="0.35">
      <c r="B447" s="66" t="s">
        <v>2</v>
      </c>
      <c r="C447" s="379" t="str">
        <f t="shared" si="30"/>
        <v>All</v>
      </c>
      <c r="D447" s="379"/>
      <c r="E447" s="379" t="s">
        <v>285</v>
      </c>
      <c r="F447" s="379" t="s">
        <v>15</v>
      </c>
      <c r="G447" s="379" t="s">
        <v>303</v>
      </c>
      <c r="H447" s="379" t="s">
        <v>47</v>
      </c>
      <c r="I447" s="792"/>
      <c r="J447" s="792">
        <v>1.5599999999999996</v>
      </c>
      <c r="K447" s="793" t="s">
        <v>44</v>
      </c>
      <c r="L447" s="794" t="s">
        <v>304</v>
      </c>
      <c r="M447" s="798" t="s">
        <v>454</v>
      </c>
      <c r="N447" s="513" t="str">
        <f t="shared" si="28"/>
        <v/>
      </c>
    </row>
    <row r="448" spans="2:14" ht="28" x14ac:dyDescent="0.35">
      <c r="B448" s="66" t="s">
        <v>4</v>
      </c>
      <c r="C448" s="379" t="str">
        <f t="shared" ref="C448:C449" si="31">IF(D448="","All",D448&amp;" "&amp;E448)</f>
        <v>All</v>
      </c>
      <c r="D448" s="379"/>
      <c r="E448" s="379" t="s">
        <v>285</v>
      </c>
      <c r="F448" s="379" t="s">
        <v>14</v>
      </c>
      <c r="G448" s="379" t="s">
        <v>303</v>
      </c>
      <c r="H448" s="379" t="s">
        <v>47</v>
      </c>
      <c r="I448" s="792"/>
      <c r="J448" s="792">
        <v>1.2310000000000003</v>
      </c>
      <c r="K448" s="793" t="s">
        <v>44</v>
      </c>
      <c r="L448" s="794" t="s">
        <v>304</v>
      </c>
      <c r="M448" s="798" t="s">
        <v>454</v>
      </c>
      <c r="N448" s="513" t="str">
        <f t="shared" si="28"/>
        <v/>
      </c>
    </row>
    <row r="449" spans="2:14" ht="28" x14ac:dyDescent="0.35">
      <c r="B449" s="66" t="s">
        <v>4</v>
      </c>
      <c r="C449" s="379" t="str">
        <f t="shared" si="31"/>
        <v>All</v>
      </c>
      <c r="D449" s="379"/>
      <c r="E449" s="379" t="s">
        <v>285</v>
      </c>
      <c r="F449" s="379" t="s">
        <v>15</v>
      </c>
      <c r="G449" s="379" t="s">
        <v>303</v>
      </c>
      <c r="H449" s="379" t="s">
        <v>47</v>
      </c>
      <c r="I449" s="792"/>
      <c r="J449" s="792">
        <v>1.0310000000000004</v>
      </c>
      <c r="K449" s="793" t="s">
        <v>44</v>
      </c>
      <c r="L449" s="794" t="s">
        <v>304</v>
      </c>
      <c r="M449" s="798" t="s">
        <v>454</v>
      </c>
      <c r="N449" s="513" t="str">
        <f t="shared" si="28"/>
        <v/>
      </c>
    </row>
    <row r="450" spans="2:14" ht="28" x14ac:dyDescent="0.35">
      <c r="B450" s="66" t="s">
        <v>3</v>
      </c>
      <c r="C450" s="379" t="str">
        <f t="shared" ref="C450:C451" si="32">IF(D450="","All",D450&amp;" "&amp;E450)</f>
        <v>All</v>
      </c>
      <c r="D450" s="379"/>
      <c r="E450" s="379" t="s">
        <v>285</v>
      </c>
      <c r="F450" s="379" t="s">
        <v>14</v>
      </c>
      <c r="G450" s="379" t="s">
        <v>303</v>
      </c>
      <c r="H450" s="379" t="s">
        <v>47</v>
      </c>
      <c r="I450" s="792"/>
      <c r="J450" s="792">
        <v>0.85000000000000009</v>
      </c>
      <c r="K450" s="793" t="s">
        <v>44</v>
      </c>
      <c r="L450" s="794" t="s">
        <v>304</v>
      </c>
      <c r="M450" s="798" t="s">
        <v>454</v>
      </c>
      <c r="N450" s="513" t="str">
        <f t="shared" si="28"/>
        <v/>
      </c>
    </row>
    <row r="451" spans="2:14" ht="28" x14ac:dyDescent="0.35">
      <c r="B451" s="66" t="s">
        <v>3</v>
      </c>
      <c r="C451" s="379" t="str">
        <f t="shared" si="32"/>
        <v>All</v>
      </c>
      <c r="D451" s="379"/>
      <c r="E451" s="379" t="s">
        <v>285</v>
      </c>
      <c r="F451" s="379" t="s">
        <v>15</v>
      </c>
      <c r="G451" s="379" t="s">
        <v>303</v>
      </c>
      <c r="H451" s="379" t="s">
        <v>47</v>
      </c>
      <c r="I451" s="792"/>
      <c r="J451" s="792">
        <v>0.85000000000000009</v>
      </c>
      <c r="K451" s="793" t="s">
        <v>44</v>
      </c>
      <c r="L451" s="794" t="s">
        <v>304</v>
      </c>
      <c r="M451" s="798" t="s">
        <v>454</v>
      </c>
      <c r="N451" s="513" t="str">
        <f t="shared" si="28"/>
        <v/>
      </c>
    </row>
    <row r="452" spans="2:14" ht="28" x14ac:dyDescent="0.35">
      <c r="B452" s="66" t="s">
        <v>0</v>
      </c>
      <c r="C452" s="379" t="str">
        <f t="shared" ref="C452:C453" si="33">IF(D452="","All",D452&amp;" "&amp;E452)</f>
        <v>All</v>
      </c>
      <c r="D452" s="379"/>
      <c r="E452" s="379" t="s">
        <v>285</v>
      </c>
      <c r="F452" s="379" t="s">
        <v>14</v>
      </c>
      <c r="G452" s="379" t="s">
        <v>303</v>
      </c>
      <c r="H452" s="379" t="s">
        <v>47</v>
      </c>
      <c r="I452" s="792"/>
      <c r="J452" s="792">
        <v>1.286</v>
      </c>
      <c r="K452" s="793" t="s">
        <v>44</v>
      </c>
      <c r="L452" s="794" t="s">
        <v>304</v>
      </c>
      <c r="M452" s="798" t="s">
        <v>454</v>
      </c>
      <c r="N452" s="513" t="str">
        <f t="shared" ref="N452:N515" si="34">IFERROR(IF(K452="%",J452-I452,J452/I452-1),"")</f>
        <v/>
      </c>
    </row>
    <row r="453" spans="2:14" ht="28" x14ac:dyDescent="0.35">
      <c r="B453" s="66" t="s">
        <v>0</v>
      </c>
      <c r="C453" s="379" t="str">
        <f t="shared" si="33"/>
        <v>All</v>
      </c>
      <c r="D453" s="379"/>
      <c r="E453" s="379" t="s">
        <v>285</v>
      </c>
      <c r="F453" s="379" t="s">
        <v>15</v>
      </c>
      <c r="G453" s="379" t="s">
        <v>303</v>
      </c>
      <c r="H453" s="379" t="s">
        <v>47</v>
      </c>
      <c r="I453" s="792"/>
      <c r="J453" s="792">
        <v>0.98200000000000076</v>
      </c>
      <c r="K453" s="793" t="s">
        <v>44</v>
      </c>
      <c r="L453" s="794" t="s">
        <v>304</v>
      </c>
      <c r="M453" s="798" t="s">
        <v>454</v>
      </c>
      <c r="N453" s="513" t="str">
        <f t="shared" si="34"/>
        <v/>
      </c>
    </row>
    <row r="454" spans="2:14" ht="28" x14ac:dyDescent="0.35">
      <c r="B454" s="66" t="s">
        <v>5</v>
      </c>
      <c r="C454" s="379" t="str">
        <f t="shared" ref="C454" si="35">IF(D454="","All",D454&amp;" "&amp;E454)</f>
        <v>All</v>
      </c>
      <c r="D454" s="379"/>
      <c r="E454" s="379" t="s">
        <v>285</v>
      </c>
      <c r="F454" s="379" t="s">
        <v>14</v>
      </c>
      <c r="G454" s="379" t="s">
        <v>303</v>
      </c>
      <c r="H454" s="379" t="s">
        <v>47</v>
      </c>
      <c r="I454" s="792"/>
      <c r="J454" s="792">
        <v>0.92000000000000037</v>
      </c>
      <c r="K454" s="793" t="s">
        <v>44</v>
      </c>
      <c r="L454" s="794" t="s">
        <v>304</v>
      </c>
      <c r="M454" s="798" t="s">
        <v>454</v>
      </c>
      <c r="N454" s="513" t="str">
        <f t="shared" si="34"/>
        <v/>
      </c>
    </row>
    <row r="455" spans="2:14" x14ac:dyDescent="0.35">
      <c r="B455" s="66" t="s">
        <v>5</v>
      </c>
      <c r="C455" s="379" t="str">
        <f t="shared" ref="C455:C457" si="36">IF(D455="","All",D455&amp;" "&amp;E455)</f>
        <v>Residential controlled load</v>
      </c>
      <c r="D455" s="379" t="s">
        <v>6</v>
      </c>
      <c r="E455" s="379" t="s">
        <v>285</v>
      </c>
      <c r="F455" s="379" t="s">
        <v>307</v>
      </c>
      <c r="G455" s="379" t="s">
        <v>57</v>
      </c>
      <c r="H455" s="379" t="s">
        <v>47</v>
      </c>
      <c r="I455" s="792"/>
      <c r="J455" s="792">
        <f>10.67*10</f>
        <v>106.7</v>
      </c>
      <c r="K455" s="793" t="s">
        <v>44</v>
      </c>
      <c r="L455" s="794" t="s">
        <v>304</v>
      </c>
      <c r="M455" s="794" t="s">
        <v>438</v>
      </c>
      <c r="N455" s="513" t="str">
        <f t="shared" si="34"/>
        <v/>
      </c>
    </row>
    <row r="456" spans="2:14" x14ac:dyDescent="0.35">
      <c r="B456" s="66" t="s">
        <v>5</v>
      </c>
      <c r="C456" s="379" t="str">
        <f t="shared" si="36"/>
        <v>Residential controlled load</v>
      </c>
      <c r="D456" s="379" t="s">
        <v>6</v>
      </c>
      <c r="E456" s="379" t="s">
        <v>285</v>
      </c>
      <c r="F456" s="379" t="s">
        <v>308</v>
      </c>
      <c r="G456" s="379" t="s">
        <v>57</v>
      </c>
      <c r="H456" s="379" t="s">
        <v>47</v>
      </c>
      <c r="I456" s="792"/>
      <c r="J456" s="792">
        <f>21.33*10</f>
        <v>213.29999999999998</v>
      </c>
      <c r="K456" s="793" t="s">
        <v>44</v>
      </c>
      <c r="L456" s="794" t="s">
        <v>304</v>
      </c>
      <c r="M456" s="794" t="s">
        <v>438</v>
      </c>
      <c r="N456" s="513" t="str">
        <f t="shared" si="34"/>
        <v/>
      </c>
    </row>
    <row r="457" spans="2:14" x14ac:dyDescent="0.35">
      <c r="B457" s="66" t="s">
        <v>5</v>
      </c>
      <c r="C457" s="379" t="str">
        <f t="shared" si="36"/>
        <v>Residential controlled load</v>
      </c>
      <c r="D457" s="379" t="s">
        <v>6</v>
      </c>
      <c r="E457" s="379" t="s">
        <v>285</v>
      </c>
      <c r="F457" s="379" t="s">
        <v>309</v>
      </c>
      <c r="G457" s="379" t="s">
        <v>57</v>
      </c>
      <c r="H457" s="379" t="s">
        <v>47</v>
      </c>
      <c r="I457" s="792"/>
      <c r="J457" s="792">
        <f>5.35*10</f>
        <v>53.5</v>
      </c>
      <c r="K457" s="793" t="s">
        <v>44</v>
      </c>
      <c r="L457" s="794" t="s">
        <v>304</v>
      </c>
      <c r="M457" s="794" t="s">
        <v>438</v>
      </c>
      <c r="N457" s="513" t="str">
        <f t="shared" si="34"/>
        <v/>
      </c>
    </row>
    <row r="458" spans="2:14" x14ac:dyDescent="0.35">
      <c r="B458" s="66" t="s">
        <v>5</v>
      </c>
      <c r="C458" s="379" t="str">
        <f t="shared" ref="C458:C484" si="37">IF(D458="","All",D458&amp;" "&amp;E458)</f>
        <v>Residential controlled load</v>
      </c>
      <c r="D458" s="379" t="s">
        <v>6</v>
      </c>
      <c r="E458" s="379" t="s">
        <v>285</v>
      </c>
      <c r="F458" s="379" t="s">
        <v>307</v>
      </c>
      <c r="G458" s="379" t="s">
        <v>245</v>
      </c>
      <c r="H458" s="379" t="s">
        <v>47</v>
      </c>
      <c r="I458" s="792"/>
      <c r="J458" s="796">
        <v>0.5840431572969903</v>
      </c>
      <c r="K458" s="793" t="s">
        <v>44</v>
      </c>
      <c r="L458" s="794" t="s">
        <v>304</v>
      </c>
      <c r="M458" s="798" t="s">
        <v>383</v>
      </c>
      <c r="N458" s="513" t="str">
        <f t="shared" si="34"/>
        <v/>
      </c>
    </row>
    <row r="459" spans="2:14" x14ac:dyDescent="0.35">
      <c r="B459" s="66" t="s">
        <v>5</v>
      </c>
      <c r="C459" s="379" t="str">
        <f t="shared" si="37"/>
        <v>Residential controlled load</v>
      </c>
      <c r="D459" s="379" t="s">
        <v>6</v>
      </c>
      <c r="E459" s="379" t="s">
        <v>285</v>
      </c>
      <c r="F459" s="379" t="s">
        <v>308</v>
      </c>
      <c r="G459" s="379" t="s">
        <v>245</v>
      </c>
      <c r="H459" s="379" t="s">
        <v>47</v>
      </c>
      <c r="I459" s="792"/>
      <c r="J459" s="796">
        <v>0</v>
      </c>
      <c r="K459" s="793" t="s">
        <v>44</v>
      </c>
      <c r="L459" s="794" t="s">
        <v>304</v>
      </c>
      <c r="M459" s="798" t="s">
        <v>383</v>
      </c>
      <c r="N459" s="513" t="str">
        <f t="shared" si="34"/>
        <v/>
      </c>
    </row>
    <row r="460" spans="2:14" x14ac:dyDescent="0.35">
      <c r="B460" s="66" t="s">
        <v>5</v>
      </c>
      <c r="C460" s="379" t="str">
        <f t="shared" si="37"/>
        <v>Residential controlled load</v>
      </c>
      <c r="D460" s="379" t="s">
        <v>6</v>
      </c>
      <c r="E460" s="379" t="s">
        <v>285</v>
      </c>
      <c r="F460" s="379" t="s">
        <v>309</v>
      </c>
      <c r="G460" s="379" t="s">
        <v>245</v>
      </c>
      <c r="H460" s="379" t="s">
        <v>47</v>
      </c>
      <c r="I460" s="792"/>
      <c r="J460" s="796">
        <v>0.41595684270300953</v>
      </c>
      <c r="K460" s="793" t="s">
        <v>44</v>
      </c>
      <c r="L460" s="794" t="s">
        <v>304</v>
      </c>
      <c r="M460" s="798" t="s">
        <v>383</v>
      </c>
      <c r="N460" s="513" t="str">
        <f t="shared" si="34"/>
        <v/>
      </c>
    </row>
    <row r="461" spans="2:14" x14ac:dyDescent="0.35">
      <c r="B461" s="66" t="s">
        <v>2</v>
      </c>
      <c r="C461" s="379" t="str">
        <f t="shared" si="37"/>
        <v>Residential time of use</v>
      </c>
      <c r="D461" s="379" t="s">
        <v>6</v>
      </c>
      <c r="E461" s="379" t="s">
        <v>272</v>
      </c>
      <c r="F461" s="379" t="s">
        <v>279</v>
      </c>
      <c r="G461" s="379" t="s">
        <v>350</v>
      </c>
      <c r="H461" s="379"/>
      <c r="I461" s="792"/>
      <c r="J461" s="782">
        <v>0.65106676885842074</v>
      </c>
      <c r="K461" s="793" t="s">
        <v>27</v>
      </c>
      <c r="L461" s="794" t="s">
        <v>304</v>
      </c>
      <c r="M461" s="798" t="s">
        <v>383</v>
      </c>
      <c r="N461" s="513">
        <f t="shared" si="34"/>
        <v>0.65106676885842074</v>
      </c>
    </row>
    <row r="462" spans="2:14" x14ac:dyDescent="0.35">
      <c r="B462" s="66" t="s">
        <v>2</v>
      </c>
      <c r="C462" s="379" t="str">
        <f t="shared" si="37"/>
        <v>Residential time of use</v>
      </c>
      <c r="D462" s="379" t="s">
        <v>6</v>
      </c>
      <c r="E462" s="379" t="s">
        <v>272</v>
      </c>
      <c r="F462" s="379" t="s">
        <v>278</v>
      </c>
      <c r="G462" s="379" t="s">
        <v>350</v>
      </c>
      <c r="H462" s="379"/>
      <c r="I462" s="792"/>
      <c r="J462" s="783">
        <v>0.22117125546786898</v>
      </c>
      <c r="K462" s="793" t="s">
        <v>27</v>
      </c>
      <c r="L462" s="794" t="s">
        <v>304</v>
      </c>
      <c r="M462" s="798" t="s">
        <v>383</v>
      </c>
      <c r="N462" s="513">
        <f t="shared" si="34"/>
        <v>0.22117125546786898</v>
      </c>
    </row>
    <row r="463" spans="2:14" x14ac:dyDescent="0.35">
      <c r="B463" s="66" t="s">
        <v>2</v>
      </c>
      <c r="C463" s="379" t="str">
        <f t="shared" si="37"/>
        <v>Residential time of use</v>
      </c>
      <c r="D463" s="379" t="s">
        <v>6</v>
      </c>
      <c r="E463" s="379" t="s">
        <v>272</v>
      </c>
      <c r="F463" s="379" t="s">
        <v>345</v>
      </c>
      <c r="G463" s="379" t="s">
        <v>350</v>
      </c>
      <c r="H463" s="379"/>
      <c r="I463" s="792"/>
      <c r="J463" s="782">
        <v>0.12776197567371039</v>
      </c>
      <c r="K463" s="793" t="s">
        <v>27</v>
      </c>
      <c r="L463" s="794" t="s">
        <v>304</v>
      </c>
      <c r="M463" s="798" t="s">
        <v>383</v>
      </c>
      <c r="N463" s="513">
        <f t="shared" si="34"/>
        <v>0.12776197567371039</v>
      </c>
    </row>
    <row r="464" spans="2:14" x14ac:dyDescent="0.35">
      <c r="B464" s="66" t="s">
        <v>4</v>
      </c>
      <c r="C464" s="379" t="str">
        <f t="shared" si="37"/>
        <v>Residential time of use</v>
      </c>
      <c r="D464" s="379" t="s">
        <v>6</v>
      </c>
      <c r="E464" s="379" t="s">
        <v>272</v>
      </c>
      <c r="F464" s="379" t="s">
        <v>279</v>
      </c>
      <c r="G464" s="379" t="s">
        <v>350</v>
      </c>
      <c r="H464" s="379"/>
      <c r="I464" s="792"/>
      <c r="J464" s="782">
        <v>0.66415837530788258</v>
      </c>
      <c r="K464" s="793" t="s">
        <v>27</v>
      </c>
      <c r="L464" s="794" t="s">
        <v>304</v>
      </c>
      <c r="M464" s="798" t="s">
        <v>383</v>
      </c>
      <c r="N464" s="513">
        <f t="shared" si="34"/>
        <v>0.66415837530788258</v>
      </c>
    </row>
    <row r="465" spans="2:14" x14ac:dyDescent="0.35">
      <c r="B465" s="66" t="s">
        <v>4</v>
      </c>
      <c r="C465" s="379" t="str">
        <f t="shared" si="37"/>
        <v>Residential time of use</v>
      </c>
      <c r="D465" s="379" t="s">
        <v>6</v>
      </c>
      <c r="E465" s="379" t="s">
        <v>272</v>
      </c>
      <c r="F465" s="379" t="s">
        <v>278</v>
      </c>
      <c r="G465" s="379" t="s">
        <v>350</v>
      </c>
      <c r="H465" s="379"/>
      <c r="I465" s="792"/>
      <c r="J465" s="782">
        <v>0.16493107367442766</v>
      </c>
      <c r="K465" s="793" t="s">
        <v>27</v>
      </c>
      <c r="L465" s="794" t="s">
        <v>304</v>
      </c>
      <c r="M465" s="798" t="s">
        <v>383</v>
      </c>
      <c r="N465" s="513">
        <f t="shared" si="34"/>
        <v>0.16493107367442766</v>
      </c>
    </row>
    <row r="466" spans="2:14" x14ac:dyDescent="0.35">
      <c r="B466" s="66" t="s">
        <v>4</v>
      </c>
      <c r="C466" s="379" t="str">
        <f t="shared" si="37"/>
        <v>Residential time of use</v>
      </c>
      <c r="D466" s="379" t="s">
        <v>6</v>
      </c>
      <c r="E466" s="379" t="s">
        <v>272</v>
      </c>
      <c r="F466" s="379" t="s">
        <v>282</v>
      </c>
      <c r="G466" s="379" t="s">
        <v>350</v>
      </c>
      <c r="H466" s="379"/>
      <c r="I466" s="792"/>
      <c r="J466" s="782">
        <v>4.1260944298336141E-2</v>
      </c>
      <c r="K466" s="793" t="s">
        <v>27</v>
      </c>
      <c r="L466" s="794" t="s">
        <v>304</v>
      </c>
      <c r="M466" s="798" t="s">
        <v>383</v>
      </c>
      <c r="N466" s="513">
        <f t="shared" si="34"/>
        <v>4.1260944298336141E-2</v>
      </c>
    </row>
    <row r="467" spans="2:14" x14ac:dyDescent="0.35">
      <c r="B467" s="66" t="s">
        <v>4</v>
      </c>
      <c r="C467" s="379" t="str">
        <f t="shared" si="37"/>
        <v>Residential time of use</v>
      </c>
      <c r="D467" s="379" t="s">
        <v>6</v>
      </c>
      <c r="E467" s="379" t="s">
        <v>272</v>
      </c>
      <c r="F467" s="379" t="s">
        <v>345</v>
      </c>
      <c r="G467" s="379" t="s">
        <v>350</v>
      </c>
      <c r="H467" s="379"/>
      <c r="I467" s="792"/>
      <c r="J467" s="782">
        <v>0.12964960671935361</v>
      </c>
      <c r="K467" s="793" t="s">
        <v>27</v>
      </c>
      <c r="L467" s="794" t="s">
        <v>304</v>
      </c>
      <c r="M467" s="798" t="s">
        <v>383</v>
      </c>
      <c r="N467" s="513">
        <f t="shared" si="34"/>
        <v>0.12964960671935361</v>
      </c>
    </row>
    <row r="468" spans="2:14" x14ac:dyDescent="0.35">
      <c r="B468" s="66" t="s">
        <v>3</v>
      </c>
      <c r="C468" s="379" t="str">
        <f t="shared" si="37"/>
        <v>Residential time of use</v>
      </c>
      <c r="D468" s="379" t="s">
        <v>6</v>
      </c>
      <c r="E468" s="379" t="s">
        <v>272</v>
      </c>
      <c r="F468" s="379" t="s">
        <v>279</v>
      </c>
      <c r="G468" s="379" t="s">
        <v>350</v>
      </c>
      <c r="H468" s="379"/>
      <c r="I468" s="792"/>
      <c r="J468" s="782">
        <v>0.36043991562684041</v>
      </c>
      <c r="K468" s="793" t="s">
        <v>27</v>
      </c>
      <c r="L468" s="794" t="s">
        <v>304</v>
      </c>
      <c r="M468" s="798" t="s">
        <v>383</v>
      </c>
      <c r="N468" s="513">
        <f t="shared" si="34"/>
        <v>0.36043991562684041</v>
      </c>
    </row>
    <row r="469" spans="2:14" x14ac:dyDescent="0.35">
      <c r="B469" s="66" t="s">
        <v>3</v>
      </c>
      <c r="C469" s="379" t="str">
        <f t="shared" si="37"/>
        <v>Residential time of use</v>
      </c>
      <c r="D469" s="379" t="s">
        <v>6</v>
      </c>
      <c r="E469" s="379" t="s">
        <v>272</v>
      </c>
      <c r="F469" s="379" t="s">
        <v>278</v>
      </c>
      <c r="G469" s="379" t="s">
        <v>350</v>
      </c>
      <c r="H469" s="379"/>
      <c r="I469" s="792"/>
      <c r="J469" s="782">
        <v>0.51450570449713506</v>
      </c>
      <c r="K469" s="793" t="s">
        <v>27</v>
      </c>
      <c r="L469" s="794" t="s">
        <v>304</v>
      </c>
      <c r="M469" s="798" t="s">
        <v>383</v>
      </c>
      <c r="N469" s="513">
        <f t="shared" si="34"/>
        <v>0.51450570449713506</v>
      </c>
    </row>
    <row r="470" spans="2:14" x14ac:dyDescent="0.35">
      <c r="B470" s="66" t="s">
        <v>3</v>
      </c>
      <c r="C470" s="379" t="str">
        <f t="shared" si="37"/>
        <v>Residential time of use</v>
      </c>
      <c r="D470" s="379" t="s">
        <v>6</v>
      </c>
      <c r="E470" s="379" t="s">
        <v>272</v>
      </c>
      <c r="F470" s="379" t="s">
        <v>283</v>
      </c>
      <c r="G470" s="379" t="s">
        <v>350</v>
      </c>
      <c r="H470" s="379"/>
      <c r="I470" s="792"/>
      <c r="J470" s="782">
        <v>0</v>
      </c>
      <c r="K470" s="793" t="s">
        <v>27</v>
      </c>
      <c r="L470" s="794" t="s">
        <v>304</v>
      </c>
      <c r="M470" s="798" t="s">
        <v>383</v>
      </c>
      <c r="N470" s="513">
        <f t="shared" si="34"/>
        <v>0</v>
      </c>
    </row>
    <row r="471" spans="2:14" x14ac:dyDescent="0.35">
      <c r="B471" s="66" t="s">
        <v>3</v>
      </c>
      <c r="C471" s="379" t="str">
        <f t="shared" si="37"/>
        <v>Residential time of use</v>
      </c>
      <c r="D471" s="379" t="s">
        <v>6</v>
      </c>
      <c r="E471" s="379" t="s">
        <v>272</v>
      </c>
      <c r="F471" s="379" t="s">
        <v>345</v>
      </c>
      <c r="G471" s="379" t="s">
        <v>350</v>
      </c>
      <c r="H471" s="379"/>
      <c r="I471" s="792"/>
      <c r="J471" s="782">
        <v>0.12505437987602458</v>
      </c>
      <c r="K471" s="793" t="s">
        <v>27</v>
      </c>
      <c r="L471" s="794" t="s">
        <v>304</v>
      </c>
      <c r="M471" s="798" t="s">
        <v>383</v>
      </c>
      <c r="N471" s="513">
        <f t="shared" si="34"/>
        <v>0.12505437987602458</v>
      </c>
    </row>
    <row r="472" spans="2:14" x14ac:dyDescent="0.35">
      <c r="B472" s="66" t="s">
        <v>0</v>
      </c>
      <c r="C472" s="379" t="str">
        <f t="shared" si="37"/>
        <v>Residential time of use</v>
      </c>
      <c r="D472" s="379" t="s">
        <v>6</v>
      </c>
      <c r="E472" s="379" t="s">
        <v>272</v>
      </c>
      <c r="F472" s="379" t="s">
        <v>279</v>
      </c>
      <c r="G472" s="379" t="s">
        <v>350</v>
      </c>
      <c r="H472" s="379"/>
      <c r="I472" s="792"/>
      <c r="J472" s="782">
        <v>9.8234700959326418E-2</v>
      </c>
      <c r="K472" s="793" t="s">
        <v>27</v>
      </c>
      <c r="L472" s="794" t="s">
        <v>304</v>
      </c>
      <c r="M472" s="798" t="s">
        <v>383</v>
      </c>
      <c r="N472" s="513">
        <f t="shared" si="34"/>
        <v>9.8234700959326418E-2</v>
      </c>
    </row>
    <row r="473" spans="2:14" x14ac:dyDescent="0.35">
      <c r="B473" s="66" t="s">
        <v>0</v>
      </c>
      <c r="C473" s="379" t="str">
        <f t="shared" si="37"/>
        <v>Residential time of use</v>
      </c>
      <c r="D473" s="379" t="s">
        <v>6</v>
      </c>
      <c r="E473" s="379" t="s">
        <v>272</v>
      </c>
      <c r="F473" s="379" t="s">
        <v>278</v>
      </c>
      <c r="G473" s="379" t="s">
        <v>350</v>
      </c>
      <c r="H473" s="379"/>
      <c r="I473" s="792"/>
      <c r="J473" s="782">
        <v>0.28980189259271599</v>
      </c>
      <c r="K473" s="793" t="s">
        <v>27</v>
      </c>
      <c r="L473" s="794" t="s">
        <v>304</v>
      </c>
      <c r="M473" s="798" t="s">
        <v>383</v>
      </c>
      <c r="N473" s="513">
        <f t="shared" si="34"/>
        <v>0.28980189259271599</v>
      </c>
    </row>
    <row r="474" spans="2:14" x14ac:dyDescent="0.35">
      <c r="B474" s="66" t="s">
        <v>0</v>
      </c>
      <c r="C474" s="379" t="str">
        <f t="shared" si="37"/>
        <v>Residential time of use</v>
      </c>
      <c r="D474" s="379" t="s">
        <v>6</v>
      </c>
      <c r="E474" s="379" t="s">
        <v>272</v>
      </c>
      <c r="F474" s="379" t="s">
        <v>283</v>
      </c>
      <c r="G474" s="379" t="s">
        <v>350</v>
      </c>
      <c r="H474" s="379"/>
      <c r="I474" s="792"/>
      <c r="J474" s="782">
        <v>0.47417389853717345</v>
      </c>
      <c r="K474" s="793" t="s">
        <v>27</v>
      </c>
      <c r="L474" s="794" t="s">
        <v>304</v>
      </c>
      <c r="M474" s="798" t="s">
        <v>383</v>
      </c>
      <c r="N474" s="513">
        <f t="shared" si="34"/>
        <v>0.47417389853717345</v>
      </c>
    </row>
    <row r="475" spans="2:14" x14ac:dyDescent="0.35">
      <c r="B475" s="66" t="s">
        <v>0</v>
      </c>
      <c r="C475" s="379" t="str">
        <f t="shared" si="37"/>
        <v>Residential time of use</v>
      </c>
      <c r="D475" s="379" t="s">
        <v>6</v>
      </c>
      <c r="E475" s="379" t="s">
        <v>272</v>
      </c>
      <c r="F475" s="379" t="s">
        <v>345</v>
      </c>
      <c r="G475" s="379" t="s">
        <v>350</v>
      </c>
      <c r="H475" s="379"/>
      <c r="I475" s="792"/>
      <c r="J475" s="782">
        <v>0.13778950791078404</v>
      </c>
      <c r="K475" s="793" t="s">
        <v>27</v>
      </c>
      <c r="L475" s="794" t="s">
        <v>304</v>
      </c>
      <c r="M475" s="798" t="s">
        <v>383</v>
      </c>
      <c r="N475" s="513">
        <f t="shared" si="34"/>
        <v>0.13778950791078404</v>
      </c>
    </row>
    <row r="476" spans="2:14" x14ac:dyDescent="0.35">
      <c r="B476" s="66" t="s">
        <v>5</v>
      </c>
      <c r="C476" s="379" t="str">
        <f t="shared" si="37"/>
        <v>Residential time of use</v>
      </c>
      <c r="D476" s="379" t="s">
        <v>6</v>
      </c>
      <c r="E476" s="379" t="s">
        <v>272</v>
      </c>
      <c r="F476" s="379" t="s">
        <v>279</v>
      </c>
      <c r="G476" s="379" t="s">
        <v>350</v>
      </c>
      <c r="H476" s="379"/>
      <c r="I476" s="792"/>
      <c r="J476" s="782">
        <v>0.21245978569430815</v>
      </c>
      <c r="K476" s="793" t="s">
        <v>27</v>
      </c>
      <c r="L476" s="794" t="s">
        <v>304</v>
      </c>
      <c r="M476" s="798" t="s">
        <v>383</v>
      </c>
      <c r="N476" s="513">
        <f t="shared" si="34"/>
        <v>0.21245978569430815</v>
      </c>
    </row>
    <row r="477" spans="2:14" x14ac:dyDescent="0.35">
      <c r="B477" s="66" t="s">
        <v>5</v>
      </c>
      <c r="C477" s="379" t="str">
        <f t="shared" si="37"/>
        <v>Residential time of use</v>
      </c>
      <c r="D477" s="379" t="s">
        <v>6</v>
      </c>
      <c r="E477" s="379" t="s">
        <v>272</v>
      </c>
      <c r="F477" s="379" t="s">
        <v>278</v>
      </c>
      <c r="G477" s="379" t="s">
        <v>350</v>
      </c>
      <c r="H477" s="379"/>
      <c r="I477" s="792"/>
      <c r="J477" s="782">
        <v>0.51366103865865786</v>
      </c>
      <c r="K477" s="793" t="s">
        <v>27</v>
      </c>
      <c r="L477" s="794" t="s">
        <v>304</v>
      </c>
      <c r="M477" s="798" t="s">
        <v>383</v>
      </c>
      <c r="N477" s="513">
        <f t="shared" si="34"/>
        <v>0.51366103865865786</v>
      </c>
    </row>
    <row r="478" spans="2:14" x14ac:dyDescent="0.35">
      <c r="B478" s="66" t="s">
        <v>5</v>
      </c>
      <c r="C478" s="379" t="str">
        <f t="shared" si="37"/>
        <v>Residential time of use</v>
      </c>
      <c r="D478" s="379" t="s">
        <v>6</v>
      </c>
      <c r="E478" s="379" t="s">
        <v>272</v>
      </c>
      <c r="F478" s="379" t="s">
        <v>284</v>
      </c>
      <c r="G478" s="379" t="s">
        <v>350</v>
      </c>
      <c r="H478" s="379"/>
      <c r="I478" s="792"/>
      <c r="J478" s="782">
        <v>0.14062758075617568</v>
      </c>
      <c r="K478" s="793" t="s">
        <v>27</v>
      </c>
      <c r="L478" s="794" t="s">
        <v>304</v>
      </c>
      <c r="M478" s="798" t="s">
        <v>383</v>
      </c>
      <c r="N478" s="513">
        <f t="shared" si="34"/>
        <v>0.14062758075617568</v>
      </c>
    </row>
    <row r="479" spans="2:14" x14ac:dyDescent="0.35">
      <c r="B479" s="66" t="s">
        <v>5</v>
      </c>
      <c r="C479" s="379" t="str">
        <f t="shared" si="37"/>
        <v>Residential time of use</v>
      </c>
      <c r="D479" s="379" t="s">
        <v>6</v>
      </c>
      <c r="E479" s="379" t="s">
        <v>272</v>
      </c>
      <c r="F479" s="379" t="s">
        <v>345</v>
      </c>
      <c r="G479" s="379" t="s">
        <v>350</v>
      </c>
      <c r="H479" s="379"/>
      <c r="I479" s="792"/>
      <c r="J479" s="782">
        <v>0.13325159489085836</v>
      </c>
      <c r="K479" s="793" t="s">
        <v>27</v>
      </c>
      <c r="L479" s="794" t="s">
        <v>304</v>
      </c>
      <c r="M479" s="798" t="s">
        <v>383</v>
      </c>
      <c r="N479" s="513">
        <f t="shared" si="34"/>
        <v>0.13325159489085836</v>
      </c>
    </row>
    <row r="480" spans="2:14" x14ac:dyDescent="0.35">
      <c r="B480" s="66" t="s">
        <v>2</v>
      </c>
      <c r="C480" s="379" t="str">
        <f t="shared" si="37"/>
        <v>Residential time of use</v>
      </c>
      <c r="D480" s="379" t="s">
        <v>6</v>
      </c>
      <c r="E480" s="379" t="s">
        <v>272</v>
      </c>
      <c r="F480" s="379" t="s">
        <v>345</v>
      </c>
      <c r="G480" s="379" t="s">
        <v>351</v>
      </c>
      <c r="H480" s="379"/>
      <c r="I480" s="792"/>
      <c r="J480" s="486">
        <v>0</v>
      </c>
      <c r="K480" s="793" t="s">
        <v>25</v>
      </c>
      <c r="L480" s="794" t="s">
        <v>304</v>
      </c>
      <c r="M480" s="794" t="s">
        <v>448</v>
      </c>
      <c r="N480" s="513" t="str">
        <f t="shared" si="34"/>
        <v/>
      </c>
    </row>
    <row r="481" spans="2:14" x14ac:dyDescent="0.35">
      <c r="B481" s="66" t="s">
        <v>4</v>
      </c>
      <c r="C481" s="379" t="str">
        <f t="shared" si="37"/>
        <v>Residential time of use</v>
      </c>
      <c r="D481" s="379" t="s">
        <v>6</v>
      </c>
      <c r="E481" s="379" t="s">
        <v>272</v>
      </c>
      <c r="F481" s="379" t="s">
        <v>345</v>
      </c>
      <c r="G481" s="379" t="s">
        <v>351</v>
      </c>
      <c r="H481" s="379"/>
      <c r="I481" s="792"/>
      <c r="J481" s="486">
        <v>0</v>
      </c>
      <c r="K481" s="793" t="s">
        <v>25</v>
      </c>
      <c r="L481" s="794" t="s">
        <v>304</v>
      </c>
      <c r="M481" s="794" t="s">
        <v>448</v>
      </c>
      <c r="N481" s="513" t="str">
        <f t="shared" si="34"/>
        <v/>
      </c>
    </row>
    <row r="482" spans="2:14" x14ac:dyDescent="0.35">
      <c r="B482" s="66" t="s">
        <v>3</v>
      </c>
      <c r="C482" s="379" t="str">
        <f t="shared" si="37"/>
        <v>Residential time of use</v>
      </c>
      <c r="D482" s="379" t="s">
        <v>6</v>
      </c>
      <c r="E482" s="379" t="s">
        <v>272</v>
      </c>
      <c r="F482" s="379" t="s">
        <v>345</v>
      </c>
      <c r="G482" s="379" t="s">
        <v>351</v>
      </c>
      <c r="H482" s="379"/>
      <c r="I482" s="792"/>
      <c r="J482" s="486">
        <v>0</v>
      </c>
      <c r="K482" s="793" t="s">
        <v>25</v>
      </c>
      <c r="L482" s="794" t="s">
        <v>304</v>
      </c>
      <c r="M482" s="794" t="s">
        <v>448</v>
      </c>
      <c r="N482" s="513" t="str">
        <f t="shared" si="34"/>
        <v/>
      </c>
    </row>
    <row r="483" spans="2:14" x14ac:dyDescent="0.35">
      <c r="B483" s="66" t="s">
        <v>0</v>
      </c>
      <c r="C483" s="379" t="str">
        <f t="shared" si="37"/>
        <v>Residential time of use</v>
      </c>
      <c r="D483" s="379" t="s">
        <v>6</v>
      </c>
      <c r="E483" s="379" t="s">
        <v>272</v>
      </c>
      <c r="F483" s="379" t="s">
        <v>345</v>
      </c>
      <c r="G483" s="379" t="s">
        <v>351</v>
      </c>
      <c r="H483" s="379"/>
      <c r="I483" s="792"/>
      <c r="J483" s="486">
        <v>0</v>
      </c>
      <c r="K483" s="793" t="s">
        <v>25</v>
      </c>
      <c r="L483" s="794" t="s">
        <v>304</v>
      </c>
      <c r="M483" s="794" t="s">
        <v>448</v>
      </c>
      <c r="N483" s="513" t="str">
        <f t="shared" si="34"/>
        <v/>
      </c>
    </row>
    <row r="484" spans="2:14" x14ac:dyDescent="0.35">
      <c r="B484" s="66" t="s">
        <v>5</v>
      </c>
      <c r="C484" s="379" t="str">
        <f t="shared" si="37"/>
        <v>Residential time of use</v>
      </c>
      <c r="D484" s="379" t="s">
        <v>6</v>
      </c>
      <c r="E484" s="379" t="s">
        <v>272</v>
      </c>
      <c r="F484" s="379" t="s">
        <v>345</v>
      </c>
      <c r="G484" s="379" t="s">
        <v>351</v>
      </c>
      <c r="H484" s="379"/>
      <c r="I484" s="792"/>
      <c r="J484" s="486">
        <v>0</v>
      </c>
      <c r="K484" s="793" t="s">
        <v>25</v>
      </c>
      <c r="L484" s="794" t="s">
        <v>304</v>
      </c>
      <c r="M484" s="794" t="s">
        <v>448</v>
      </c>
      <c r="N484" s="513" t="str">
        <f t="shared" si="34"/>
        <v/>
      </c>
    </row>
    <row r="485" spans="2:14" x14ac:dyDescent="0.35">
      <c r="B485" s="66" t="s">
        <v>2</v>
      </c>
      <c r="C485" s="379" t="s">
        <v>258</v>
      </c>
      <c r="D485" s="379" t="s">
        <v>6</v>
      </c>
      <c r="E485" s="379" t="s">
        <v>272</v>
      </c>
      <c r="F485" s="379" t="s">
        <v>272</v>
      </c>
      <c r="G485" s="379" t="s">
        <v>352</v>
      </c>
      <c r="H485" s="379"/>
      <c r="I485" s="792"/>
      <c r="J485" s="518">
        <v>3900</v>
      </c>
      <c r="K485" s="793" t="s">
        <v>25</v>
      </c>
      <c r="L485" s="794" t="s">
        <v>304</v>
      </c>
      <c r="M485" s="794" t="s">
        <v>448</v>
      </c>
      <c r="N485" s="513" t="str">
        <f t="shared" si="34"/>
        <v/>
      </c>
    </row>
    <row r="486" spans="2:14" x14ac:dyDescent="0.35">
      <c r="B486" s="66" t="s">
        <v>4</v>
      </c>
      <c r="C486" s="379" t="s">
        <v>258</v>
      </c>
      <c r="D486" s="379" t="s">
        <v>6</v>
      </c>
      <c r="E486" s="379" t="s">
        <v>272</v>
      </c>
      <c r="F486" s="379" t="s">
        <v>272</v>
      </c>
      <c r="G486" s="379" t="s">
        <v>352</v>
      </c>
      <c r="H486" s="379"/>
      <c r="I486" s="792"/>
      <c r="J486" s="809">
        <v>4900</v>
      </c>
      <c r="K486" s="793" t="s">
        <v>25</v>
      </c>
      <c r="L486" s="794" t="s">
        <v>304</v>
      </c>
      <c r="M486" s="794" t="s">
        <v>448</v>
      </c>
      <c r="N486" s="513" t="str">
        <f t="shared" si="34"/>
        <v/>
      </c>
    </row>
    <row r="487" spans="2:14" x14ac:dyDescent="0.35">
      <c r="B487" s="66" t="s">
        <v>0</v>
      </c>
      <c r="C487" s="379" t="s">
        <v>258</v>
      </c>
      <c r="D487" s="379" t="s">
        <v>6</v>
      </c>
      <c r="E487" s="379" t="s">
        <v>272</v>
      </c>
      <c r="F487" s="379" t="s">
        <v>272</v>
      </c>
      <c r="G487" s="379" t="s">
        <v>352</v>
      </c>
      <c r="H487" s="379"/>
      <c r="I487" s="792"/>
      <c r="J487" s="518">
        <v>4600</v>
      </c>
      <c r="K487" s="793" t="s">
        <v>25</v>
      </c>
      <c r="L487" s="794" t="s">
        <v>304</v>
      </c>
      <c r="M487" s="794" t="s">
        <v>448</v>
      </c>
      <c r="N487" s="513" t="str">
        <f t="shared" si="34"/>
        <v/>
      </c>
    </row>
    <row r="488" spans="2:14" x14ac:dyDescent="0.35">
      <c r="B488" s="66" t="s">
        <v>3</v>
      </c>
      <c r="C488" s="379" t="s">
        <v>258</v>
      </c>
      <c r="D488" s="379" t="s">
        <v>6</v>
      </c>
      <c r="E488" s="379" t="s">
        <v>272</v>
      </c>
      <c r="F488" s="379" t="s">
        <v>272</v>
      </c>
      <c r="G488" s="379" t="s">
        <v>352</v>
      </c>
      <c r="H488" s="379"/>
      <c r="I488" s="792"/>
      <c r="J488" s="809">
        <v>4600</v>
      </c>
      <c r="K488" s="793" t="s">
        <v>25</v>
      </c>
      <c r="L488" s="794" t="s">
        <v>304</v>
      </c>
      <c r="M488" s="794" t="s">
        <v>448</v>
      </c>
      <c r="N488" s="513" t="str">
        <f t="shared" si="34"/>
        <v/>
      </c>
    </row>
    <row r="489" spans="2:14" x14ac:dyDescent="0.35">
      <c r="B489" s="30" t="s">
        <v>5</v>
      </c>
      <c r="C489" s="511" t="s">
        <v>258</v>
      </c>
      <c r="D489" s="379" t="s">
        <v>6</v>
      </c>
      <c r="E489" s="379" t="s">
        <v>272</v>
      </c>
      <c r="F489" s="379" t="s">
        <v>272</v>
      </c>
      <c r="G489" s="379" t="s">
        <v>352</v>
      </c>
      <c r="H489" s="344"/>
      <c r="I489" s="379"/>
      <c r="J489" s="518">
        <v>4000</v>
      </c>
      <c r="K489" s="793" t="s">
        <v>25</v>
      </c>
      <c r="L489" s="794" t="s">
        <v>304</v>
      </c>
      <c r="M489" s="794" t="s">
        <v>448</v>
      </c>
      <c r="N489" s="513" t="str">
        <f t="shared" si="34"/>
        <v/>
      </c>
    </row>
    <row r="490" spans="2:14" x14ac:dyDescent="0.35">
      <c r="B490" s="66" t="s">
        <v>2</v>
      </c>
      <c r="C490" s="379" t="str">
        <f t="shared" ref="C490:C515" si="38">IF(D490="","All",D490&amp;" "&amp;E490)</f>
        <v>Residential blended</v>
      </c>
      <c r="D490" s="379" t="s">
        <v>6</v>
      </c>
      <c r="E490" s="379" t="s">
        <v>400</v>
      </c>
      <c r="F490" s="379" t="s">
        <v>19</v>
      </c>
      <c r="G490" s="379" t="s">
        <v>397</v>
      </c>
      <c r="H490" s="379" t="s">
        <v>398</v>
      </c>
      <c r="I490" s="792"/>
      <c r="J490" s="796">
        <v>0.70291596606019568</v>
      </c>
      <c r="K490" s="793" t="s">
        <v>27</v>
      </c>
      <c r="L490" s="794" t="s">
        <v>304</v>
      </c>
      <c r="M490" s="800" t="s">
        <v>453</v>
      </c>
      <c r="N490" s="513">
        <f t="shared" si="34"/>
        <v>0.70291596606019568</v>
      </c>
    </row>
    <row r="491" spans="2:14" x14ac:dyDescent="0.35">
      <c r="B491" s="66" t="s">
        <v>2</v>
      </c>
      <c r="C491" s="379" t="str">
        <f t="shared" si="38"/>
        <v>Residential blended</v>
      </c>
      <c r="D491" s="379" t="s">
        <v>6</v>
      </c>
      <c r="E491" s="379" t="s">
        <v>400</v>
      </c>
      <c r="F491" s="379" t="s">
        <v>272</v>
      </c>
      <c r="G491" s="379" t="s">
        <v>397</v>
      </c>
      <c r="H491" s="379" t="s">
        <v>399</v>
      </c>
      <c r="I491" s="792"/>
      <c r="J491" s="796">
        <v>0.29708403393980432</v>
      </c>
      <c r="K491" s="793" t="s">
        <v>27</v>
      </c>
      <c r="L491" s="794" t="s">
        <v>304</v>
      </c>
      <c r="M491" s="800" t="s">
        <v>453</v>
      </c>
      <c r="N491" s="513">
        <f t="shared" si="34"/>
        <v>0.29708403393980432</v>
      </c>
    </row>
    <row r="492" spans="2:14" x14ac:dyDescent="0.35">
      <c r="B492" s="66" t="s">
        <v>4</v>
      </c>
      <c r="C492" s="379" t="str">
        <f t="shared" si="38"/>
        <v>Residential blended</v>
      </c>
      <c r="D492" s="379" t="s">
        <v>6</v>
      </c>
      <c r="E492" s="379" t="s">
        <v>400</v>
      </c>
      <c r="F492" s="379" t="s">
        <v>19</v>
      </c>
      <c r="G492" s="379" t="s">
        <v>397</v>
      </c>
      <c r="H492" s="379" t="s">
        <v>398</v>
      </c>
      <c r="I492" s="792"/>
      <c r="J492" s="796">
        <v>0.36816194748633774</v>
      </c>
      <c r="K492" s="793" t="s">
        <v>27</v>
      </c>
      <c r="L492" s="794" t="s">
        <v>304</v>
      </c>
      <c r="M492" s="800" t="s">
        <v>453</v>
      </c>
      <c r="N492" s="513">
        <f t="shared" si="34"/>
        <v>0.36816194748633774</v>
      </c>
    </row>
    <row r="493" spans="2:14" x14ac:dyDescent="0.35">
      <c r="B493" s="66" t="s">
        <v>4</v>
      </c>
      <c r="C493" s="379" t="str">
        <f t="shared" si="38"/>
        <v>Residential blended</v>
      </c>
      <c r="D493" s="379" t="s">
        <v>6</v>
      </c>
      <c r="E493" s="379" t="s">
        <v>400</v>
      </c>
      <c r="F493" s="379" t="s">
        <v>272</v>
      </c>
      <c r="G493" s="379" t="s">
        <v>397</v>
      </c>
      <c r="H493" s="379" t="s">
        <v>399</v>
      </c>
      <c r="I493" s="792"/>
      <c r="J493" s="796">
        <v>0.63183805251366232</v>
      </c>
      <c r="K493" s="793" t="s">
        <v>27</v>
      </c>
      <c r="L493" s="794" t="s">
        <v>304</v>
      </c>
      <c r="M493" s="800" t="s">
        <v>453</v>
      </c>
      <c r="N493" s="513">
        <f t="shared" si="34"/>
        <v>0.63183805251366232</v>
      </c>
    </row>
    <row r="494" spans="2:14" x14ac:dyDescent="0.35">
      <c r="B494" s="66" t="s">
        <v>3</v>
      </c>
      <c r="C494" s="379" t="str">
        <f t="shared" si="38"/>
        <v>Residential blended</v>
      </c>
      <c r="D494" s="379" t="s">
        <v>6</v>
      </c>
      <c r="E494" s="379" t="s">
        <v>400</v>
      </c>
      <c r="F494" s="379" t="s">
        <v>19</v>
      </c>
      <c r="G494" s="379" t="s">
        <v>397</v>
      </c>
      <c r="H494" s="379" t="s">
        <v>398</v>
      </c>
      <c r="I494" s="792"/>
      <c r="J494" s="796">
        <v>0.61579301931838215</v>
      </c>
      <c r="K494" s="793" t="s">
        <v>27</v>
      </c>
      <c r="L494" s="794" t="s">
        <v>304</v>
      </c>
      <c r="M494" s="800" t="s">
        <v>453</v>
      </c>
      <c r="N494" s="513">
        <f t="shared" si="34"/>
        <v>0.61579301931838215</v>
      </c>
    </row>
    <row r="495" spans="2:14" x14ac:dyDescent="0.35">
      <c r="B495" s="66" t="s">
        <v>3</v>
      </c>
      <c r="C495" s="379" t="str">
        <f t="shared" si="38"/>
        <v>Residential blended</v>
      </c>
      <c r="D495" s="379" t="s">
        <v>6</v>
      </c>
      <c r="E495" s="379" t="s">
        <v>400</v>
      </c>
      <c r="F495" s="379" t="s">
        <v>272</v>
      </c>
      <c r="G495" s="379" t="s">
        <v>397</v>
      </c>
      <c r="H495" s="379" t="s">
        <v>399</v>
      </c>
      <c r="I495" s="792"/>
      <c r="J495" s="796">
        <v>0.38420698068161785</v>
      </c>
      <c r="K495" s="793" t="s">
        <v>27</v>
      </c>
      <c r="L495" s="794" t="s">
        <v>304</v>
      </c>
      <c r="M495" s="800" t="s">
        <v>453</v>
      </c>
      <c r="N495" s="513">
        <f t="shared" si="34"/>
        <v>0.38420698068161785</v>
      </c>
    </row>
    <row r="496" spans="2:14" x14ac:dyDescent="0.35">
      <c r="B496" s="66" t="s">
        <v>0</v>
      </c>
      <c r="C496" s="379" t="str">
        <f t="shared" si="38"/>
        <v>Residential blended</v>
      </c>
      <c r="D496" s="379" t="s">
        <v>6</v>
      </c>
      <c r="E496" s="379" t="s">
        <v>400</v>
      </c>
      <c r="F496" s="379" t="s">
        <v>19</v>
      </c>
      <c r="G496" s="379" t="s">
        <v>397</v>
      </c>
      <c r="H496" s="379" t="s">
        <v>398</v>
      </c>
      <c r="I496" s="792"/>
      <c r="J496" s="796">
        <v>0.55012775528355118</v>
      </c>
      <c r="K496" s="793" t="s">
        <v>27</v>
      </c>
      <c r="L496" s="794" t="s">
        <v>304</v>
      </c>
      <c r="M496" s="800" t="s">
        <v>453</v>
      </c>
      <c r="N496" s="513">
        <f t="shared" si="34"/>
        <v>0.55012775528355118</v>
      </c>
    </row>
    <row r="497" spans="2:14" x14ac:dyDescent="0.35">
      <c r="B497" s="66" t="s">
        <v>0</v>
      </c>
      <c r="C497" s="379" t="str">
        <f t="shared" si="38"/>
        <v>Residential blended</v>
      </c>
      <c r="D497" s="379" t="s">
        <v>6</v>
      </c>
      <c r="E497" s="379" t="s">
        <v>400</v>
      </c>
      <c r="F497" s="379" t="s">
        <v>272</v>
      </c>
      <c r="G497" s="379" t="s">
        <v>397</v>
      </c>
      <c r="H497" s="379" t="s">
        <v>399</v>
      </c>
      <c r="I497" s="792"/>
      <c r="J497" s="796">
        <v>0.44987224471644882</v>
      </c>
      <c r="K497" s="793" t="s">
        <v>27</v>
      </c>
      <c r="L497" s="794" t="s">
        <v>304</v>
      </c>
      <c r="M497" s="800" t="s">
        <v>453</v>
      </c>
      <c r="N497" s="513">
        <f t="shared" si="34"/>
        <v>0.44987224471644882</v>
      </c>
    </row>
    <row r="498" spans="2:14" x14ac:dyDescent="0.35">
      <c r="B498" s="66" t="s">
        <v>5</v>
      </c>
      <c r="C498" s="379" t="str">
        <f t="shared" si="38"/>
        <v>Residential blended</v>
      </c>
      <c r="D498" s="379" t="s">
        <v>6</v>
      </c>
      <c r="E498" s="379" t="s">
        <v>400</v>
      </c>
      <c r="F498" s="379" t="s">
        <v>19</v>
      </c>
      <c r="G498" s="379" t="s">
        <v>397</v>
      </c>
      <c r="H498" s="379" t="s">
        <v>398</v>
      </c>
      <c r="I498" s="792"/>
      <c r="J498" s="796">
        <v>0.74924849572267083</v>
      </c>
      <c r="K498" s="793" t="s">
        <v>27</v>
      </c>
      <c r="L498" s="794" t="s">
        <v>304</v>
      </c>
      <c r="M498" s="800" t="s">
        <v>453</v>
      </c>
      <c r="N498" s="513">
        <f t="shared" si="34"/>
        <v>0.74924849572267083</v>
      </c>
    </row>
    <row r="499" spans="2:14" x14ac:dyDescent="0.35">
      <c r="B499" s="66" t="s">
        <v>5</v>
      </c>
      <c r="C499" s="379" t="str">
        <f t="shared" si="38"/>
        <v>Residential blended</v>
      </c>
      <c r="D499" s="379" t="s">
        <v>6</v>
      </c>
      <c r="E499" s="379" t="s">
        <v>400</v>
      </c>
      <c r="F499" s="379" t="s">
        <v>272</v>
      </c>
      <c r="G499" s="379" t="s">
        <v>397</v>
      </c>
      <c r="H499" s="379" t="s">
        <v>399</v>
      </c>
      <c r="I499" s="792"/>
      <c r="J499" s="796">
        <v>0.25075150427732923</v>
      </c>
      <c r="K499" s="793" t="s">
        <v>27</v>
      </c>
      <c r="L499" s="794" t="s">
        <v>304</v>
      </c>
      <c r="M499" s="800" t="s">
        <v>453</v>
      </c>
      <c r="N499" s="513">
        <f t="shared" si="34"/>
        <v>0.25075150427732923</v>
      </c>
    </row>
    <row r="500" spans="2:14" x14ac:dyDescent="0.35">
      <c r="B500" s="66" t="s">
        <v>2</v>
      </c>
      <c r="C500" s="379" t="str">
        <f t="shared" si="38"/>
        <v>Small business blended</v>
      </c>
      <c r="D500" s="379" t="s">
        <v>13</v>
      </c>
      <c r="E500" s="379" t="s">
        <v>400</v>
      </c>
      <c r="F500" s="379" t="s">
        <v>19</v>
      </c>
      <c r="G500" s="379" t="s">
        <v>397</v>
      </c>
      <c r="H500" s="379" t="s">
        <v>398</v>
      </c>
      <c r="I500" s="792"/>
      <c r="J500" s="796">
        <v>0.77619204730065083</v>
      </c>
      <c r="K500" s="793" t="s">
        <v>27</v>
      </c>
      <c r="L500" s="794" t="s">
        <v>304</v>
      </c>
      <c r="M500" s="800" t="s">
        <v>453</v>
      </c>
      <c r="N500" s="513">
        <f t="shared" si="34"/>
        <v>0.77619204730065083</v>
      </c>
    </row>
    <row r="501" spans="2:14" x14ac:dyDescent="0.35">
      <c r="B501" s="66" t="s">
        <v>2</v>
      </c>
      <c r="C501" s="379" t="str">
        <f t="shared" si="38"/>
        <v>Small business blended</v>
      </c>
      <c r="D501" s="379" t="s">
        <v>13</v>
      </c>
      <c r="E501" s="379" t="s">
        <v>400</v>
      </c>
      <c r="F501" s="379" t="s">
        <v>272</v>
      </c>
      <c r="G501" s="379" t="s">
        <v>397</v>
      </c>
      <c r="H501" s="379" t="s">
        <v>399</v>
      </c>
      <c r="I501" s="792"/>
      <c r="J501" s="796">
        <v>0.22380795269934914</v>
      </c>
      <c r="K501" s="793" t="s">
        <v>27</v>
      </c>
      <c r="L501" s="794" t="s">
        <v>304</v>
      </c>
      <c r="M501" s="800" t="s">
        <v>453</v>
      </c>
      <c r="N501" s="513">
        <f t="shared" si="34"/>
        <v>0.22380795269934914</v>
      </c>
    </row>
    <row r="502" spans="2:14" x14ac:dyDescent="0.35">
      <c r="B502" s="66" t="s">
        <v>4</v>
      </c>
      <c r="C502" s="379" t="str">
        <f t="shared" si="38"/>
        <v>Small business blended</v>
      </c>
      <c r="D502" s="379" t="s">
        <v>13</v>
      </c>
      <c r="E502" s="379" t="s">
        <v>400</v>
      </c>
      <c r="F502" s="379" t="s">
        <v>19</v>
      </c>
      <c r="G502" s="379" t="s">
        <v>397</v>
      </c>
      <c r="H502" s="379" t="s">
        <v>398</v>
      </c>
      <c r="I502" s="792"/>
      <c r="J502" s="796">
        <v>0.54647898583876131</v>
      </c>
      <c r="K502" s="793" t="s">
        <v>27</v>
      </c>
      <c r="L502" s="794" t="s">
        <v>304</v>
      </c>
      <c r="M502" s="800" t="s">
        <v>453</v>
      </c>
      <c r="N502" s="513">
        <f t="shared" si="34"/>
        <v>0.54647898583876131</v>
      </c>
    </row>
    <row r="503" spans="2:14" x14ac:dyDescent="0.35">
      <c r="B503" s="66" t="s">
        <v>4</v>
      </c>
      <c r="C503" s="379" t="str">
        <f t="shared" si="38"/>
        <v>Small business blended</v>
      </c>
      <c r="D503" s="379" t="s">
        <v>13</v>
      </c>
      <c r="E503" s="379" t="s">
        <v>400</v>
      </c>
      <c r="F503" s="379" t="s">
        <v>272</v>
      </c>
      <c r="G503" s="379" t="s">
        <v>397</v>
      </c>
      <c r="H503" s="379" t="s">
        <v>399</v>
      </c>
      <c r="I503" s="792"/>
      <c r="J503" s="796">
        <v>0.45352101416123869</v>
      </c>
      <c r="K503" s="793" t="s">
        <v>27</v>
      </c>
      <c r="L503" s="794" t="s">
        <v>304</v>
      </c>
      <c r="M503" s="800" t="s">
        <v>453</v>
      </c>
      <c r="N503" s="513">
        <f t="shared" si="34"/>
        <v>0.45352101416123869</v>
      </c>
    </row>
    <row r="504" spans="2:14" x14ac:dyDescent="0.35">
      <c r="B504" s="66" t="s">
        <v>3</v>
      </c>
      <c r="C504" s="379" t="str">
        <f t="shared" si="38"/>
        <v>Small business blended</v>
      </c>
      <c r="D504" s="379" t="s">
        <v>13</v>
      </c>
      <c r="E504" s="379" t="s">
        <v>400</v>
      </c>
      <c r="F504" s="379" t="s">
        <v>19</v>
      </c>
      <c r="G504" s="379" t="s">
        <v>397</v>
      </c>
      <c r="H504" s="379" t="s">
        <v>398</v>
      </c>
      <c r="I504" s="792"/>
      <c r="J504" s="796">
        <v>0.78438579948680698</v>
      </c>
      <c r="K504" s="793" t="s">
        <v>27</v>
      </c>
      <c r="L504" s="794" t="s">
        <v>304</v>
      </c>
      <c r="M504" s="800" t="s">
        <v>453</v>
      </c>
      <c r="N504" s="513">
        <f t="shared" si="34"/>
        <v>0.78438579948680698</v>
      </c>
    </row>
    <row r="505" spans="2:14" x14ac:dyDescent="0.35">
      <c r="B505" s="66" t="s">
        <v>3</v>
      </c>
      <c r="C505" s="379" t="str">
        <f t="shared" si="38"/>
        <v>Small business blended</v>
      </c>
      <c r="D505" s="379" t="s">
        <v>13</v>
      </c>
      <c r="E505" s="379" t="s">
        <v>400</v>
      </c>
      <c r="F505" s="379" t="s">
        <v>272</v>
      </c>
      <c r="G505" s="379" t="s">
        <v>397</v>
      </c>
      <c r="H505" s="379" t="s">
        <v>399</v>
      </c>
      <c r="I505" s="792"/>
      <c r="J505" s="796">
        <v>0.21561420051319308</v>
      </c>
      <c r="K505" s="793" t="s">
        <v>27</v>
      </c>
      <c r="L505" s="794" t="s">
        <v>304</v>
      </c>
      <c r="M505" s="800" t="s">
        <v>453</v>
      </c>
      <c r="N505" s="513">
        <f t="shared" si="34"/>
        <v>0.21561420051319308</v>
      </c>
    </row>
    <row r="506" spans="2:14" x14ac:dyDescent="0.35">
      <c r="B506" s="66" t="s">
        <v>0</v>
      </c>
      <c r="C506" s="379" t="str">
        <f t="shared" si="38"/>
        <v>Small business blended</v>
      </c>
      <c r="D506" s="379" t="s">
        <v>13</v>
      </c>
      <c r="E506" s="379" t="s">
        <v>400</v>
      </c>
      <c r="F506" s="379" t="s">
        <v>19</v>
      </c>
      <c r="G506" s="379" t="s">
        <v>397</v>
      </c>
      <c r="H506" s="379" t="s">
        <v>398</v>
      </c>
      <c r="I506" s="792"/>
      <c r="J506" s="796">
        <v>0.59962721834081578</v>
      </c>
      <c r="K506" s="793" t="s">
        <v>27</v>
      </c>
      <c r="L506" s="794" t="s">
        <v>304</v>
      </c>
      <c r="M506" s="800" t="s">
        <v>453</v>
      </c>
      <c r="N506" s="513">
        <f t="shared" si="34"/>
        <v>0.59962721834081578</v>
      </c>
    </row>
    <row r="507" spans="2:14" x14ac:dyDescent="0.35">
      <c r="B507" s="66" t="s">
        <v>0</v>
      </c>
      <c r="C507" s="379" t="str">
        <f t="shared" si="38"/>
        <v>Small business blended</v>
      </c>
      <c r="D507" s="379" t="s">
        <v>13</v>
      </c>
      <c r="E507" s="379" t="s">
        <v>400</v>
      </c>
      <c r="F507" s="379" t="s">
        <v>272</v>
      </c>
      <c r="G507" s="379" t="s">
        <v>397</v>
      </c>
      <c r="H507" s="379" t="s">
        <v>399</v>
      </c>
      <c r="I507" s="792"/>
      <c r="J507" s="796">
        <v>0.40037278165918411</v>
      </c>
      <c r="K507" s="793" t="s">
        <v>27</v>
      </c>
      <c r="L507" s="794" t="s">
        <v>304</v>
      </c>
      <c r="M507" s="800" t="s">
        <v>453</v>
      </c>
      <c r="N507" s="513">
        <f t="shared" si="34"/>
        <v>0.40037278165918411</v>
      </c>
    </row>
    <row r="508" spans="2:14" x14ac:dyDescent="0.35">
      <c r="B508" s="66" t="s">
        <v>5</v>
      </c>
      <c r="C508" s="379" t="str">
        <f t="shared" si="38"/>
        <v>Small business blended</v>
      </c>
      <c r="D508" s="379" t="s">
        <v>13</v>
      </c>
      <c r="E508" s="379" t="s">
        <v>400</v>
      </c>
      <c r="F508" s="379" t="s">
        <v>19</v>
      </c>
      <c r="G508" s="379" t="s">
        <v>397</v>
      </c>
      <c r="H508" s="379" t="s">
        <v>398</v>
      </c>
      <c r="I508" s="792"/>
      <c r="J508" s="796">
        <v>0.78070018075337555</v>
      </c>
      <c r="K508" s="793" t="s">
        <v>27</v>
      </c>
      <c r="L508" s="794" t="s">
        <v>304</v>
      </c>
      <c r="M508" s="800" t="s">
        <v>453</v>
      </c>
      <c r="N508" s="513">
        <f t="shared" si="34"/>
        <v>0.78070018075337555</v>
      </c>
    </row>
    <row r="509" spans="2:14" x14ac:dyDescent="0.35">
      <c r="B509" s="66" t="s">
        <v>5</v>
      </c>
      <c r="C509" s="379" t="str">
        <f t="shared" si="38"/>
        <v>Small business blended</v>
      </c>
      <c r="D509" s="379" t="s">
        <v>13</v>
      </c>
      <c r="E509" s="379" t="s">
        <v>400</v>
      </c>
      <c r="F509" s="379" t="s">
        <v>272</v>
      </c>
      <c r="G509" s="379" t="s">
        <v>397</v>
      </c>
      <c r="H509" s="379" t="s">
        <v>399</v>
      </c>
      <c r="I509" s="792"/>
      <c r="J509" s="796">
        <v>0.21929981924662453</v>
      </c>
      <c r="K509" s="793" t="s">
        <v>27</v>
      </c>
      <c r="L509" s="794" t="s">
        <v>304</v>
      </c>
      <c r="M509" s="800" t="s">
        <v>453</v>
      </c>
      <c r="N509" s="513">
        <f t="shared" si="34"/>
        <v>0.21929981924662453</v>
      </c>
    </row>
    <row r="510" spans="2:14" x14ac:dyDescent="0.35">
      <c r="B510" s="66" t="s">
        <v>5</v>
      </c>
      <c r="C510" s="379" t="str">
        <f t="shared" si="38"/>
        <v>Residential controlled load</v>
      </c>
      <c r="D510" s="379" t="s">
        <v>6</v>
      </c>
      <c r="E510" s="379" t="s">
        <v>285</v>
      </c>
      <c r="F510" s="379" t="s">
        <v>307</v>
      </c>
      <c r="G510" s="379" t="s">
        <v>69</v>
      </c>
      <c r="H510" s="379" t="s">
        <v>47</v>
      </c>
      <c r="I510" s="792"/>
      <c r="J510" s="792">
        <v>99.534971566843268</v>
      </c>
      <c r="K510" s="793" t="s">
        <v>44</v>
      </c>
      <c r="L510" s="794" t="s">
        <v>304</v>
      </c>
      <c r="M510" s="798" t="s">
        <v>450</v>
      </c>
      <c r="N510" s="513" t="str">
        <f t="shared" si="34"/>
        <v/>
      </c>
    </row>
    <row r="511" spans="2:14" x14ac:dyDescent="0.35">
      <c r="B511" s="66" t="s">
        <v>5</v>
      </c>
      <c r="C511" s="379" t="str">
        <f t="shared" si="38"/>
        <v>Residential controlled load</v>
      </c>
      <c r="D511" s="379" t="s">
        <v>6</v>
      </c>
      <c r="E511" s="379" t="s">
        <v>285</v>
      </c>
      <c r="F511" s="379" t="s">
        <v>308</v>
      </c>
      <c r="G511" s="379" t="s">
        <v>69</v>
      </c>
      <c r="H511" s="379" t="s">
        <v>47</v>
      </c>
      <c r="I511" s="792"/>
      <c r="J511" s="792">
        <v>106.77760394518128</v>
      </c>
      <c r="K511" s="793" t="s">
        <v>44</v>
      </c>
      <c r="L511" s="794" t="s">
        <v>304</v>
      </c>
      <c r="M511" s="798" t="s">
        <v>450</v>
      </c>
      <c r="N511" s="513" t="str">
        <f t="shared" si="34"/>
        <v/>
      </c>
    </row>
    <row r="512" spans="2:14" x14ac:dyDescent="0.35">
      <c r="B512" s="66" t="s">
        <v>5</v>
      </c>
      <c r="C512" s="379" t="str">
        <f t="shared" si="38"/>
        <v>Residential controlled load</v>
      </c>
      <c r="D512" s="379" t="s">
        <v>6</v>
      </c>
      <c r="E512" s="379" t="s">
        <v>285</v>
      </c>
      <c r="F512" s="379" t="s">
        <v>309</v>
      </c>
      <c r="G512" s="379" t="s">
        <v>69</v>
      </c>
      <c r="H512" s="379" t="s">
        <v>47</v>
      </c>
      <c r="I512" s="792"/>
      <c r="J512" s="792">
        <v>33.867169615701982</v>
      </c>
      <c r="K512" s="793" t="s">
        <v>44</v>
      </c>
      <c r="L512" s="794" t="s">
        <v>304</v>
      </c>
      <c r="M512" s="798" t="s">
        <v>450</v>
      </c>
      <c r="N512" s="513" t="str">
        <f t="shared" si="34"/>
        <v/>
      </c>
    </row>
    <row r="513" spans="2:14" s="66" customFormat="1" x14ac:dyDescent="0.35">
      <c r="B513" s="379" t="s">
        <v>4</v>
      </c>
      <c r="C513" s="379" t="str">
        <f t="shared" si="38"/>
        <v>Small business blended</v>
      </c>
      <c r="D513" s="379" t="s">
        <v>13</v>
      </c>
      <c r="E513" s="379" t="s">
        <v>400</v>
      </c>
      <c r="F513" s="379" t="s">
        <v>401</v>
      </c>
      <c r="G513" s="379" t="s">
        <v>57</v>
      </c>
      <c r="H513" s="379" t="s">
        <v>46</v>
      </c>
      <c r="I513" s="792">
        <v>0</v>
      </c>
      <c r="J513" s="792">
        <v>0</v>
      </c>
      <c r="K513" s="67" t="s">
        <v>148</v>
      </c>
      <c r="L513" s="794" t="s">
        <v>304</v>
      </c>
      <c r="M513" s="800" t="s">
        <v>381</v>
      </c>
      <c r="N513" s="513" t="str">
        <f t="shared" si="34"/>
        <v/>
      </c>
    </row>
    <row r="514" spans="2:14" s="66" customFormat="1" x14ac:dyDescent="0.35">
      <c r="B514" s="379" t="s">
        <v>4</v>
      </c>
      <c r="C514" s="379" t="str">
        <f t="shared" si="38"/>
        <v>Small business blended</v>
      </c>
      <c r="D514" s="379" t="s">
        <v>13</v>
      </c>
      <c r="E514" s="379" t="s">
        <v>400</v>
      </c>
      <c r="F514" s="379" t="s">
        <v>401</v>
      </c>
      <c r="G514" s="379" t="s">
        <v>57</v>
      </c>
      <c r="H514" s="379" t="s">
        <v>47</v>
      </c>
      <c r="I514" s="792">
        <v>0</v>
      </c>
      <c r="J514" s="792">
        <f>15.0103*10</f>
        <v>150.10300000000001</v>
      </c>
      <c r="K514" s="67" t="s">
        <v>148</v>
      </c>
      <c r="L514" s="794" t="s">
        <v>304</v>
      </c>
      <c r="M514" s="800" t="s">
        <v>381</v>
      </c>
      <c r="N514" s="513" t="str">
        <f t="shared" si="34"/>
        <v/>
      </c>
    </row>
    <row r="515" spans="2:14" s="66" customFormat="1" x14ac:dyDescent="0.35">
      <c r="B515" s="379" t="s">
        <v>4</v>
      </c>
      <c r="C515" s="379" t="str">
        <f t="shared" si="38"/>
        <v>Small business blended</v>
      </c>
      <c r="D515" s="379" t="s">
        <v>13</v>
      </c>
      <c r="E515" s="379" t="s">
        <v>400</v>
      </c>
      <c r="F515" s="379" t="s">
        <v>401</v>
      </c>
      <c r="G515" s="379" t="s">
        <v>61</v>
      </c>
      <c r="H515" s="379" t="s">
        <v>46</v>
      </c>
      <c r="I515" s="792">
        <v>0</v>
      </c>
      <c r="J515" s="792">
        <v>0</v>
      </c>
      <c r="K515" s="67" t="s">
        <v>148</v>
      </c>
      <c r="L515" s="794" t="s">
        <v>304</v>
      </c>
      <c r="M515" s="800" t="s">
        <v>381</v>
      </c>
      <c r="N515" s="513" t="str">
        <f t="shared" si="34"/>
        <v/>
      </c>
    </row>
    <row r="516" spans="2:14" x14ac:dyDescent="0.35">
      <c r="J516" s="508"/>
    </row>
  </sheetData>
  <sheetProtection algorithmName="SHA-256" hashValue="6zWIqD7K94uQTWe6ZBf+fdGzc0wgDOLrDgG1KuZ6vbY=" saltValue="EkNM4spI/gCokLoPlasU6A==" spinCount="100000" sheet="1" autoFilter="0"/>
  <autoFilter ref="B3:T515" xr:uid="{00000000-0001-0000-1700-000000000000}"/>
  <mergeCells count="1">
    <mergeCell ref="A1:B1"/>
  </mergeCells>
  <phoneticPr fontId="13" type="noConversion"/>
  <conditionalFormatting sqref="B35:B40">
    <cfRule type="expression" dxfId="42" priority="1875">
      <formula>MOD(ROW(),2)=0</formula>
    </cfRule>
  </conditionalFormatting>
  <conditionalFormatting sqref="B364:B379">
    <cfRule type="expression" dxfId="41" priority="370">
      <formula>MOD(ROW(),2)=0</formula>
    </cfRule>
  </conditionalFormatting>
  <conditionalFormatting sqref="B410:B429">
    <cfRule type="expression" dxfId="40" priority="330">
      <formula>MOD(ROW(),2)=0</formula>
    </cfRule>
  </conditionalFormatting>
  <conditionalFormatting sqref="B41:C41">
    <cfRule type="expression" dxfId="39" priority="1426">
      <formula>MOD(ROW(),2)=0</formula>
    </cfRule>
  </conditionalFormatting>
  <conditionalFormatting sqref="B406:F406 B407:C409 D407:D435">
    <cfRule type="expression" dxfId="38" priority="329">
      <formula>MOD(ROW(),2)=0</formula>
    </cfRule>
  </conditionalFormatting>
  <conditionalFormatting sqref="B42:H85">
    <cfRule type="expression" dxfId="37" priority="261">
      <formula>MOD(ROW(),2)=0</formula>
    </cfRule>
  </conditionalFormatting>
  <conditionalFormatting sqref="B86:I91">
    <cfRule type="expression" dxfId="36" priority="111">
      <formula>MOD(ROW(),2)=0</formula>
    </cfRule>
  </conditionalFormatting>
  <conditionalFormatting sqref="B436:I454 K436:L454 B455:L457 B458:M459">
    <cfRule type="expression" dxfId="35" priority="90">
      <formula>MOD(ROW(),2)=0</formula>
    </cfRule>
  </conditionalFormatting>
  <conditionalFormatting sqref="B11:J34">
    <cfRule type="expression" dxfId="34" priority="61">
      <formula>MOD(ROW(),2)=0</formula>
    </cfRule>
  </conditionalFormatting>
  <conditionalFormatting sqref="B92:J363">
    <cfRule type="expression" dxfId="33" priority="40">
      <formula>MOD(ROW(),2)=0</formula>
    </cfRule>
  </conditionalFormatting>
  <conditionalFormatting sqref="B490:J509">
    <cfRule type="expression" dxfId="32" priority="69">
      <formula>MOD(ROW(),2)=0</formula>
    </cfRule>
  </conditionalFormatting>
  <conditionalFormatting sqref="B510:L515">
    <cfRule type="expression" dxfId="31" priority="63">
      <formula>MOD(ROW(),2)=0</formula>
    </cfRule>
  </conditionalFormatting>
  <conditionalFormatting sqref="B386:M405">
    <cfRule type="expression" dxfId="30" priority="174">
      <formula>MOD(ROW(),2)=0</formula>
    </cfRule>
  </conditionalFormatting>
  <conditionalFormatting sqref="B4:N7 B8:F8 H8:N8 B9:N10">
    <cfRule type="expression" dxfId="29" priority="487">
      <formula>MOD(ROW(),2)=0</formula>
    </cfRule>
  </conditionalFormatting>
  <conditionalFormatting sqref="C38:C40">
    <cfRule type="expression" dxfId="28" priority="1090">
      <formula>MOD(ROW(),2)=0</formula>
    </cfRule>
  </conditionalFormatting>
  <conditionalFormatting sqref="C410:C435">
    <cfRule type="expression" dxfId="27" priority="326">
      <formula>MOD(ROW(),2)=0</formula>
    </cfRule>
  </conditionalFormatting>
  <conditionalFormatting sqref="C35:J37">
    <cfRule type="expression" dxfId="26" priority="846">
      <formula>MOD(ROW(),2)=0</formula>
    </cfRule>
  </conditionalFormatting>
  <conditionalFormatting sqref="C364:J385">
    <cfRule type="expression" dxfId="25" priority="48">
      <formula>MOD(ROW(),2)=0</formula>
    </cfRule>
  </conditionalFormatting>
  <conditionalFormatting sqref="D38:H41">
    <cfRule type="expression" dxfId="24" priority="1091">
      <formula>MOD(ROW(),2)=0</formula>
    </cfRule>
  </conditionalFormatting>
  <conditionalFormatting sqref="D489:H489">
    <cfRule type="expression" dxfId="23" priority="136">
      <formula>MOD(ROW(),2)=0</formula>
    </cfRule>
  </conditionalFormatting>
  <conditionalFormatting sqref="E407:F413">
    <cfRule type="expression" dxfId="22" priority="318">
      <formula>MOD(ROW(),2)=0</formula>
    </cfRule>
  </conditionalFormatting>
  <conditionalFormatting sqref="E414:I435">
    <cfRule type="expression" dxfId="21" priority="219">
      <formula>MOD(ROW(),2)=0</formula>
    </cfRule>
  </conditionalFormatting>
  <conditionalFormatting sqref="G406:I413">
    <cfRule type="expression" dxfId="20" priority="228">
      <formula>MOD(ROW(),2)=0</formula>
    </cfRule>
  </conditionalFormatting>
  <conditionalFormatting sqref="I81:I85">
    <cfRule type="expression" dxfId="19" priority="76">
      <formula>MOD(ROW(),2)=0</formula>
    </cfRule>
  </conditionalFormatting>
  <conditionalFormatting sqref="I38:J80">
    <cfRule type="expression" dxfId="18" priority="60">
      <formula>MOD(ROW(),2)=0</formula>
    </cfRule>
  </conditionalFormatting>
  <conditionalFormatting sqref="J81:J91">
    <cfRule type="expression" dxfId="17" priority="58">
      <formula>MOD(ROW(),2)=0</formula>
    </cfRule>
  </conditionalFormatting>
  <conditionalFormatting sqref="J406:J454">
    <cfRule type="expression" dxfId="16" priority="42">
      <formula>MOD(ROW(),2)=0</formula>
    </cfRule>
  </conditionalFormatting>
  <conditionalFormatting sqref="J486">
    <cfRule type="expression" dxfId="15" priority="113">
      <formula>MOD(ROW(),2)=0</formula>
    </cfRule>
  </conditionalFormatting>
  <conditionalFormatting sqref="J488">
    <cfRule type="expression" dxfId="14" priority="112">
      <formula>MOD(ROW(),2)=0</formula>
    </cfRule>
  </conditionalFormatting>
  <conditionalFormatting sqref="J461:K484">
    <cfRule type="expression" dxfId="13" priority="138">
      <formula>MOD(ROW(),2)=0</formula>
    </cfRule>
  </conditionalFormatting>
  <conditionalFormatting sqref="J460:L460 B460:I488">
    <cfRule type="expression" dxfId="12" priority="148">
      <formula>MOD(ROW(),2)=0</formula>
    </cfRule>
  </conditionalFormatting>
  <conditionalFormatting sqref="K485:K509">
    <cfRule type="expression" dxfId="11" priority="73">
      <formula>MOD(ROW(),2)=0</formula>
    </cfRule>
  </conditionalFormatting>
  <conditionalFormatting sqref="K159:M385">
    <cfRule type="expression" dxfId="10" priority="21">
      <formula>MOD(ROW(),2)=0</formula>
    </cfRule>
  </conditionalFormatting>
  <conditionalFormatting sqref="K406:M435">
    <cfRule type="expression" dxfId="9" priority="2">
      <formula>MOD(ROW(),2)=0</formula>
    </cfRule>
  </conditionalFormatting>
  <conditionalFormatting sqref="K11:N158 N159:N515">
    <cfRule type="expression" dxfId="8" priority="91">
      <formula>MOD(ROW(),2)=0</formula>
    </cfRule>
  </conditionalFormatting>
  <conditionalFormatting sqref="L461:L509">
    <cfRule type="expression" dxfId="7" priority="137">
      <formula>MOD(ROW(),2)=0</formula>
    </cfRule>
  </conditionalFormatting>
  <conditionalFormatting sqref="M436:M457">
    <cfRule type="expression" dxfId="6" priority="28">
      <formula>MOD(ROW(),2)=0</formula>
    </cfRule>
  </conditionalFormatting>
  <conditionalFormatting sqref="M460:M515">
    <cfRule type="expression" dxfId="5" priority="1">
      <formula>MOD(ROW(),2)=0</formula>
    </cfRule>
  </conditionalFormatting>
  <hyperlinks>
    <hyperlink ref="A1" location="Index!A1" display="&lt;&lt;Back to Index" xr:uid="{00000000-0004-0000-1700-000000000000}"/>
  </hyperlinks>
  <pageMargins left="0.7" right="0.7" top="0.75" bottom="0.75" header="0.3" footer="0.3"/>
  <pageSetup paperSize="9" orientation="portrait" r:id="rId1"/>
  <headerFooter>
    <oddHeader>&amp;C&amp;"Calibri"&amp;10&amp;KFF0000 OFFICIAL SENSITIVE&amp;1#_x000D_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6F20C-CC47-4C44-8F7E-FBFB5E07EFBB}">
  <sheetPr>
    <tabColor theme="6" tint="0.59999389629810485"/>
  </sheetPr>
  <dimension ref="F9:I12"/>
  <sheetViews>
    <sheetView showGridLines="0" workbookViewId="0">
      <selection activeCell="F18" sqref="F18"/>
    </sheetView>
  </sheetViews>
  <sheetFormatPr defaultRowHeight="14.5" x14ac:dyDescent="0.35"/>
  <sheetData>
    <row r="9" spans="6:9" ht="35" x14ac:dyDescent="0.35">
      <c r="F9" s="765" t="s">
        <v>392</v>
      </c>
      <c r="G9" s="32"/>
      <c r="H9" s="32"/>
      <c r="I9" s="32"/>
    </row>
    <row r="10" spans="6:9" ht="35" x14ac:dyDescent="0.35">
      <c r="F10" s="765" t="str">
        <f>"DMO "&amp;FY</f>
        <v>DMO 2026-27</v>
      </c>
      <c r="G10" s="32"/>
      <c r="H10" s="32"/>
      <c r="I10" s="32"/>
    </row>
    <row r="11" spans="6:9" x14ac:dyDescent="0.35">
      <c r="F11" s="32"/>
      <c r="G11" s="32"/>
      <c r="H11" s="32"/>
      <c r="I11" s="32"/>
    </row>
    <row r="12" spans="6:9" x14ac:dyDescent="0.35">
      <c r="F12" s="32"/>
      <c r="G12" s="32"/>
      <c r="H12" s="32"/>
      <c r="I12" s="32"/>
    </row>
  </sheetData>
  <sheetProtection algorithmName="SHA-256" hashValue="fOjDpqaWSJ0OcUsRWaEiS/ZS25WLT/dhIMUy8U+wS7Q=" saltValue="A9wK7uNmahqsqUKqKzYYEQ==" spinCount="100000" sheet="1" objects="1" scenarios="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6" tint="0.59999389629810485"/>
  </sheetPr>
  <dimension ref="A1:AK89"/>
  <sheetViews>
    <sheetView zoomScaleNormal="100" workbookViewId="0">
      <selection activeCell="D9" sqref="D9"/>
    </sheetView>
  </sheetViews>
  <sheetFormatPr defaultColWidth="8.81640625" defaultRowHeight="14" x14ac:dyDescent="0.35"/>
  <cols>
    <col min="1" max="1" width="1.81640625" style="30" customWidth="1"/>
    <col min="2" max="2" width="11.1796875" style="30" customWidth="1"/>
    <col min="3" max="3" width="43.81640625" style="30" customWidth="1"/>
    <col min="4" max="4" width="17.26953125" style="30" customWidth="1"/>
    <col min="5" max="5" width="15.1796875" style="65" customWidth="1"/>
    <col min="6" max="6" width="84.54296875" style="65" bestFit="1" customWidth="1"/>
    <col min="7" max="8" width="15.81640625" style="65" customWidth="1"/>
    <col min="9" max="15" width="15.81640625" style="30" customWidth="1"/>
    <col min="16" max="16" width="43.26953125" style="30" customWidth="1"/>
    <col min="17" max="17" width="12.54296875" style="30" customWidth="1"/>
    <col min="18" max="18" width="13.7265625" style="30" customWidth="1"/>
    <col min="19" max="19" width="13.81640625" style="30" customWidth="1"/>
    <col min="20" max="20" width="31" style="30" customWidth="1"/>
    <col min="21" max="21" width="11.54296875" style="30" customWidth="1"/>
    <col min="22" max="16384" width="8.81640625" style="30"/>
  </cols>
  <sheetData>
    <row r="1" spans="1:15" ht="10.4" customHeight="1" x14ac:dyDescent="0.35">
      <c r="A1" s="815" t="s">
        <v>18</v>
      </c>
      <c r="B1" s="816"/>
      <c r="C1" s="358"/>
      <c r="D1" s="65"/>
    </row>
    <row r="2" spans="1:15" s="62" customFormat="1" ht="22.5" customHeight="1" x14ac:dyDescent="0.35">
      <c r="A2" s="61" t="s">
        <v>324</v>
      </c>
      <c r="C2" s="61"/>
      <c r="D2" s="359"/>
      <c r="E2" s="331"/>
      <c r="F2" s="331"/>
      <c r="G2" s="331"/>
      <c r="H2" s="331"/>
    </row>
    <row r="3" spans="1:15" x14ac:dyDescent="0.35">
      <c r="A3" s="64"/>
      <c r="C3" s="360" t="s">
        <v>126</v>
      </c>
    </row>
    <row r="4" spans="1:15" ht="15.5" x14ac:dyDescent="0.35">
      <c r="A4" s="66"/>
      <c r="C4" s="33" t="s">
        <v>121</v>
      </c>
    </row>
    <row r="5" spans="1:15" x14ac:dyDescent="0.35">
      <c r="A5" s="66"/>
      <c r="C5" s="361" t="s">
        <v>29</v>
      </c>
      <c r="D5" s="362" t="s">
        <v>28</v>
      </c>
      <c r="E5" s="363" t="s">
        <v>152</v>
      </c>
      <c r="J5" s="364"/>
    </row>
    <row r="6" spans="1:15" x14ac:dyDescent="0.35">
      <c r="A6" s="66"/>
      <c r="C6" s="30" t="s">
        <v>42</v>
      </c>
      <c r="D6" s="365" t="s">
        <v>215</v>
      </c>
      <c r="E6" s="30"/>
      <c r="J6" s="364"/>
    </row>
    <row r="7" spans="1:15" x14ac:dyDescent="0.35">
      <c r="A7" s="66"/>
      <c r="C7" s="30" t="s">
        <v>41</v>
      </c>
      <c r="D7" s="365" t="s">
        <v>188</v>
      </c>
      <c r="E7" s="30"/>
      <c r="J7" s="364"/>
      <c r="O7" s="210"/>
    </row>
    <row r="8" spans="1:15" x14ac:dyDescent="0.35">
      <c r="A8" s="66"/>
      <c r="C8" s="30" t="s">
        <v>122</v>
      </c>
      <c r="D8" s="365" t="s">
        <v>451</v>
      </c>
      <c r="E8" s="30"/>
    </row>
    <row r="9" spans="1:15" ht="15" customHeight="1" x14ac:dyDescent="0.35">
      <c r="A9" s="66"/>
      <c r="C9" s="30" t="str">
        <f>"Fct CPI "&amp;FY&amp;" adjustment for 30 Jun 2026 retail costs"</f>
        <v>Fct CPI 2026-27 adjustment for 30 Jun 2026 retail costs</v>
      </c>
      <c r="D9" s="366">
        <f>((1+J9)*(1+L9))-1</f>
        <v>7.3152000000000106E-2</v>
      </c>
      <c r="E9" s="367" t="s">
        <v>422</v>
      </c>
      <c r="I9" s="368" t="s">
        <v>217</v>
      </c>
      <c r="J9" s="369">
        <v>4.8000000000000001E-2</v>
      </c>
      <c r="K9" s="368" t="s">
        <v>299</v>
      </c>
      <c r="L9" s="369">
        <v>2.4E-2</v>
      </c>
    </row>
    <row r="10" spans="1:15" ht="15" customHeight="1" x14ac:dyDescent="0.35">
      <c r="A10" s="66"/>
      <c r="C10" s="30" t="str">
        <f>"Fct CPI "&amp;PY&amp;" adjustment for 30 Jun 2025 retail costs"</f>
        <v>Fct CPI 2025-26 adjustment for 30 Jun 2025 retail costs</v>
      </c>
      <c r="D10" s="366">
        <f>((1+J10)*(1+L10))-1</f>
        <v>5.6768000000000152E-2</v>
      </c>
      <c r="E10" s="367" t="s">
        <v>221</v>
      </c>
      <c r="I10" s="368" t="s">
        <v>193</v>
      </c>
      <c r="J10" s="369">
        <v>2.4E-2</v>
      </c>
      <c r="K10" s="368" t="s">
        <v>217</v>
      </c>
      <c r="L10" s="369">
        <v>3.2000000000000001E-2</v>
      </c>
    </row>
    <row r="11" spans="1:15" x14ac:dyDescent="0.35">
      <c r="A11" s="66"/>
      <c r="C11" s="30" t="s">
        <v>31</v>
      </c>
      <c r="D11" s="365">
        <v>365</v>
      </c>
      <c r="E11" s="367"/>
      <c r="I11" s="370"/>
      <c r="K11" s="182"/>
      <c r="L11" s="371"/>
    </row>
    <row r="12" spans="1:15" ht="14.5" x14ac:dyDescent="0.35">
      <c r="A12" s="66"/>
      <c r="C12" s="30" t="s">
        <v>216</v>
      </c>
      <c r="D12" s="365">
        <v>365</v>
      </c>
      <c r="E12" s="30"/>
      <c r="I12" s="65"/>
      <c r="J12" s="372"/>
      <c r="K12" s="373"/>
      <c r="L12" s="372"/>
      <c r="M12" s="373"/>
    </row>
    <row r="13" spans="1:15" x14ac:dyDescent="0.35">
      <c r="A13" s="66"/>
      <c r="C13" s="30" t="s">
        <v>38</v>
      </c>
      <c r="D13" s="374">
        <v>0.1</v>
      </c>
      <c r="E13" s="30"/>
      <c r="I13" s="65"/>
    </row>
    <row r="14" spans="1:15" x14ac:dyDescent="0.35">
      <c r="A14" s="66"/>
      <c r="D14" s="375"/>
      <c r="E14" s="30"/>
      <c r="G14" s="376"/>
      <c r="H14" s="376"/>
      <c r="I14" s="65"/>
    </row>
    <row r="15" spans="1:15" ht="15.5" x14ac:dyDescent="0.35">
      <c r="A15" s="66"/>
      <c r="C15" s="33" t="s">
        <v>323</v>
      </c>
      <c r="D15" s="366"/>
      <c r="E15" s="364"/>
      <c r="G15" s="377"/>
      <c r="I15" s="368"/>
      <c r="J15" s="369"/>
      <c r="K15" s="368"/>
      <c r="L15" s="369"/>
      <c r="M15" s="216"/>
    </row>
    <row r="16" spans="1:15" s="64" customFormat="1" x14ac:dyDescent="0.35">
      <c r="A16" s="66"/>
      <c r="C16" s="29"/>
      <c r="E16" s="315"/>
      <c r="F16" s="378"/>
      <c r="G16" s="378"/>
      <c r="H16" s="315"/>
      <c r="I16" s="315"/>
    </row>
    <row r="17" spans="1:8" s="64" customFormat="1" x14ac:dyDescent="0.35">
      <c r="A17" s="66"/>
      <c r="B17" s="363"/>
      <c r="C17" s="363"/>
      <c r="D17" s="363"/>
      <c r="E17" s="363"/>
      <c r="F17" s="915" t="s">
        <v>191</v>
      </c>
    </row>
    <row r="18" spans="1:8" s="64" customFormat="1" ht="5.15" hidden="1" customHeight="1" x14ac:dyDescent="0.35">
      <c r="A18" s="66"/>
      <c r="B18" s="363"/>
      <c r="C18" s="363"/>
      <c r="D18" s="363"/>
      <c r="E18" s="363"/>
      <c r="F18" s="916"/>
    </row>
    <row r="19" spans="1:8" s="64" customFormat="1" ht="15" customHeight="1" x14ac:dyDescent="0.35">
      <c r="A19" s="66"/>
      <c r="B19" s="361" t="s">
        <v>169</v>
      </c>
      <c r="C19" s="361" t="s">
        <v>1</v>
      </c>
      <c r="D19" s="361" t="s">
        <v>36</v>
      </c>
      <c r="E19" s="361" t="s">
        <v>22</v>
      </c>
      <c r="F19" s="916"/>
    </row>
    <row r="20" spans="1:8" s="64" customFormat="1" x14ac:dyDescent="0.35">
      <c r="A20" s="66"/>
      <c r="B20" s="363"/>
      <c r="C20" s="363"/>
      <c r="D20" s="361"/>
      <c r="E20" s="361"/>
      <c r="F20" s="916"/>
    </row>
    <row r="21" spans="1:8" s="64" customFormat="1" x14ac:dyDescent="0.35">
      <c r="A21" s="66"/>
      <c r="B21" s="363"/>
      <c r="C21" s="363"/>
      <c r="D21" s="363"/>
      <c r="E21" s="363"/>
      <c r="F21" s="916"/>
    </row>
    <row r="22" spans="1:8" x14ac:dyDescent="0.35">
      <c r="A22" s="66"/>
      <c r="B22" s="379" t="s">
        <v>402</v>
      </c>
      <c r="C22" s="66" t="s">
        <v>2</v>
      </c>
      <c r="D22" s="66" t="s">
        <v>6</v>
      </c>
      <c r="E22" s="66" t="s">
        <v>19</v>
      </c>
      <c r="F22" s="66" t="s">
        <v>403</v>
      </c>
      <c r="G22" s="30"/>
      <c r="H22" s="30"/>
    </row>
    <row r="23" spans="1:8" x14ac:dyDescent="0.35">
      <c r="A23" s="66"/>
      <c r="B23" s="379" t="s">
        <v>167</v>
      </c>
      <c r="C23" s="66" t="s">
        <v>2</v>
      </c>
      <c r="D23" s="66" t="s">
        <v>6</v>
      </c>
      <c r="E23" s="66" t="s">
        <v>14</v>
      </c>
      <c r="F23" s="66" t="s">
        <v>225</v>
      </c>
      <c r="G23" s="30"/>
      <c r="H23" s="30"/>
    </row>
    <row r="24" spans="1:8" x14ac:dyDescent="0.35">
      <c r="A24" s="66"/>
      <c r="B24" s="379" t="s">
        <v>168</v>
      </c>
      <c r="C24" s="66" t="s">
        <v>2</v>
      </c>
      <c r="D24" s="66" t="s">
        <v>6</v>
      </c>
      <c r="E24" s="66" t="s">
        <v>15</v>
      </c>
      <c r="F24" s="66" t="s">
        <v>226</v>
      </c>
      <c r="G24" s="30"/>
      <c r="H24" s="30"/>
    </row>
    <row r="25" spans="1:8" x14ac:dyDescent="0.35">
      <c r="A25" s="66"/>
      <c r="B25" s="379" t="s">
        <v>325</v>
      </c>
      <c r="C25" s="66" t="s">
        <v>2</v>
      </c>
      <c r="D25" s="66" t="s">
        <v>6</v>
      </c>
      <c r="E25" s="66" t="s">
        <v>257</v>
      </c>
      <c r="F25" s="66" t="s">
        <v>335</v>
      </c>
      <c r="G25" s="30"/>
      <c r="H25" s="30"/>
    </row>
    <row r="26" spans="1:8" x14ac:dyDescent="0.35">
      <c r="A26" s="66"/>
      <c r="B26" s="379" t="s">
        <v>402</v>
      </c>
      <c r="C26" s="66" t="s">
        <v>2</v>
      </c>
      <c r="D26" s="66" t="s">
        <v>13</v>
      </c>
      <c r="E26" s="66" t="s">
        <v>19</v>
      </c>
      <c r="F26" s="66" t="s">
        <v>404</v>
      </c>
      <c r="G26" s="30"/>
      <c r="H26" s="30"/>
    </row>
    <row r="27" spans="1:8" s="263" customFormat="1" x14ac:dyDescent="0.35">
      <c r="A27" s="66"/>
      <c r="B27" s="380" t="s">
        <v>326</v>
      </c>
      <c r="C27" s="381" t="s">
        <v>2</v>
      </c>
      <c r="D27" s="381" t="s">
        <v>13</v>
      </c>
      <c r="E27" s="381" t="s">
        <v>257</v>
      </c>
      <c r="F27" s="381" t="s">
        <v>336</v>
      </c>
    </row>
    <row r="28" spans="1:8" x14ac:dyDescent="0.35">
      <c r="A28" s="66"/>
      <c r="B28" s="379" t="s">
        <v>402</v>
      </c>
      <c r="C28" s="66" t="s">
        <v>4</v>
      </c>
      <c r="D28" s="66" t="s">
        <v>6</v>
      </c>
      <c r="E28" s="66" t="s">
        <v>19</v>
      </c>
      <c r="F28" s="66" t="s">
        <v>405</v>
      </c>
      <c r="G28" s="30"/>
      <c r="H28" s="30"/>
    </row>
    <row r="29" spans="1:8" x14ac:dyDescent="0.35">
      <c r="A29" s="66"/>
      <c r="B29" s="379" t="s">
        <v>163</v>
      </c>
      <c r="C29" s="66" t="s">
        <v>4</v>
      </c>
      <c r="D29" s="66" t="s">
        <v>6</v>
      </c>
      <c r="E29" s="66" t="s">
        <v>14</v>
      </c>
      <c r="F29" s="66" t="s">
        <v>227</v>
      </c>
      <c r="G29" s="30"/>
      <c r="H29" s="30"/>
    </row>
    <row r="30" spans="1:8" x14ac:dyDescent="0.35">
      <c r="A30" s="66"/>
      <c r="B30" s="379" t="s">
        <v>164</v>
      </c>
      <c r="C30" s="66" t="s">
        <v>4</v>
      </c>
      <c r="D30" s="66" t="s">
        <v>6</v>
      </c>
      <c r="E30" s="66" t="s">
        <v>15</v>
      </c>
      <c r="F30" s="66" t="s">
        <v>228</v>
      </c>
      <c r="G30" s="30"/>
      <c r="H30" s="30"/>
    </row>
    <row r="31" spans="1:8" x14ac:dyDescent="0.35">
      <c r="A31" s="66"/>
      <c r="B31" s="379" t="s">
        <v>327</v>
      </c>
      <c r="C31" s="66" t="s">
        <v>4</v>
      </c>
      <c r="D31" s="66" t="s">
        <v>6</v>
      </c>
      <c r="E31" s="66" t="s">
        <v>257</v>
      </c>
      <c r="F31" s="66" t="s">
        <v>337</v>
      </c>
      <c r="G31" s="30"/>
      <c r="H31" s="30"/>
    </row>
    <row r="32" spans="1:8" x14ac:dyDescent="0.35">
      <c r="A32" s="66"/>
      <c r="B32" s="379" t="s">
        <v>402</v>
      </c>
      <c r="C32" s="66" t="s">
        <v>4</v>
      </c>
      <c r="D32" s="66" t="s">
        <v>13</v>
      </c>
      <c r="E32" s="66" t="s">
        <v>19</v>
      </c>
      <c r="F32" s="66" t="s">
        <v>406</v>
      </c>
      <c r="G32" s="30"/>
      <c r="H32" s="30"/>
    </row>
    <row r="33" spans="1:9" s="263" customFormat="1" x14ac:dyDescent="0.35">
      <c r="A33" s="66"/>
      <c r="B33" s="380" t="s">
        <v>328</v>
      </c>
      <c r="C33" s="381" t="s">
        <v>4</v>
      </c>
      <c r="D33" s="381" t="s">
        <v>13</v>
      </c>
      <c r="E33" s="381" t="s">
        <v>257</v>
      </c>
      <c r="F33" s="381" t="s">
        <v>334</v>
      </c>
    </row>
    <row r="34" spans="1:9" x14ac:dyDescent="0.35">
      <c r="A34" s="66"/>
      <c r="B34" s="379" t="s">
        <v>402</v>
      </c>
      <c r="C34" s="66" t="s">
        <v>3</v>
      </c>
      <c r="D34" s="66" t="s">
        <v>6</v>
      </c>
      <c r="E34" s="66" t="s">
        <v>19</v>
      </c>
      <c r="F34" s="66" t="s">
        <v>407</v>
      </c>
      <c r="G34" s="30"/>
      <c r="H34" s="30"/>
    </row>
    <row r="35" spans="1:9" x14ac:dyDescent="0.35">
      <c r="A35" s="66"/>
      <c r="B35" s="379" t="s">
        <v>165</v>
      </c>
      <c r="C35" s="66" t="s">
        <v>3</v>
      </c>
      <c r="D35" s="66" t="s">
        <v>6</v>
      </c>
      <c r="E35" s="66" t="s">
        <v>14</v>
      </c>
      <c r="F35" s="66" t="s">
        <v>229</v>
      </c>
      <c r="G35" s="30"/>
      <c r="H35" s="30"/>
    </row>
    <row r="36" spans="1:9" x14ac:dyDescent="0.35">
      <c r="A36" s="66"/>
      <c r="B36" s="379" t="s">
        <v>166</v>
      </c>
      <c r="C36" s="66" t="s">
        <v>3</v>
      </c>
      <c r="D36" s="66" t="s">
        <v>6</v>
      </c>
      <c r="E36" s="66" t="s">
        <v>15</v>
      </c>
      <c r="F36" s="66" t="s">
        <v>230</v>
      </c>
      <c r="G36" s="30"/>
      <c r="H36" s="30"/>
    </row>
    <row r="37" spans="1:9" s="263" customFormat="1" x14ac:dyDescent="0.35">
      <c r="A37" s="66"/>
      <c r="B37" s="379" t="s">
        <v>329</v>
      </c>
      <c r="C37" s="66" t="s">
        <v>3</v>
      </c>
      <c r="D37" s="66" t="s">
        <v>6</v>
      </c>
      <c r="E37" s="66" t="s">
        <v>257</v>
      </c>
      <c r="F37" s="66" t="s">
        <v>408</v>
      </c>
    </row>
    <row r="38" spans="1:9" x14ac:dyDescent="0.35">
      <c r="A38" s="66"/>
      <c r="B38" s="379" t="s">
        <v>402</v>
      </c>
      <c r="C38" s="66" t="s">
        <v>3</v>
      </c>
      <c r="D38" s="66" t="s">
        <v>13</v>
      </c>
      <c r="E38" s="66" t="s">
        <v>19</v>
      </c>
      <c r="F38" s="66" t="s">
        <v>409</v>
      </c>
      <c r="G38" s="30"/>
      <c r="H38" s="30"/>
    </row>
    <row r="39" spans="1:9" x14ac:dyDescent="0.35">
      <c r="A39" s="66"/>
      <c r="B39" s="380" t="s">
        <v>330</v>
      </c>
      <c r="C39" s="381" t="s">
        <v>3</v>
      </c>
      <c r="D39" s="381" t="s">
        <v>13</v>
      </c>
      <c r="E39" s="381" t="s">
        <v>257</v>
      </c>
      <c r="F39" s="381" t="s">
        <v>410</v>
      </c>
      <c r="G39" s="30"/>
      <c r="H39" s="30"/>
    </row>
    <row r="40" spans="1:9" x14ac:dyDescent="0.35">
      <c r="A40" s="66"/>
      <c r="B40" s="379" t="s">
        <v>402</v>
      </c>
      <c r="C40" s="66" t="s">
        <v>0</v>
      </c>
      <c r="D40" s="66" t="s">
        <v>6</v>
      </c>
      <c r="E40" s="66" t="s">
        <v>19</v>
      </c>
      <c r="F40" s="775" t="s">
        <v>411</v>
      </c>
      <c r="G40" s="30"/>
      <c r="H40" s="30"/>
    </row>
    <row r="41" spans="1:9" s="263" customFormat="1" x14ac:dyDescent="0.35">
      <c r="A41" s="66"/>
      <c r="B41" s="379">
        <v>9000</v>
      </c>
      <c r="C41" s="66" t="s">
        <v>0</v>
      </c>
      <c r="D41" s="66" t="s">
        <v>6</v>
      </c>
      <c r="E41" s="66" t="s">
        <v>14</v>
      </c>
      <c r="F41" s="66" t="s">
        <v>412</v>
      </c>
    </row>
    <row r="42" spans="1:9" x14ac:dyDescent="0.35">
      <c r="A42" s="66"/>
      <c r="B42" s="379">
        <v>9100</v>
      </c>
      <c r="C42" s="66" t="s">
        <v>0</v>
      </c>
      <c r="D42" s="66" t="s">
        <v>6</v>
      </c>
      <c r="E42" s="66" t="s">
        <v>15</v>
      </c>
      <c r="F42" s="66" t="s">
        <v>413</v>
      </c>
      <c r="G42" s="30"/>
      <c r="H42" s="30"/>
    </row>
    <row r="43" spans="1:9" x14ac:dyDescent="0.35">
      <c r="A43" s="66"/>
      <c r="B43" s="379">
        <v>6900</v>
      </c>
      <c r="C43" s="66" t="s">
        <v>0</v>
      </c>
      <c r="D43" s="66" t="s">
        <v>6</v>
      </c>
      <c r="E43" s="66" t="s">
        <v>257</v>
      </c>
      <c r="F43" s="66" t="s">
        <v>414</v>
      </c>
      <c r="G43" s="30"/>
      <c r="H43" s="30"/>
    </row>
    <row r="44" spans="1:9" x14ac:dyDescent="0.35">
      <c r="A44" s="66"/>
      <c r="B44" s="379" t="s">
        <v>402</v>
      </c>
      <c r="C44" s="66" t="s">
        <v>0</v>
      </c>
      <c r="D44" s="66" t="s">
        <v>13</v>
      </c>
      <c r="E44" s="66" t="s">
        <v>19</v>
      </c>
      <c r="F44" s="66" t="s">
        <v>415</v>
      </c>
      <c r="G44" s="30"/>
      <c r="H44" s="30"/>
    </row>
    <row r="45" spans="1:9" x14ac:dyDescent="0.35">
      <c r="A45" s="66"/>
      <c r="B45" s="380">
        <v>6800</v>
      </c>
      <c r="C45" s="381" t="s">
        <v>0</v>
      </c>
      <c r="D45" s="381" t="s">
        <v>13</v>
      </c>
      <c r="E45" s="381" t="s">
        <v>257</v>
      </c>
      <c r="F45" s="381" t="s">
        <v>416</v>
      </c>
      <c r="I45" s="65"/>
    </row>
    <row r="46" spans="1:9" x14ac:dyDescent="0.35">
      <c r="A46" s="66"/>
      <c r="B46" s="379" t="s">
        <v>402</v>
      </c>
      <c r="C46" s="66" t="s">
        <v>5</v>
      </c>
      <c r="D46" s="66" t="s">
        <v>6</v>
      </c>
      <c r="E46" s="66" t="s">
        <v>19</v>
      </c>
      <c r="F46" s="66" t="s">
        <v>417</v>
      </c>
      <c r="G46" s="30"/>
      <c r="H46" s="30"/>
    </row>
    <row r="47" spans="1:9" x14ac:dyDescent="0.35">
      <c r="A47" s="66"/>
      <c r="B47" s="379" t="s">
        <v>170</v>
      </c>
      <c r="C47" s="66" t="s">
        <v>5</v>
      </c>
      <c r="D47" s="66" t="s">
        <v>6</v>
      </c>
      <c r="E47" s="66" t="s">
        <v>14</v>
      </c>
      <c r="F47" s="66" t="s">
        <v>418</v>
      </c>
      <c r="G47" s="30"/>
      <c r="H47" s="30"/>
    </row>
    <row r="48" spans="1:9" x14ac:dyDescent="0.35">
      <c r="A48" s="66"/>
      <c r="B48" s="379" t="s">
        <v>331</v>
      </c>
      <c r="C48" s="66" t="s">
        <v>5</v>
      </c>
      <c r="D48" s="66" t="s">
        <v>6</v>
      </c>
      <c r="E48" s="66" t="s">
        <v>257</v>
      </c>
      <c r="F48" s="66" t="s">
        <v>419</v>
      </c>
      <c r="G48" s="30"/>
      <c r="H48" s="30"/>
    </row>
    <row r="49" spans="2:37" x14ac:dyDescent="0.35">
      <c r="B49" s="379" t="s">
        <v>331</v>
      </c>
      <c r="C49" s="66" t="s">
        <v>5</v>
      </c>
      <c r="D49" s="66" t="s">
        <v>6</v>
      </c>
      <c r="E49" s="66" t="s">
        <v>333</v>
      </c>
      <c r="F49" s="66"/>
      <c r="G49" s="30"/>
      <c r="H49" s="30"/>
    </row>
    <row r="50" spans="2:37" x14ac:dyDescent="0.35">
      <c r="B50" s="379" t="s">
        <v>402</v>
      </c>
      <c r="C50" s="66" t="s">
        <v>5</v>
      </c>
      <c r="D50" s="66" t="s">
        <v>13</v>
      </c>
      <c r="E50" s="66" t="s">
        <v>19</v>
      </c>
      <c r="F50" s="66" t="s">
        <v>420</v>
      </c>
      <c r="G50" s="30"/>
      <c r="H50" s="30"/>
    </row>
    <row r="51" spans="2:37" x14ac:dyDescent="0.35">
      <c r="B51" s="699" t="s">
        <v>332</v>
      </c>
      <c r="C51" s="699" t="s">
        <v>5</v>
      </c>
      <c r="D51" s="700" t="s">
        <v>13</v>
      </c>
      <c r="E51" s="700" t="s">
        <v>257</v>
      </c>
      <c r="F51" s="699" t="s">
        <v>421</v>
      </c>
      <c r="G51" s="30"/>
      <c r="H51" s="30"/>
    </row>
    <row r="52" spans="2:37" x14ac:dyDescent="0.35">
      <c r="E52" s="30"/>
      <c r="F52" s="30"/>
      <c r="G52" s="30"/>
      <c r="H52" s="30"/>
    </row>
    <row r="53" spans="2:37" x14ac:dyDescent="0.3">
      <c r="E53" s="81"/>
      <c r="F53" s="81"/>
      <c r="G53" s="81"/>
      <c r="H53" s="81"/>
      <c r="I53" s="81"/>
      <c r="J53" s="81"/>
      <c r="K53" s="81"/>
      <c r="L53" s="81"/>
      <c r="M53" s="81"/>
      <c r="N53" s="81"/>
      <c r="O53" s="129"/>
      <c r="P53" s="81"/>
      <c r="Q53" s="81"/>
      <c r="R53" s="81"/>
      <c r="S53" s="81"/>
      <c r="T53" s="81"/>
      <c r="U53" s="81"/>
      <c r="V53" s="81"/>
      <c r="W53" s="81"/>
      <c r="X53" s="81"/>
      <c r="Y53" s="81"/>
      <c r="Z53" s="81"/>
      <c r="AA53" s="81"/>
      <c r="AB53" s="129"/>
      <c r="AC53" s="81"/>
      <c r="AD53" s="81"/>
      <c r="AE53" s="81"/>
      <c r="AF53" s="81"/>
      <c r="AG53" s="81"/>
      <c r="AH53" s="81"/>
      <c r="AI53" s="81"/>
      <c r="AJ53" s="129"/>
      <c r="AK53" s="81"/>
    </row>
    <row r="54" spans="2:37" x14ac:dyDescent="0.3">
      <c r="E54" s="81"/>
      <c r="F54" s="81"/>
      <c r="G54" s="81"/>
      <c r="H54" s="81"/>
      <c r="I54" s="81"/>
      <c r="J54" s="81"/>
      <c r="K54" s="81"/>
      <c r="L54" s="81"/>
      <c r="M54" s="81"/>
      <c r="N54" s="81"/>
      <c r="O54" s="129"/>
      <c r="P54" s="81"/>
      <c r="Q54" s="81"/>
      <c r="R54" s="81"/>
      <c r="S54" s="81"/>
      <c r="T54" s="81"/>
      <c r="U54" s="81"/>
      <c r="V54" s="81"/>
      <c r="W54" s="81"/>
      <c r="X54" s="81"/>
      <c r="Y54" s="81"/>
      <c r="Z54" s="81"/>
      <c r="AA54" s="81"/>
      <c r="AB54" s="129"/>
      <c r="AC54" s="81"/>
      <c r="AD54" s="81"/>
      <c r="AE54" s="81"/>
      <c r="AF54" s="81"/>
      <c r="AG54" s="81"/>
      <c r="AH54" s="81"/>
      <c r="AI54" s="81"/>
      <c r="AJ54" s="129"/>
      <c r="AK54" s="81"/>
    </row>
    <row r="55" spans="2:37" x14ac:dyDescent="0.3">
      <c r="E55" s="81"/>
      <c r="F55" s="81"/>
      <c r="G55" s="81"/>
      <c r="H55" s="81"/>
      <c r="I55" s="81"/>
      <c r="J55" s="81"/>
      <c r="K55" s="81"/>
      <c r="L55" s="81"/>
      <c r="M55" s="81"/>
      <c r="N55" s="81"/>
      <c r="O55" s="129"/>
      <c r="P55" s="81"/>
      <c r="Q55" s="81"/>
      <c r="R55" s="81"/>
      <c r="S55" s="81"/>
      <c r="T55" s="81"/>
      <c r="U55" s="81"/>
      <c r="V55" s="81"/>
      <c r="W55" s="81"/>
      <c r="X55" s="81"/>
      <c r="Y55" s="81"/>
      <c r="Z55" s="81"/>
      <c r="AA55" s="81"/>
      <c r="AB55" s="129"/>
      <c r="AC55" s="81"/>
      <c r="AD55" s="81"/>
      <c r="AE55" s="81"/>
      <c r="AF55" s="81"/>
      <c r="AG55" s="81"/>
      <c r="AH55" s="81"/>
      <c r="AI55" s="81"/>
      <c r="AJ55" s="129"/>
      <c r="AK55" s="81"/>
    </row>
    <row r="56" spans="2:37" x14ac:dyDescent="0.3">
      <c r="E56" s="81"/>
      <c r="F56" s="81"/>
      <c r="G56" s="81"/>
      <c r="H56" s="81"/>
      <c r="I56" s="81"/>
      <c r="J56" s="81"/>
      <c r="K56" s="81"/>
      <c r="L56" s="81"/>
      <c r="M56" s="81"/>
      <c r="N56" s="81"/>
      <c r="O56" s="129"/>
      <c r="P56" s="81"/>
      <c r="Q56" s="81"/>
      <c r="R56" s="81"/>
      <c r="S56" s="81"/>
      <c r="T56" s="81"/>
      <c r="U56" s="81"/>
      <c r="V56" s="81"/>
      <c r="W56" s="81"/>
      <c r="X56" s="81"/>
      <c r="Y56" s="81"/>
      <c r="Z56" s="81"/>
      <c r="AA56" s="81"/>
      <c r="AB56" s="129"/>
      <c r="AC56" s="81"/>
      <c r="AD56" s="81"/>
      <c r="AE56" s="81"/>
      <c r="AF56" s="81"/>
      <c r="AG56" s="81"/>
      <c r="AH56" s="81"/>
      <c r="AI56" s="81"/>
      <c r="AJ56" s="129"/>
      <c r="AK56" s="81"/>
    </row>
    <row r="57" spans="2:37" x14ac:dyDescent="0.3">
      <c r="E57" s="81"/>
      <c r="F57" s="81"/>
      <c r="G57" s="81"/>
      <c r="H57" s="81"/>
      <c r="I57" s="81"/>
      <c r="J57" s="81"/>
      <c r="K57" s="81"/>
      <c r="L57" s="81"/>
      <c r="M57" s="81"/>
      <c r="N57" s="81"/>
      <c r="O57" s="129"/>
      <c r="P57" s="81"/>
      <c r="Q57" s="81"/>
      <c r="R57" s="81"/>
      <c r="S57" s="81"/>
      <c r="T57" s="81"/>
      <c r="U57" s="81"/>
      <c r="V57" s="81"/>
      <c r="W57" s="81"/>
      <c r="X57" s="81"/>
      <c r="Y57" s="81"/>
      <c r="Z57" s="81"/>
      <c r="AA57" s="81"/>
      <c r="AB57" s="129"/>
      <c r="AC57" s="81"/>
      <c r="AD57" s="81"/>
      <c r="AE57" s="81"/>
      <c r="AF57" s="81"/>
      <c r="AG57" s="81"/>
      <c r="AH57" s="81"/>
      <c r="AI57" s="81"/>
      <c r="AJ57" s="129"/>
      <c r="AK57" s="81"/>
    </row>
    <row r="58" spans="2:37" x14ac:dyDescent="0.3">
      <c r="E58" s="81"/>
      <c r="F58" s="81"/>
      <c r="G58" s="81"/>
      <c r="H58" s="81"/>
      <c r="I58" s="81"/>
      <c r="J58" s="81"/>
      <c r="K58" s="81"/>
      <c r="L58" s="81"/>
      <c r="M58" s="81"/>
      <c r="N58" s="81"/>
      <c r="O58" s="129"/>
      <c r="P58" s="81"/>
      <c r="Q58" s="81"/>
      <c r="R58" s="81"/>
      <c r="S58" s="81"/>
      <c r="T58" s="81"/>
      <c r="U58" s="81"/>
      <c r="V58" s="81"/>
      <c r="W58" s="81"/>
      <c r="X58" s="81"/>
      <c r="Y58" s="81"/>
      <c r="Z58" s="81"/>
      <c r="AA58" s="81"/>
      <c r="AB58" s="129"/>
      <c r="AC58" s="81"/>
      <c r="AD58" s="81"/>
      <c r="AE58" s="81"/>
      <c r="AF58" s="81"/>
      <c r="AG58" s="81"/>
      <c r="AH58" s="81"/>
      <c r="AI58" s="81"/>
      <c r="AJ58" s="129"/>
      <c r="AK58" s="81"/>
    </row>
    <row r="59" spans="2:37" x14ac:dyDescent="0.3">
      <c r="E59" s="81"/>
      <c r="F59" s="81"/>
      <c r="G59" s="81"/>
      <c r="H59" s="81"/>
      <c r="I59" s="81"/>
      <c r="J59" s="81"/>
      <c r="K59" s="81"/>
      <c r="L59" s="81"/>
      <c r="M59" s="81"/>
      <c r="N59" s="81"/>
      <c r="O59" s="129"/>
      <c r="P59" s="81"/>
      <c r="Q59" s="81"/>
      <c r="R59" s="81"/>
      <c r="S59" s="81"/>
      <c r="T59" s="81"/>
      <c r="U59" s="81"/>
      <c r="V59" s="81"/>
      <c r="W59" s="81"/>
      <c r="X59" s="81"/>
      <c r="Y59" s="81"/>
      <c r="Z59" s="81"/>
      <c r="AA59" s="81"/>
      <c r="AB59" s="129"/>
      <c r="AC59" s="81"/>
      <c r="AD59" s="81"/>
      <c r="AE59" s="81"/>
      <c r="AF59" s="81"/>
      <c r="AG59" s="81"/>
      <c r="AH59" s="81"/>
      <c r="AI59" s="81"/>
      <c r="AJ59" s="129"/>
      <c r="AK59" s="81"/>
    </row>
    <row r="60" spans="2:37" x14ac:dyDescent="0.3">
      <c r="E60" s="81"/>
      <c r="F60" s="81"/>
      <c r="G60" s="81"/>
      <c r="H60" s="81"/>
      <c r="I60" s="81"/>
      <c r="J60" s="81"/>
      <c r="K60" s="81"/>
      <c r="L60" s="81"/>
      <c r="M60" s="81"/>
      <c r="N60" s="81"/>
      <c r="O60" s="129"/>
      <c r="P60" s="81"/>
      <c r="Q60" s="81"/>
      <c r="R60" s="81"/>
      <c r="S60" s="81"/>
      <c r="T60" s="81"/>
      <c r="U60" s="81"/>
      <c r="V60" s="81"/>
      <c r="W60" s="81"/>
      <c r="X60" s="81"/>
      <c r="Y60" s="81"/>
      <c r="Z60" s="81"/>
      <c r="AA60" s="81"/>
      <c r="AB60" s="129"/>
      <c r="AC60" s="81"/>
      <c r="AD60" s="81"/>
      <c r="AE60" s="81"/>
      <c r="AF60" s="81"/>
      <c r="AG60" s="81"/>
      <c r="AH60" s="81"/>
      <c r="AI60" s="81"/>
      <c r="AJ60" s="129"/>
      <c r="AK60" s="81"/>
    </row>
    <row r="61" spans="2:37" x14ac:dyDescent="0.3">
      <c r="E61" s="81"/>
      <c r="F61" s="81"/>
      <c r="G61" s="81"/>
      <c r="H61" s="81"/>
      <c r="I61" s="81"/>
      <c r="J61" s="81"/>
      <c r="K61" s="81"/>
      <c r="L61" s="81"/>
      <c r="M61" s="81"/>
      <c r="N61" s="81"/>
      <c r="O61" s="129"/>
      <c r="P61" s="81"/>
      <c r="Q61" s="81"/>
      <c r="R61" s="81"/>
      <c r="S61" s="81"/>
      <c r="T61" s="81"/>
      <c r="U61" s="81"/>
      <c r="V61" s="81"/>
      <c r="W61" s="81"/>
      <c r="X61" s="81"/>
      <c r="Y61" s="81"/>
      <c r="Z61" s="81"/>
      <c r="AA61" s="81"/>
      <c r="AB61" s="129"/>
      <c r="AC61" s="81"/>
      <c r="AD61" s="81"/>
      <c r="AE61" s="81"/>
      <c r="AF61" s="81"/>
      <c r="AG61" s="81"/>
      <c r="AH61" s="81"/>
      <c r="AI61" s="81"/>
      <c r="AJ61" s="129"/>
      <c r="AK61" s="81"/>
    </row>
    <row r="71" spans="9:11" x14ac:dyDescent="0.35">
      <c r="I71" s="65"/>
      <c r="J71" s="65"/>
      <c r="K71" s="65"/>
    </row>
    <row r="72" spans="9:11" x14ac:dyDescent="0.35">
      <c r="I72" s="65"/>
      <c r="J72" s="65"/>
      <c r="K72" s="65"/>
    </row>
    <row r="73" spans="9:11" x14ac:dyDescent="0.35">
      <c r="I73" s="65"/>
      <c r="J73" s="65"/>
      <c r="K73" s="65"/>
    </row>
    <row r="74" spans="9:11" x14ac:dyDescent="0.35">
      <c r="I74" s="65"/>
      <c r="J74" s="65"/>
      <c r="K74" s="65"/>
    </row>
    <row r="75" spans="9:11" x14ac:dyDescent="0.35">
      <c r="I75" s="65"/>
      <c r="J75" s="65"/>
      <c r="K75" s="65"/>
    </row>
    <row r="76" spans="9:11" x14ac:dyDescent="0.35">
      <c r="I76" s="65"/>
      <c r="J76" s="65"/>
      <c r="K76" s="65"/>
    </row>
    <row r="77" spans="9:11" x14ac:dyDescent="0.35">
      <c r="I77" s="65"/>
      <c r="J77" s="65"/>
      <c r="K77" s="65"/>
    </row>
    <row r="78" spans="9:11" x14ac:dyDescent="0.35">
      <c r="I78" s="65"/>
      <c r="J78" s="65"/>
      <c r="K78" s="65"/>
    </row>
    <row r="79" spans="9:11" x14ac:dyDescent="0.35">
      <c r="I79" s="65"/>
      <c r="J79" s="65"/>
      <c r="K79" s="65"/>
    </row>
    <row r="80" spans="9:11" x14ac:dyDescent="0.35">
      <c r="I80" s="65"/>
      <c r="J80" s="65"/>
      <c r="K80" s="65"/>
    </row>
    <row r="81" spans="9:11" x14ac:dyDescent="0.35">
      <c r="I81" s="65"/>
      <c r="J81" s="65"/>
      <c r="K81" s="65"/>
    </row>
    <row r="82" spans="9:11" x14ac:dyDescent="0.35">
      <c r="I82" s="65"/>
      <c r="J82" s="65"/>
      <c r="K82" s="65"/>
    </row>
    <row r="83" spans="9:11" x14ac:dyDescent="0.35">
      <c r="I83" s="65"/>
      <c r="J83" s="65"/>
      <c r="K83" s="65"/>
    </row>
    <row r="84" spans="9:11" x14ac:dyDescent="0.35">
      <c r="I84" s="65"/>
      <c r="J84" s="65"/>
      <c r="K84" s="65"/>
    </row>
    <row r="85" spans="9:11" x14ac:dyDescent="0.35">
      <c r="I85" s="65"/>
      <c r="J85" s="65"/>
      <c r="K85" s="65"/>
    </row>
    <row r="86" spans="9:11" x14ac:dyDescent="0.35">
      <c r="I86" s="65"/>
      <c r="J86" s="65"/>
      <c r="K86" s="65"/>
    </row>
    <row r="87" spans="9:11" x14ac:dyDescent="0.35">
      <c r="I87" s="65"/>
      <c r="J87" s="65"/>
      <c r="K87" s="65"/>
    </row>
    <row r="88" spans="9:11" x14ac:dyDescent="0.35">
      <c r="I88" s="65"/>
      <c r="J88" s="65"/>
      <c r="K88" s="65"/>
    </row>
    <row r="89" spans="9:11" x14ac:dyDescent="0.35">
      <c r="I89" s="65"/>
      <c r="J89" s="65"/>
      <c r="K89" s="65"/>
    </row>
  </sheetData>
  <sheetProtection algorithmName="SHA-256" hashValue="5MwpE/vaXNHqx8NdVPdnFxGIi8giH/7ac1a1/Yl2KeQ=" saltValue="/PQCrKayj1ASGEWATJeI+w==" spinCount="100000" sheet="1" formatCells="0" formatColumns="0" formatRows="0" insertColumns="0" insertRows="0" sort="0" autoFilter="0" pivotTables="0"/>
  <mergeCells count="2">
    <mergeCell ref="A1:B1"/>
    <mergeCell ref="F17:F21"/>
  </mergeCells>
  <phoneticPr fontId="13" type="noConversion"/>
  <conditionalFormatting sqref="B22:F50 D51:E51">
    <cfRule type="expression" dxfId="4" priority="1">
      <formula>MOD(ROW(),2)=0</formula>
    </cfRule>
  </conditionalFormatting>
  <dataValidations disablePrompts="1" count="1">
    <dataValidation type="list" allowBlank="1" showInputMessage="1" showErrorMessage="1" sqref="D14" xr:uid="{00000000-0002-0000-1500-000000000000}">
      <formula1>"Yes,No"</formula1>
    </dataValidation>
  </dataValidations>
  <hyperlinks>
    <hyperlink ref="A1" location="Index!A1" display="&lt;&lt;Back to Index" xr:uid="{FD37C3C1-50B6-4414-9076-B7307024F7B2}"/>
    <hyperlink ref="E9" r:id="rId1" display="RBA forecast for the two years ending Jun 2028 (Feb-2026)" xr:uid="{F4CFE4D7-CF2F-4A7E-BC1F-182ED7F09F3E}"/>
    <hyperlink ref="E10" r:id="rId2" xr:uid="{21B8CA87-7A5A-45CB-B56F-E1A2B66A62E1}"/>
  </hyperlinks>
  <pageMargins left="0.7" right="0.7" top="0.75" bottom="0.75" header="0.3" footer="0.3"/>
  <pageSetup paperSize="9" orientation="portrait" r:id="rId3"/>
  <headerFooter>
    <oddHeader>&amp;C&amp;"Calibri"&amp;10&amp;KFF0000 OFFICIAL SENSITIVE&amp;1#_x000D_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6" tint="0.39997558519241921"/>
  </sheetPr>
  <dimension ref="A1:M55"/>
  <sheetViews>
    <sheetView zoomScale="85" zoomScaleNormal="85" workbookViewId="0">
      <selection activeCell="B4" sqref="B4"/>
    </sheetView>
  </sheetViews>
  <sheetFormatPr defaultColWidth="8.81640625" defaultRowHeight="14" x14ac:dyDescent="0.35"/>
  <cols>
    <col min="1" max="1" width="1.81640625" style="30" customWidth="1"/>
    <col min="2" max="2" width="30.81640625" style="511" bestFit="1" customWidth="1"/>
    <col min="3" max="3" width="13.1796875" style="511" customWidth="1"/>
    <col min="4" max="4" width="0.81640625" style="511" hidden="1" customWidth="1"/>
    <col min="5" max="5" width="13.1796875" style="511" hidden="1" customWidth="1"/>
    <col min="6" max="11" width="13.1796875" style="511" customWidth="1"/>
    <col min="12" max="12" width="0.81640625" style="511" hidden="1" customWidth="1"/>
    <col min="13" max="13" width="17.26953125" style="511" customWidth="1"/>
    <col min="14" max="16384" width="8.81640625" style="30"/>
  </cols>
  <sheetData>
    <row r="1" spans="1:13" x14ac:dyDescent="0.35">
      <c r="A1" s="815" t="s">
        <v>18</v>
      </c>
      <c r="B1" s="816"/>
    </row>
    <row r="2" spans="1:13" s="62" customFormat="1" ht="18" x14ac:dyDescent="0.35">
      <c r="A2" s="61" t="s">
        <v>324</v>
      </c>
      <c r="B2" s="12"/>
      <c r="C2" s="512"/>
      <c r="D2" s="512"/>
      <c r="E2" s="512"/>
      <c r="F2" s="512"/>
      <c r="G2" s="512"/>
      <c r="H2" s="512"/>
      <c r="I2" s="512"/>
      <c r="J2" s="512"/>
      <c r="K2" s="512"/>
      <c r="L2" s="512"/>
      <c r="M2" s="512"/>
    </row>
    <row r="3" spans="1:13" s="64" customFormat="1" x14ac:dyDescent="0.35">
      <c r="B3" s="703"/>
      <c r="C3" s="65"/>
      <c r="D3" s="65"/>
      <c r="E3" s="65"/>
      <c r="F3" s="65"/>
      <c r="G3" s="65"/>
      <c r="H3" s="65"/>
      <c r="I3" s="65"/>
      <c r="J3" s="65"/>
      <c r="K3" s="65"/>
      <c r="L3" s="65"/>
      <c r="M3" s="65"/>
    </row>
    <row r="4" spans="1:13" s="64" customFormat="1" ht="15.5" x14ac:dyDescent="0.35">
      <c r="B4" s="33" t="s">
        <v>391</v>
      </c>
      <c r="C4" s="65"/>
      <c r="D4" s="65"/>
      <c r="E4" s="65"/>
      <c r="F4" s="65"/>
      <c r="G4" s="65"/>
      <c r="H4" s="65"/>
      <c r="I4" s="65"/>
      <c r="J4" s="65"/>
      <c r="K4" s="65"/>
      <c r="L4" s="65"/>
      <c r="M4" s="65"/>
    </row>
    <row r="5" spans="1:13" s="64" customFormat="1" x14ac:dyDescent="0.35">
      <c r="B5" s="703"/>
      <c r="C5" s="65"/>
      <c r="D5" s="65"/>
      <c r="E5" s="65"/>
      <c r="F5" s="65"/>
      <c r="G5" s="65"/>
      <c r="H5" s="65"/>
      <c r="I5" s="65"/>
      <c r="J5" s="65"/>
      <c r="K5" s="65"/>
      <c r="L5" s="65"/>
      <c r="M5" s="65"/>
    </row>
    <row r="6" spans="1:13" s="64" customFormat="1" hidden="1" x14ac:dyDescent="0.35">
      <c r="B6" s="703"/>
      <c r="C6" s="65" t="str">
        <f>$C$11</f>
        <v>2026-27</v>
      </c>
      <c r="D6" s="65"/>
      <c r="E6" s="65" t="str">
        <f t="shared" ref="E6:K6" si="0">$C$11</f>
        <v>2026-27</v>
      </c>
      <c r="F6" s="65" t="str">
        <f t="shared" si="0"/>
        <v>2026-27</v>
      </c>
      <c r="G6" s="65"/>
      <c r="H6" s="65" t="str">
        <f t="shared" si="0"/>
        <v>2026-27</v>
      </c>
      <c r="I6" s="65" t="str">
        <f t="shared" si="0"/>
        <v>2026-27</v>
      </c>
      <c r="J6" s="65" t="str">
        <f t="shared" si="0"/>
        <v>2026-27</v>
      </c>
      <c r="K6" s="65" t="str">
        <f t="shared" si="0"/>
        <v>2026-27</v>
      </c>
      <c r="L6" s="65"/>
      <c r="M6" s="65" t="str">
        <f>$C$11</f>
        <v>2026-27</v>
      </c>
    </row>
    <row r="7" spans="1:13" s="64" customFormat="1" hidden="1" x14ac:dyDescent="0.35">
      <c r="B7" s="703"/>
      <c r="C7" s="65" t="str">
        <f>$C$12</f>
        <v>Residential</v>
      </c>
      <c r="D7" s="65"/>
      <c r="E7" s="65" t="str">
        <f t="shared" ref="E7:K7" si="1">$E$12</f>
        <v>Residential</v>
      </c>
      <c r="F7" s="65" t="str">
        <f t="shared" si="1"/>
        <v>Residential</v>
      </c>
      <c r="G7" s="65"/>
      <c r="H7" s="65" t="str">
        <f t="shared" si="1"/>
        <v>Residential</v>
      </c>
      <c r="I7" s="65" t="str">
        <f t="shared" si="1"/>
        <v>Residential</v>
      </c>
      <c r="J7" s="65" t="str">
        <f t="shared" si="1"/>
        <v>Residential</v>
      </c>
      <c r="K7" s="65" t="str">
        <f t="shared" si="1"/>
        <v>Residential</v>
      </c>
      <c r="L7" s="65"/>
      <c r="M7" s="65" t="str">
        <f>$M$12</f>
        <v>Small business</v>
      </c>
    </row>
    <row r="8" spans="1:13" s="64" customFormat="1" hidden="1" x14ac:dyDescent="0.35">
      <c r="B8" s="703"/>
      <c r="C8" s="65" t="str">
        <f>$C$13</f>
        <v>without CL</v>
      </c>
      <c r="D8" s="65"/>
      <c r="E8" s="65" t="str">
        <f t="shared" ref="E8:K8" si="2">$E$13</f>
        <v>with CL</v>
      </c>
      <c r="F8" s="65" t="str">
        <f t="shared" si="2"/>
        <v>with CL</v>
      </c>
      <c r="G8" s="65"/>
      <c r="H8" s="65" t="str">
        <f t="shared" si="2"/>
        <v>with CL</v>
      </c>
      <c r="I8" s="65" t="str">
        <f t="shared" si="2"/>
        <v>with CL</v>
      </c>
      <c r="J8" s="65" t="str">
        <f t="shared" si="2"/>
        <v>with CL</v>
      </c>
      <c r="K8" s="65" t="str">
        <f t="shared" si="2"/>
        <v>with CL</v>
      </c>
      <c r="L8" s="65"/>
      <c r="M8" s="65" t="str">
        <f>$M$13</f>
        <v>without CL</v>
      </c>
    </row>
    <row r="9" spans="1:13" s="64" customFormat="1" hidden="1" x14ac:dyDescent="0.35">
      <c r="B9" s="703"/>
      <c r="C9" s="65" t="str">
        <f>$C$14</f>
        <v>Flat rate</v>
      </c>
      <c r="D9" s="65"/>
      <c r="E9" s="65" t="str">
        <f>$E$14</f>
        <v>Flat rate</v>
      </c>
      <c r="F9" s="65" t="str">
        <f>$F$14</f>
        <v>CL</v>
      </c>
      <c r="G9" s="65"/>
      <c r="H9" s="65" t="str">
        <f>$H$15</f>
        <v>CL1</v>
      </c>
      <c r="I9" s="65" t="str">
        <f>$I$15</f>
        <v>CL2</v>
      </c>
      <c r="J9" s="65" t="str">
        <f>$F$14</f>
        <v>CL</v>
      </c>
      <c r="K9" s="65" t="str">
        <f>K14</f>
        <v>Total</v>
      </c>
      <c r="L9" s="65"/>
      <c r="M9" s="65" t="str">
        <f>$M$14</f>
        <v>Flat rate</v>
      </c>
    </row>
    <row r="10" spans="1:13" s="64" customFormat="1" hidden="1" x14ac:dyDescent="0.35">
      <c r="B10" s="703"/>
      <c r="C10" s="65" t="str">
        <f>$A$2</f>
        <v>More information</v>
      </c>
      <c r="D10" s="65"/>
      <c r="E10" s="65" t="str">
        <f>$A$2</f>
        <v>More information</v>
      </c>
      <c r="F10" s="65" t="s">
        <v>56</v>
      </c>
      <c r="G10" s="65" t="s">
        <v>87</v>
      </c>
      <c r="H10" s="65" t="str">
        <f>$A$2</f>
        <v>More information</v>
      </c>
      <c r="I10" s="65" t="str">
        <f>$A$2</f>
        <v>More information</v>
      </c>
      <c r="J10" s="65" t="str">
        <f>$A$2</f>
        <v>More information</v>
      </c>
      <c r="K10" s="65" t="str">
        <f>$A$2</f>
        <v>More information</v>
      </c>
      <c r="L10" s="65"/>
      <c r="M10" s="65" t="str">
        <f>$A$2</f>
        <v>More information</v>
      </c>
    </row>
    <row r="11" spans="1:13" x14ac:dyDescent="0.35">
      <c r="B11" s="361"/>
      <c r="C11" s="917" t="str">
        <f>FY</f>
        <v>2026-27</v>
      </c>
      <c r="D11" s="917"/>
      <c r="E11" s="917"/>
      <c r="F11" s="917"/>
      <c r="G11" s="917"/>
      <c r="H11" s="917"/>
      <c r="I11" s="917"/>
      <c r="J11" s="917"/>
      <c r="K11" s="917"/>
      <c r="L11" s="917"/>
      <c r="M11" s="917"/>
    </row>
    <row r="12" spans="1:13" x14ac:dyDescent="0.3">
      <c r="B12" s="704" t="s">
        <v>1</v>
      </c>
      <c r="C12" s="705" t="s">
        <v>6</v>
      </c>
      <c r="D12" s="706"/>
      <c r="E12" s="705" t="s">
        <v>6</v>
      </c>
      <c r="F12" s="705"/>
      <c r="G12" s="705"/>
      <c r="H12" s="705"/>
      <c r="I12" s="705"/>
      <c r="J12" s="705"/>
      <c r="K12" s="705"/>
      <c r="L12" s="707"/>
      <c r="M12" s="705" t="s">
        <v>13</v>
      </c>
    </row>
    <row r="13" spans="1:13" x14ac:dyDescent="0.35">
      <c r="B13" s="704"/>
      <c r="C13" s="735" t="s">
        <v>123</v>
      </c>
      <c r="D13" s="702"/>
      <c r="E13" s="708" t="s">
        <v>124</v>
      </c>
      <c r="F13" s="708"/>
      <c r="G13" s="708"/>
      <c r="H13" s="708"/>
      <c r="I13" s="708"/>
      <c r="J13" s="708"/>
      <c r="K13" s="708"/>
      <c r="L13" s="702"/>
      <c r="M13" s="735" t="s">
        <v>123</v>
      </c>
    </row>
    <row r="14" spans="1:13" x14ac:dyDescent="0.35">
      <c r="B14" s="704"/>
      <c r="C14" s="709" t="s">
        <v>19</v>
      </c>
      <c r="D14" s="710"/>
      <c r="E14" s="709" t="s">
        <v>19</v>
      </c>
      <c r="F14" s="709" t="s">
        <v>16</v>
      </c>
      <c r="G14" s="709"/>
      <c r="H14" s="709"/>
      <c r="I14" s="709"/>
      <c r="J14" s="709"/>
      <c r="K14" s="709" t="s">
        <v>55</v>
      </c>
      <c r="L14" s="710"/>
      <c r="M14" s="710" t="s">
        <v>19</v>
      </c>
    </row>
    <row r="15" spans="1:13" s="711" customFormat="1" ht="14.5" x14ac:dyDescent="0.35">
      <c r="B15" s="704"/>
      <c r="C15" s="712" t="s">
        <v>55</v>
      </c>
      <c r="D15" s="712"/>
      <c r="E15" s="712" t="s">
        <v>55</v>
      </c>
      <c r="F15" s="712" t="s">
        <v>149</v>
      </c>
      <c r="G15" s="712" t="s">
        <v>150</v>
      </c>
      <c r="H15" s="712" t="s">
        <v>14</v>
      </c>
      <c r="I15" s="712" t="s">
        <v>15</v>
      </c>
      <c r="J15" s="712" t="s">
        <v>55</v>
      </c>
      <c r="K15" s="710"/>
      <c r="L15" s="712"/>
      <c r="M15" s="712" t="s">
        <v>55</v>
      </c>
    </row>
    <row r="16" spans="1:13" x14ac:dyDescent="0.35">
      <c r="B16" s="658" t="s">
        <v>2</v>
      </c>
      <c r="C16" s="677">
        <f>IF(+Days=366,Usage!C38,Usage!C27)</f>
        <v>3900</v>
      </c>
      <c r="D16" s="713"/>
      <c r="E16" s="677">
        <f>IF(+Days=366,Usage!E38,Usage!E27)</f>
        <v>4800</v>
      </c>
      <c r="F16" s="714">
        <f>IF(+Days=366,+Usage!F38,+Usage!F27)</f>
        <v>0.67</v>
      </c>
      <c r="G16" s="714">
        <f>IF(+Days=366,+Usage!G38,+Usage!G27)</f>
        <v>0.32999999999999996</v>
      </c>
      <c r="H16" s="677">
        <f>IF(+Days=366,ROUND(+Usage!H38,0),ROUND(+Usage!H27,0))</f>
        <v>1340</v>
      </c>
      <c r="I16" s="677">
        <f>IF(+Days=366,ROUND(+Usage!I38,0),ROUND(+Usage!I27,0))</f>
        <v>660</v>
      </c>
      <c r="J16" s="677">
        <f>IF(+Days=366,ROUND(+Usage!J38,0),ROUND(+Usage!J27,0))</f>
        <v>2000</v>
      </c>
      <c r="K16" s="677">
        <f>IF(+Days=366,ROUND(+Usage!K38,0),ROUND(+Usage!K27,0))</f>
        <v>5900</v>
      </c>
      <c r="L16" s="713"/>
      <c r="M16" s="677">
        <f>IF(+Days=366,ROUND(+Usage!M38,0),ROUND(+Usage!M27,0))</f>
        <v>10000</v>
      </c>
    </row>
    <row r="17" spans="2:13" x14ac:dyDescent="0.35">
      <c r="B17" s="658" t="s">
        <v>4</v>
      </c>
      <c r="C17" s="677">
        <f>IF(+Days=366,ROUND(+Usage!C39,0),ROUND(+Usage!C28,0))</f>
        <v>4900</v>
      </c>
      <c r="D17" s="713"/>
      <c r="E17" s="677">
        <f>IF(+Days=366,ROUND(+Usage!E39,0),ROUND(+Usage!E28,0))</f>
        <v>5200</v>
      </c>
      <c r="F17" s="714">
        <f>IF(+Days=366,+Usage!F39,+Usage!F28)</f>
        <v>0.67</v>
      </c>
      <c r="G17" s="714">
        <f>IF(+Days=366,+Usage!G39,+Usage!G28)</f>
        <v>0.32999999999999996</v>
      </c>
      <c r="H17" s="677">
        <f>IF(+Days=366,ROUND(+Usage!H39,0),ROUND(+Usage!H28,0))</f>
        <v>1474</v>
      </c>
      <c r="I17" s="677">
        <f>IF(+Days=366,ROUND(+Usage!I39,0),ROUND(+Usage!I28,0))</f>
        <v>726</v>
      </c>
      <c r="J17" s="677">
        <f>IF(+Days=366,ROUND(+Usage!J39,0),ROUND(+Usage!J28,0))</f>
        <v>2200</v>
      </c>
      <c r="K17" s="677">
        <f>IF(+Days=366,ROUND(+Usage!K39,0),ROUND(+Usage!K28,0))</f>
        <v>7100</v>
      </c>
      <c r="L17" s="713"/>
      <c r="M17" s="677">
        <f>IF(+Days=366,ROUND(+Usage!M39,0),ROUND(+Usage!M28,0))</f>
        <v>10000</v>
      </c>
    </row>
    <row r="18" spans="2:13" x14ac:dyDescent="0.35">
      <c r="B18" s="658" t="s">
        <v>0</v>
      </c>
      <c r="C18" s="677">
        <f>IF(+Days=366,Usage!C40,Usage!C29)</f>
        <v>4600</v>
      </c>
      <c r="D18" s="713"/>
      <c r="E18" s="677">
        <f>IF(+Days=366,Usage!E40,Usage!E29)</f>
        <v>4400</v>
      </c>
      <c r="F18" s="714">
        <f>IF(+Days=366,+Usage!F40,+Usage!F29)</f>
        <v>0.28999999999999998</v>
      </c>
      <c r="G18" s="714">
        <f>IF(+Days=366,+Usage!G40,+Usage!G29)</f>
        <v>0.71</v>
      </c>
      <c r="H18" s="677">
        <f>IF(+Days=366,ROUND(+Usage!H40,0),ROUND(+Usage!H29,0))</f>
        <v>551</v>
      </c>
      <c r="I18" s="677">
        <f>IF(+Days=366,ROUND(+Usage!I40,0),ROUND(+Usage!I29,0))</f>
        <v>1349</v>
      </c>
      <c r="J18" s="677">
        <f>IF(+Days=366,ROUND(+Usage!J40,0),ROUND(+Usage!J29,0))</f>
        <v>1900</v>
      </c>
      <c r="K18" s="677">
        <f>IF(+Days=366,ROUND(+Usage!K40,0),ROUND(+Usage!K29,0))</f>
        <v>6500</v>
      </c>
      <c r="L18" s="713"/>
      <c r="M18" s="677">
        <f>IF(+Days=366,ROUND(+Usage!M40,0),ROUND(+Usage!M29,0))</f>
        <v>10000</v>
      </c>
    </row>
    <row r="19" spans="2:13" x14ac:dyDescent="0.35">
      <c r="B19" s="658" t="s">
        <v>3</v>
      </c>
      <c r="C19" s="677">
        <f>IF(+Days=366,Usage!C41,Usage!C30)</f>
        <v>4600</v>
      </c>
      <c r="D19" s="713"/>
      <c r="E19" s="677">
        <f>IF(+Days=366,Usage!E41,Usage!E30)</f>
        <v>4600</v>
      </c>
      <c r="F19" s="714">
        <f>IF(+Days=366,+Usage!F41,+Usage!F30)</f>
        <v>0.77</v>
      </c>
      <c r="G19" s="714">
        <f>IF(+Days=366,+Usage!G41,+Usage!G30)</f>
        <v>0.22999999999999998</v>
      </c>
      <c r="H19" s="677">
        <f>IF(+Days=366,ROUND(+Usage!H41,0),ROUND(+Usage!H30,0))</f>
        <v>1540</v>
      </c>
      <c r="I19" s="677">
        <f>IF(+Days=366,ROUND(+Usage!I41,0),ROUND(+Usage!I30,0))</f>
        <v>460</v>
      </c>
      <c r="J19" s="677">
        <f>IF(+Days=366,ROUND(+Usage!J41,0),ROUND(+Usage!J30,0))</f>
        <v>2000</v>
      </c>
      <c r="K19" s="677">
        <f>IF(+Days=366,ROUND(+Usage!K41,0),ROUND(+Usage!K30,0))</f>
        <v>6600</v>
      </c>
      <c r="L19" s="713"/>
      <c r="M19" s="677">
        <f>IF(+Days=366,ROUND(+Usage!M41,0),ROUND(+Usage!M30,0))</f>
        <v>10000</v>
      </c>
    </row>
    <row r="20" spans="2:13" x14ac:dyDescent="0.35">
      <c r="B20" s="658" t="s">
        <v>5</v>
      </c>
      <c r="C20" s="677">
        <f>IF(+Days=366,Usage!C42,Usage!C31)</f>
        <v>4000</v>
      </c>
      <c r="D20" s="713"/>
      <c r="E20" s="677">
        <f>IF(+Days=366,Usage!E42,Usage!E31)</f>
        <v>4200</v>
      </c>
      <c r="F20" s="714">
        <f>IF(+Days=366,+Usage!F42,+Usage!F31)</f>
        <v>1</v>
      </c>
      <c r="G20" s="714">
        <f>IF(+Days=366,+Usage!G42,+Usage!G31)</f>
        <v>0</v>
      </c>
      <c r="H20" s="677">
        <f>IF(+Days=366,ROUND(+Usage!H42,0),ROUND(+Usage!H31,0))</f>
        <v>1800</v>
      </c>
      <c r="I20" s="677">
        <f>IF(+Days=366,ROUND(+Usage!I42,0),ROUND(+Usage!I31,0))</f>
        <v>0</v>
      </c>
      <c r="J20" s="677">
        <f>IF(+Days=366,ROUND(+Usage!J42,0),ROUND(+Usage!J31,0))</f>
        <v>1800</v>
      </c>
      <c r="K20" s="677">
        <f>IF(+Days=366,ROUND(+Usage!K42,0),ROUND(+Usage!K31,0))</f>
        <v>5800</v>
      </c>
      <c r="L20" s="713"/>
      <c r="M20" s="677">
        <f>IF(+Days=366,ROUND(+Usage!M42,0),ROUND(+Usage!M31,0))</f>
        <v>10000</v>
      </c>
    </row>
    <row r="21" spans="2:13" x14ac:dyDescent="0.35">
      <c r="C21" s="65"/>
      <c r="D21" s="65"/>
      <c r="E21" s="65"/>
      <c r="F21" s="65"/>
      <c r="G21" s="65"/>
      <c r="H21" s="65"/>
      <c r="I21" s="65"/>
      <c r="J21" s="65"/>
      <c r="K21" s="65"/>
      <c r="L21" s="65"/>
      <c r="M21" s="65"/>
    </row>
    <row r="22" spans="2:13" x14ac:dyDescent="0.35">
      <c r="B22" s="361">
        <f>Days</f>
        <v>365</v>
      </c>
      <c r="C22" s="917" t="str">
        <f>FY</f>
        <v>2026-27</v>
      </c>
      <c r="D22" s="917"/>
      <c r="E22" s="917"/>
      <c r="F22" s="917"/>
      <c r="G22" s="917"/>
      <c r="H22" s="917"/>
      <c r="I22" s="917"/>
      <c r="J22" s="917"/>
      <c r="K22" s="917"/>
      <c r="L22" s="917"/>
      <c r="M22" s="917"/>
    </row>
    <row r="23" spans="2:13" x14ac:dyDescent="0.3">
      <c r="B23" s="704" t="s">
        <v>1</v>
      </c>
      <c r="C23" s="705" t="s">
        <v>6</v>
      </c>
      <c r="D23" s="706"/>
      <c r="E23" s="705" t="s">
        <v>6</v>
      </c>
      <c r="F23" s="705"/>
      <c r="G23" s="705"/>
      <c r="H23" s="705"/>
      <c r="I23" s="705"/>
      <c r="J23" s="705"/>
      <c r="K23" s="705"/>
      <c r="L23" s="707"/>
      <c r="M23" s="705" t="s">
        <v>13</v>
      </c>
    </row>
    <row r="24" spans="2:13" x14ac:dyDescent="0.35">
      <c r="B24" s="704"/>
      <c r="C24" s="735" t="s">
        <v>123</v>
      </c>
      <c r="D24" s="702"/>
      <c r="E24" s="708" t="s">
        <v>124</v>
      </c>
      <c r="F24" s="708"/>
      <c r="G24" s="708"/>
      <c r="H24" s="708"/>
      <c r="I24" s="708"/>
      <c r="J24" s="708"/>
      <c r="K24" s="708"/>
      <c r="L24" s="702"/>
      <c r="M24" s="735" t="s">
        <v>123</v>
      </c>
    </row>
    <row r="25" spans="2:13" x14ac:dyDescent="0.35">
      <c r="B25" s="704"/>
      <c r="C25" s="709" t="s">
        <v>19</v>
      </c>
      <c r="D25" s="710"/>
      <c r="E25" s="709" t="s">
        <v>19</v>
      </c>
      <c r="F25" s="709" t="s">
        <v>16</v>
      </c>
      <c r="G25" s="709"/>
      <c r="H25" s="709"/>
      <c r="I25" s="709"/>
      <c r="J25" s="709"/>
      <c r="K25" s="709" t="s">
        <v>55</v>
      </c>
      <c r="L25" s="710"/>
      <c r="M25" s="710" t="s">
        <v>19</v>
      </c>
    </row>
    <row r="26" spans="2:13" s="711" customFormat="1" ht="14.5" x14ac:dyDescent="0.35">
      <c r="B26" s="704"/>
      <c r="C26" s="712" t="s">
        <v>55</v>
      </c>
      <c r="D26" s="712"/>
      <c r="E26" s="712" t="s">
        <v>55</v>
      </c>
      <c r="F26" s="712" t="s">
        <v>149</v>
      </c>
      <c r="G26" s="712" t="s">
        <v>150</v>
      </c>
      <c r="H26" s="712" t="s">
        <v>14</v>
      </c>
      <c r="I26" s="712" t="s">
        <v>15</v>
      </c>
      <c r="J26" s="712" t="s">
        <v>55</v>
      </c>
      <c r="K26" s="710"/>
      <c r="L26" s="712"/>
      <c r="M26" s="712" t="s">
        <v>55</v>
      </c>
    </row>
    <row r="27" spans="2:13" x14ac:dyDescent="0.35">
      <c r="B27" s="658" t="s">
        <v>2</v>
      </c>
      <c r="C27" s="677">
        <f>+C50</f>
        <v>3900</v>
      </c>
      <c r="D27" s="713"/>
      <c r="E27" s="677">
        <f>+E50</f>
        <v>4800</v>
      </c>
      <c r="F27" s="714">
        <v>0.67</v>
      </c>
      <c r="G27" s="714">
        <v>0.32999999999999996</v>
      </c>
      <c r="H27" s="677">
        <f>+H50</f>
        <v>1340</v>
      </c>
      <c r="I27" s="677">
        <f>+I50</f>
        <v>660</v>
      </c>
      <c r="J27" s="677">
        <f>+J50</f>
        <v>2000</v>
      </c>
      <c r="K27" s="677">
        <f>+K50</f>
        <v>5900</v>
      </c>
      <c r="L27" s="677"/>
      <c r="M27" s="677">
        <f>+M50</f>
        <v>10000</v>
      </c>
    </row>
    <row r="28" spans="2:13" x14ac:dyDescent="0.35">
      <c r="B28" s="658" t="s">
        <v>4</v>
      </c>
      <c r="C28" s="677">
        <f t="shared" ref="C28:E31" si="3">+C51</f>
        <v>4900</v>
      </c>
      <c r="D28" s="713"/>
      <c r="E28" s="677">
        <f t="shared" si="3"/>
        <v>5200</v>
      </c>
      <c r="F28" s="714">
        <v>0.67</v>
      </c>
      <c r="G28" s="714">
        <v>0.32999999999999996</v>
      </c>
      <c r="H28" s="677">
        <f t="shared" ref="H28:M28" si="4">+H51</f>
        <v>1474</v>
      </c>
      <c r="I28" s="677">
        <f t="shared" si="4"/>
        <v>726</v>
      </c>
      <c r="J28" s="677">
        <f t="shared" si="4"/>
        <v>2200</v>
      </c>
      <c r="K28" s="677">
        <f t="shared" si="4"/>
        <v>7100</v>
      </c>
      <c r="L28" s="677"/>
      <c r="M28" s="677">
        <f t="shared" si="4"/>
        <v>10000</v>
      </c>
    </row>
    <row r="29" spans="2:13" x14ac:dyDescent="0.35">
      <c r="B29" s="658" t="s">
        <v>0</v>
      </c>
      <c r="C29" s="677">
        <f>+C52</f>
        <v>4600</v>
      </c>
      <c r="D29" s="713"/>
      <c r="E29" s="677">
        <f t="shared" si="3"/>
        <v>4400</v>
      </c>
      <c r="F29" s="714">
        <v>0.28999999999999998</v>
      </c>
      <c r="G29" s="714">
        <v>0.71</v>
      </c>
      <c r="H29" s="677">
        <f t="shared" ref="H29:M29" si="5">+H52</f>
        <v>551</v>
      </c>
      <c r="I29" s="677">
        <f t="shared" si="5"/>
        <v>1349</v>
      </c>
      <c r="J29" s="677">
        <f t="shared" si="5"/>
        <v>1900</v>
      </c>
      <c r="K29" s="677">
        <f t="shared" si="5"/>
        <v>6500</v>
      </c>
      <c r="L29" s="677"/>
      <c r="M29" s="677">
        <f t="shared" si="5"/>
        <v>10000</v>
      </c>
    </row>
    <row r="30" spans="2:13" x14ac:dyDescent="0.35">
      <c r="B30" s="658" t="s">
        <v>3</v>
      </c>
      <c r="C30" s="677">
        <f t="shared" si="3"/>
        <v>4600</v>
      </c>
      <c r="D30" s="713"/>
      <c r="E30" s="677">
        <f t="shared" si="3"/>
        <v>4600</v>
      </c>
      <c r="F30" s="714">
        <v>0.77</v>
      </c>
      <c r="G30" s="714">
        <v>0.22999999999999998</v>
      </c>
      <c r="H30" s="677">
        <f t="shared" ref="H30:M30" si="6">+H53</f>
        <v>1540</v>
      </c>
      <c r="I30" s="677">
        <f t="shared" si="6"/>
        <v>460</v>
      </c>
      <c r="J30" s="677">
        <f t="shared" si="6"/>
        <v>2000</v>
      </c>
      <c r="K30" s="677">
        <f t="shared" si="6"/>
        <v>6600</v>
      </c>
      <c r="L30" s="677"/>
      <c r="M30" s="677">
        <f t="shared" si="6"/>
        <v>10000</v>
      </c>
    </row>
    <row r="31" spans="2:13" x14ac:dyDescent="0.35">
      <c r="B31" s="658" t="s">
        <v>5</v>
      </c>
      <c r="C31" s="677">
        <f t="shared" si="3"/>
        <v>4000</v>
      </c>
      <c r="D31" s="713"/>
      <c r="E31" s="677">
        <f t="shared" si="3"/>
        <v>4200</v>
      </c>
      <c r="F31" s="714">
        <v>1</v>
      </c>
      <c r="G31" s="714">
        <v>0</v>
      </c>
      <c r="H31" s="677">
        <f t="shared" ref="H31:M31" si="7">+H54</f>
        <v>1800</v>
      </c>
      <c r="I31" s="677">
        <f t="shared" si="7"/>
        <v>0</v>
      </c>
      <c r="J31" s="677">
        <f t="shared" si="7"/>
        <v>1800</v>
      </c>
      <c r="K31" s="677">
        <f t="shared" si="7"/>
        <v>5800</v>
      </c>
      <c r="L31" s="677"/>
      <c r="M31" s="677">
        <f t="shared" si="7"/>
        <v>10000</v>
      </c>
    </row>
    <row r="32" spans="2:13" x14ac:dyDescent="0.35">
      <c r="C32" s="65"/>
      <c r="D32" s="65"/>
      <c r="E32" s="65"/>
      <c r="F32" s="65"/>
      <c r="G32" s="65"/>
      <c r="H32" s="65"/>
      <c r="I32" s="65"/>
      <c r="J32" s="65"/>
      <c r="K32" s="65"/>
      <c r="L32" s="65"/>
      <c r="M32" s="65"/>
    </row>
    <row r="33" spans="2:13" x14ac:dyDescent="0.35">
      <c r="B33" s="361">
        <f>+'Network Tariff codes'!D12</f>
        <v>365</v>
      </c>
      <c r="C33" s="917" t="str">
        <f>PY</f>
        <v>2025-26</v>
      </c>
      <c r="D33" s="917"/>
      <c r="E33" s="917"/>
      <c r="F33" s="917"/>
      <c r="G33" s="917"/>
      <c r="H33" s="917"/>
      <c r="I33" s="917"/>
      <c r="J33" s="917"/>
      <c r="K33" s="917"/>
      <c r="L33" s="917"/>
      <c r="M33" s="917"/>
    </row>
    <row r="34" spans="2:13" x14ac:dyDescent="0.3">
      <c r="B34" s="704" t="s">
        <v>1</v>
      </c>
      <c r="C34" s="705" t="s">
        <v>6</v>
      </c>
      <c r="D34" s="706"/>
      <c r="E34" s="705" t="s">
        <v>6</v>
      </c>
      <c r="F34" s="705"/>
      <c r="G34" s="705"/>
      <c r="H34" s="705"/>
      <c r="I34" s="705"/>
      <c r="J34" s="705"/>
      <c r="K34" s="705"/>
      <c r="L34" s="707"/>
      <c r="M34" s="705" t="s">
        <v>13</v>
      </c>
    </row>
    <row r="35" spans="2:13" x14ac:dyDescent="0.35">
      <c r="B35" s="704"/>
      <c r="C35" s="735" t="s">
        <v>123</v>
      </c>
      <c r="D35" s="702"/>
      <c r="E35" s="708" t="s">
        <v>124</v>
      </c>
      <c r="F35" s="708"/>
      <c r="G35" s="708"/>
      <c r="H35" s="708"/>
      <c r="I35" s="708"/>
      <c r="J35" s="708"/>
      <c r="K35" s="708"/>
      <c r="L35" s="702"/>
      <c r="M35" s="735" t="s">
        <v>123</v>
      </c>
    </row>
    <row r="36" spans="2:13" x14ac:dyDescent="0.35">
      <c r="B36" s="704"/>
      <c r="C36" s="709" t="s">
        <v>19</v>
      </c>
      <c r="D36" s="710"/>
      <c r="E36" s="709" t="s">
        <v>19</v>
      </c>
      <c r="F36" s="709" t="s">
        <v>16</v>
      </c>
      <c r="G36" s="709"/>
      <c r="H36" s="709"/>
      <c r="I36" s="709"/>
      <c r="J36" s="709"/>
      <c r="K36" s="709" t="s">
        <v>55</v>
      </c>
      <c r="L36" s="710"/>
      <c r="M36" s="710" t="s">
        <v>19</v>
      </c>
    </row>
    <row r="37" spans="2:13" x14ac:dyDescent="0.35">
      <c r="B37" s="704"/>
      <c r="C37" s="712" t="s">
        <v>55</v>
      </c>
      <c r="D37" s="712"/>
      <c r="E37" s="712" t="s">
        <v>55</v>
      </c>
      <c r="F37" s="712" t="s">
        <v>149</v>
      </c>
      <c r="G37" s="712" t="s">
        <v>150</v>
      </c>
      <c r="H37" s="712" t="s">
        <v>14</v>
      </c>
      <c r="I37" s="712" t="s">
        <v>15</v>
      </c>
      <c r="J37" s="712" t="s">
        <v>55</v>
      </c>
      <c r="K37" s="710"/>
      <c r="L37" s="712"/>
      <c r="M37" s="712" t="s">
        <v>55</v>
      </c>
    </row>
    <row r="38" spans="2:13" x14ac:dyDescent="0.35">
      <c r="B38" s="658" t="str">
        <f>+B16</f>
        <v>Ausgrid</v>
      </c>
      <c r="C38" s="715">
        <f>ROUND(+C50/+$B$22*$B$33,0)</f>
        <v>3900</v>
      </c>
      <c r="D38" s="716">
        <v>0</v>
      </c>
      <c r="E38" s="715">
        <f>ROUND(+E50/+$B$22*$B$33,0)</f>
        <v>4800</v>
      </c>
      <c r="F38" s="717">
        <v>0.67</v>
      </c>
      <c r="G38" s="717">
        <v>0.32999999999999996</v>
      </c>
      <c r="H38" s="715">
        <f t="shared" ref="H38:I42" si="8">ROUND(+H50/+$B$22*$B$33,0)</f>
        <v>1340</v>
      </c>
      <c r="I38" s="715">
        <f t="shared" si="8"/>
        <v>660</v>
      </c>
      <c r="J38" s="715">
        <f>+I38+H38</f>
        <v>2000</v>
      </c>
      <c r="K38" s="715">
        <f>ROUND(+K50/+$B$22*$B$33,0)</f>
        <v>5900</v>
      </c>
      <c r="L38" s="716">
        <v>0</v>
      </c>
      <c r="M38" s="715">
        <f>ROUND(+M50/+$B$22*$B$33,0)</f>
        <v>10000</v>
      </c>
    </row>
    <row r="39" spans="2:13" x14ac:dyDescent="0.35">
      <c r="B39" s="658" t="str">
        <f>+B17</f>
        <v>Endeavour</v>
      </c>
      <c r="C39" s="715">
        <f>ROUND(+C51/+$B$22*$B$33,0)</f>
        <v>4900</v>
      </c>
      <c r="D39" s="716">
        <v>0</v>
      </c>
      <c r="E39" s="715">
        <f>ROUND(+E51/+$B$22*$B$33,0)</f>
        <v>5200</v>
      </c>
      <c r="F39" s="717">
        <v>0.67</v>
      </c>
      <c r="G39" s="717">
        <v>0.32999999999999996</v>
      </c>
      <c r="H39" s="715">
        <f t="shared" si="8"/>
        <v>1474</v>
      </c>
      <c r="I39" s="715">
        <f t="shared" si="8"/>
        <v>726</v>
      </c>
      <c r="J39" s="715">
        <f>+I39+H39</f>
        <v>2200</v>
      </c>
      <c r="K39" s="715">
        <f>ROUND(+K51/+$B$22*$B$33,0)</f>
        <v>7100</v>
      </c>
      <c r="L39" s="716">
        <v>0</v>
      </c>
      <c r="M39" s="715">
        <f>ROUND(+M51/+$B$22*$B$33,0)</f>
        <v>10000</v>
      </c>
    </row>
    <row r="40" spans="2:13" x14ac:dyDescent="0.35">
      <c r="B40" s="658" t="str">
        <f>+B18</f>
        <v>Energex</v>
      </c>
      <c r="C40" s="715">
        <f>ROUND(+C52/+$B$22*$B$33,0)</f>
        <v>4600</v>
      </c>
      <c r="D40" s="716">
        <v>0</v>
      </c>
      <c r="E40" s="715">
        <f>ROUND(+E52/+$B$22*$B$33,0)</f>
        <v>4400</v>
      </c>
      <c r="F40" s="717">
        <v>0.28999999999999998</v>
      </c>
      <c r="G40" s="717">
        <v>0.71</v>
      </c>
      <c r="H40" s="715">
        <f t="shared" si="8"/>
        <v>551</v>
      </c>
      <c r="I40" s="715">
        <f t="shared" si="8"/>
        <v>1349</v>
      </c>
      <c r="J40" s="715">
        <f>+I40+H40</f>
        <v>1900</v>
      </c>
      <c r="K40" s="715">
        <f>ROUND(+K52/+$B$22*$B$33,0)</f>
        <v>6500</v>
      </c>
      <c r="L40" s="716">
        <v>0</v>
      </c>
      <c r="M40" s="715">
        <f>ROUND(+M52/+$B$22*$B$33,0)</f>
        <v>10000</v>
      </c>
    </row>
    <row r="41" spans="2:13" x14ac:dyDescent="0.35">
      <c r="B41" s="658" t="str">
        <f>+B19</f>
        <v>Essential</v>
      </c>
      <c r="C41" s="715">
        <f>ROUND(+C53/+$B$22*$B$33,0)</f>
        <v>4600</v>
      </c>
      <c r="D41" s="716">
        <v>0</v>
      </c>
      <c r="E41" s="715">
        <f>ROUND(+E53/+$B$22*$B$33,0)</f>
        <v>4600</v>
      </c>
      <c r="F41" s="717">
        <v>0.77</v>
      </c>
      <c r="G41" s="717">
        <v>0.22999999999999998</v>
      </c>
      <c r="H41" s="715">
        <f t="shared" si="8"/>
        <v>1540</v>
      </c>
      <c r="I41" s="715">
        <f t="shared" si="8"/>
        <v>460</v>
      </c>
      <c r="J41" s="715">
        <f>+I41+H41</f>
        <v>2000</v>
      </c>
      <c r="K41" s="715">
        <f>ROUND(+K53/+$B$22*$B$33,0)</f>
        <v>6600</v>
      </c>
      <c r="L41" s="716">
        <v>0</v>
      </c>
      <c r="M41" s="715">
        <f>ROUND(+M53/+$B$22*$B$33,0)</f>
        <v>10000</v>
      </c>
    </row>
    <row r="42" spans="2:13" x14ac:dyDescent="0.35">
      <c r="B42" s="658" t="str">
        <f>+B20</f>
        <v>SAPN</v>
      </c>
      <c r="C42" s="715">
        <f>ROUND(+C54/+$B$22*$B$33,0)</f>
        <v>4000</v>
      </c>
      <c r="D42" s="716">
        <v>0</v>
      </c>
      <c r="E42" s="715">
        <f>ROUND(+E54/+$B$22*$B$33,0)</f>
        <v>4200</v>
      </c>
      <c r="F42" s="717">
        <v>1</v>
      </c>
      <c r="G42" s="717">
        <v>0</v>
      </c>
      <c r="H42" s="715">
        <f t="shared" si="8"/>
        <v>1800</v>
      </c>
      <c r="I42" s="715">
        <f t="shared" si="8"/>
        <v>0</v>
      </c>
      <c r="J42" s="715">
        <f>+I42+H42</f>
        <v>1800</v>
      </c>
      <c r="K42" s="715">
        <f>ROUND(+K54/+$B$22*$B$33,0)</f>
        <v>5800</v>
      </c>
      <c r="L42" s="716">
        <v>0</v>
      </c>
      <c r="M42" s="715">
        <f>ROUND(+M54/+$B$22*$B$33,0)</f>
        <v>10000</v>
      </c>
    </row>
    <row r="43" spans="2:13" x14ac:dyDescent="0.35">
      <c r="F43" s="718"/>
      <c r="G43" s="718"/>
      <c r="J43" s="65"/>
      <c r="L43" s="65"/>
      <c r="M43" s="65"/>
    </row>
    <row r="44" spans="2:13" x14ac:dyDescent="0.35">
      <c r="I44" s="65"/>
      <c r="J44" s="65"/>
      <c r="K44" s="65"/>
      <c r="L44" s="65"/>
      <c r="M44" s="65"/>
    </row>
    <row r="45" spans="2:13" x14ac:dyDescent="0.35">
      <c r="B45" s="361"/>
      <c r="C45" s="917" t="s">
        <v>189</v>
      </c>
      <c r="D45" s="917"/>
      <c r="E45" s="917"/>
      <c r="F45" s="917"/>
      <c r="G45" s="917"/>
      <c r="H45" s="917"/>
      <c r="I45" s="917"/>
      <c r="J45" s="917"/>
      <c r="K45" s="917"/>
      <c r="L45" s="917"/>
      <c r="M45" s="917"/>
    </row>
    <row r="46" spans="2:13" x14ac:dyDescent="0.3">
      <c r="B46" s="704" t="s">
        <v>1</v>
      </c>
      <c r="C46" s="705" t="s">
        <v>6</v>
      </c>
      <c r="D46" s="706"/>
      <c r="E46" s="705" t="s">
        <v>6</v>
      </c>
      <c r="F46" s="705"/>
      <c r="G46" s="705"/>
      <c r="H46" s="705"/>
      <c r="I46" s="705"/>
      <c r="J46" s="705"/>
      <c r="K46" s="705"/>
      <c r="L46" s="707"/>
      <c r="M46" s="705" t="s">
        <v>13</v>
      </c>
    </row>
    <row r="47" spans="2:13" x14ac:dyDescent="0.35">
      <c r="B47" s="704"/>
      <c r="C47" s="735" t="s">
        <v>123</v>
      </c>
      <c r="D47" s="702"/>
      <c r="E47" s="708" t="s">
        <v>124</v>
      </c>
      <c r="F47" s="708"/>
      <c r="G47" s="708"/>
      <c r="H47" s="708"/>
      <c r="I47" s="708"/>
      <c r="J47" s="708"/>
      <c r="K47" s="708"/>
      <c r="L47" s="702"/>
      <c r="M47" s="735" t="s">
        <v>123</v>
      </c>
    </row>
    <row r="48" spans="2:13" x14ac:dyDescent="0.35">
      <c r="B48" s="704"/>
      <c r="C48" s="709" t="s">
        <v>19</v>
      </c>
      <c r="D48" s="710"/>
      <c r="E48" s="709" t="s">
        <v>19</v>
      </c>
      <c r="F48" s="709" t="s">
        <v>16</v>
      </c>
      <c r="G48" s="709"/>
      <c r="H48" s="709"/>
      <c r="I48" s="709"/>
      <c r="J48" s="709"/>
      <c r="K48" s="709" t="s">
        <v>55</v>
      </c>
      <c r="L48" s="710"/>
      <c r="M48" s="710" t="s">
        <v>19</v>
      </c>
    </row>
    <row r="49" spans="2:13" x14ac:dyDescent="0.35">
      <c r="B49" s="704"/>
      <c r="C49" s="712" t="s">
        <v>55</v>
      </c>
      <c r="D49" s="712"/>
      <c r="E49" s="712" t="s">
        <v>55</v>
      </c>
      <c r="F49" s="712" t="s">
        <v>149</v>
      </c>
      <c r="G49" s="712" t="s">
        <v>150</v>
      </c>
      <c r="H49" s="712" t="s">
        <v>14</v>
      </c>
      <c r="I49" s="712" t="s">
        <v>15</v>
      </c>
      <c r="J49" s="712" t="s">
        <v>55</v>
      </c>
      <c r="K49" s="710"/>
      <c r="L49" s="712"/>
      <c r="M49" s="712" t="s">
        <v>55</v>
      </c>
    </row>
    <row r="50" spans="2:13" x14ac:dyDescent="0.35">
      <c r="B50" s="658" t="str">
        <f>+B27</f>
        <v>Ausgrid</v>
      </c>
      <c r="C50" s="719">
        <v>3900</v>
      </c>
      <c r="D50" s="720">
        <v>0</v>
      </c>
      <c r="E50" s="719">
        <v>4800</v>
      </c>
      <c r="F50" s="721">
        <v>0.67</v>
      </c>
      <c r="G50" s="721">
        <v>0.32999999999999996</v>
      </c>
      <c r="H50" s="719">
        <v>1340</v>
      </c>
      <c r="I50" s="719">
        <v>660</v>
      </c>
      <c r="J50" s="719">
        <v>2000</v>
      </c>
      <c r="K50" s="719">
        <f>SUM(C50,J50)</f>
        <v>5900</v>
      </c>
      <c r="L50" s="720">
        <v>0</v>
      </c>
      <c r="M50" s="719">
        <v>10000</v>
      </c>
    </row>
    <row r="51" spans="2:13" x14ac:dyDescent="0.35">
      <c r="B51" s="658" t="str">
        <f>+B28</f>
        <v>Endeavour</v>
      </c>
      <c r="C51" s="719">
        <v>4900</v>
      </c>
      <c r="D51" s="720">
        <v>0</v>
      </c>
      <c r="E51" s="719">
        <v>5200</v>
      </c>
      <c r="F51" s="721">
        <v>0.67</v>
      </c>
      <c r="G51" s="721">
        <v>0.32999999999999996</v>
      </c>
      <c r="H51" s="719">
        <v>1474</v>
      </c>
      <c r="I51" s="719">
        <v>726</v>
      </c>
      <c r="J51" s="719">
        <v>2200</v>
      </c>
      <c r="K51" s="719">
        <f>SUM(C51,J51)</f>
        <v>7100</v>
      </c>
      <c r="L51" s="720">
        <v>0</v>
      </c>
      <c r="M51" s="719">
        <v>10000</v>
      </c>
    </row>
    <row r="52" spans="2:13" x14ac:dyDescent="0.35">
      <c r="B52" s="658" t="str">
        <f>+B29</f>
        <v>Energex</v>
      </c>
      <c r="C52" s="719">
        <v>4600</v>
      </c>
      <c r="D52" s="720">
        <v>0</v>
      </c>
      <c r="E52" s="719">
        <v>4400</v>
      </c>
      <c r="F52" s="721">
        <v>0.28999999999999998</v>
      </c>
      <c r="G52" s="721">
        <v>0.71</v>
      </c>
      <c r="H52" s="719">
        <v>551</v>
      </c>
      <c r="I52" s="719">
        <v>1349</v>
      </c>
      <c r="J52" s="719">
        <v>1900</v>
      </c>
      <c r="K52" s="719">
        <f>SUM(C52,J52)</f>
        <v>6500</v>
      </c>
      <c r="L52" s="720">
        <v>0</v>
      </c>
      <c r="M52" s="719">
        <v>10000</v>
      </c>
    </row>
    <row r="53" spans="2:13" x14ac:dyDescent="0.35">
      <c r="B53" s="658" t="str">
        <f>+B30</f>
        <v>Essential</v>
      </c>
      <c r="C53" s="719">
        <v>4600</v>
      </c>
      <c r="D53" s="720">
        <v>0</v>
      </c>
      <c r="E53" s="719">
        <v>4600</v>
      </c>
      <c r="F53" s="721">
        <v>0.77</v>
      </c>
      <c r="G53" s="721">
        <v>0.22999999999999998</v>
      </c>
      <c r="H53" s="719">
        <v>1540</v>
      </c>
      <c r="I53" s="719">
        <v>460</v>
      </c>
      <c r="J53" s="719">
        <v>2000</v>
      </c>
      <c r="K53" s="719">
        <f>SUM(C53,J53)</f>
        <v>6600</v>
      </c>
      <c r="L53" s="720">
        <v>0</v>
      </c>
      <c r="M53" s="719">
        <v>10000</v>
      </c>
    </row>
    <row r="54" spans="2:13" x14ac:dyDescent="0.35">
      <c r="B54" s="658" t="str">
        <f>+B31</f>
        <v>SAPN</v>
      </c>
      <c r="C54" s="719">
        <v>4000</v>
      </c>
      <c r="D54" s="720">
        <v>0</v>
      </c>
      <c r="E54" s="719">
        <v>4200</v>
      </c>
      <c r="F54" s="721">
        <v>1</v>
      </c>
      <c r="G54" s="721">
        <v>0</v>
      </c>
      <c r="H54" s="719">
        <v>1800</v>
      </c>
      <c r="I54" s="719">
        <v>0</v>
      </c>
      <c r="J54" s="719">
        <v>1800</v>
      </c>
      <c r="K54" s="719">
        <f>SUM(C54,J54)</f>
        <v>5800</v>
      </c>
      <c r="L54" s="720">
        <v>0</v>
      </c>
      <c r="M54" s="719">
        <v>10000</v>
      </c>
    </row>
    <row r="55" spans="2:13" x14ac:dyDescent="0.35">
      <c r="C55" s="65"/>
      <c r="D55" s="65"/>
      <c r="E55" s="65"/>
      <c r="F55" s="65"/>
      <c r="G55" s="65"/>
      <c r="H55" s="65"/>
      <c r="I55" s="65"/>
      <c r="J55" s="65"/>
      <c r="K55" s="65"/>
      <c r="L55" s="65"/>
      <c r="M55" s="65"/>
    </row>
  </sheetData>
  <sheetProtection algorithmName="SHA-256" hashValue="iMKg6iPbwpzOFXJyV9e/8cX5zcncyxGri7VfohW2pV0=" saltValue="bJjupj3fFQapbfEcUn1XZg==" spinCount="100000" sheet="1" formatCells="0" formatColumns="0" formatRows="0" insertColumns="0" insertRows="0" insertHyperlinks="0" deleteColumns="0" deleteRows="0" sort="0" autoFilter="0" pivotTables="0"/>
  <mergeCells count="5">
    <mergeCell ref="C33:M33"/>
    <mergeCell ref="C11:M11"/>
    <mergeCell ref="A1:B1"/>
    <mergeCell ref="C22:M22"/>
    <mergeCell ref="C45:M45"/>
  </mergeCells>
  <conditionalFormatting sqref="B16:M20">
    <cfRule type="expression" dxfId="3" priority="5">
      <formula>MOD(ROW(),2)=0</formula>
    </cfRule>
  </conditionalFormatting>
  <conditionalFormatting sqref="B27:M31">
    <cfRule type="expression" dxfId="2" priority="2">
      <formula>MOD(ROW(),2)=0</formula>
    </cfRule>
  </conditionalFormatting>
  <conditionalFormatting sqref="B38:M42">
    <cfRule type="expression" dxfId="1" priority="3">
      <formula>MOD(ROW(),2)=0</formula>
    </cfRule>
  </conditionalFormatting>
  <conditionalFormatting sqref="B50:M54">
    <cfRule type="expression" dxfId="0" priority="1">
      <formula>MOD(ROW(),2)=0</formula>
    </cfRule>
  </conditionalFormatting>
  <hyperlinks>
    <hyperlink ref="A1" location="Index!A1" display="&lt;&lt;Back to Index" xr:uid="{00000000-0004-0000-1600-000000000000}"/>
  </hyperlinks>
  <pageMargins left="0.7" right="0.7" top="0.75" bottom="0.75" header="0.3" footer="0.3"/>
  <pageSetup paperSize="9" orientation="portrait" r:id="rId1"/>
  <headerFooter>
    <oddHeader>&amp;C&amp;"Calibri"&amp;10&amp;KFF0000 OFFICIAL SENSITIVE&amp;1#_x000D_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F9:K14"/>
  <sheetViews>
    <sheetView workbookViewId="0">
      <selection activeCell="F17" sqref="F17"/>
    </sheetView>
  </sheetViews>
  <sheetFormatPr defaultColWidth="8.81640625" defaultRowHeight="14.5" x14ac:dyDescent="0.35"/>
  <cols>
    <col min="1" max="16384" width="8.81640625" style="2"/>
  </cols>
  <sheetData>
    <row r="9" spans="6:11" ht="35" x14ac:dyDescent="0.35">
      <c r="F9" s="765" t="s">
        <v>141</v>
      </c>
      <c r="G9" s="30"/>
      <c r="H9" s="30"/>
      <c r="I9" s="30"/>
      <c r="J9" s="30"/>
      <c r="K9" s="30"/>
    </row>
    <row r="10" spans="6:11" ht="35" x14ac:dyDescent="0.35">
      <c r="F10" s="765" t="str">
        <f>"DMO "&amp;FY</f>
        <v>DMO 2026-27</v>
      </c>
      <c r="G10" s="30"/>
      <c r="H10" s="30"/>
      <c r="I10" s="30"/>
      <c r="J10" s="30"/>
      <c r="K10" s="30"/>
    </row>
    <row r="11" spans="6:11" ht="23" x14ac:dyDescent="0.35">
      <c r="F11" s="766"/>
      <c r="G11" s="30"/>
      <c r="H11" s="30"/>
      <c r="I11" s="30"/>
      <c r="J11" s="30"/>
      <c r="K11" s="30"/>
    </row>
    <row r="12" spans="6:11" ht="23.5" x14ac:dyDescent="0.35">
      <c r="F12" s="3"/>
    </row>
    <row r="13" spans="6:11" x14ac:dyDescent="0.35">
      <c r="F13" s="4"/>
    </row>
    <row r="14" spans="6:11" x14ac:dyDescent="0.35">
      <c r="F14" s="4"/>
    </row>
  </sheetData>
  <sheetProtection algorithmName="SHA-256" hashValue="Mt5gvfWcu+Gq3CZ+p17KkKoybeDpnocz1Xoa4khnvGw=" saltValue="AfIgqn/HgODidaah0aOe6g==" spinCount="100000" sheet="1" formatCells="0" formatColumns="0" formatRows="0" insertColumns="0" sort="0" autoFilter="0" pivotTables="0"/>
  <pageMargins left="0.7" right="0.7" top="0.75" bottom="0.75" header="0.3" footer="0.3"/>
  <headerFooter>
    <oddHeader>&amp;C&amp;"Calibri"&amp;10&amp;KFF0000 OFFICIAL SENSITIVE&amp;1#_x000D_</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G6"/>
  <sheetViews>
    <sheetView workbookViewId="0">
      <pane ySplit="1" topLeftCell="A2" activePane="bottomLeft" state="frozen"/>
      <selection pane="bottomLeft" activeCell="A7" sqref="A7"/>
    </sheetView>
  </sheetViews>
  <sheetFormatPr defaultColWidth="8.81640625" defaultRowHeight="14.5" x14ac:dyDescent="0.35"/>
  <cols>
    <col min="1" max="1" width="14.1796875" style="13" bestFit="1" customWidth="1"/>
    <col min="2" max="2" width="18.453125" style="13" bestFit="1" customWidth="1"/>
    <col min="3" max="3" width="10.1796875" style="13" bestFit="1" customWidth="1"/>
    <col min="4" max="4" width="17.453125" style="13" bestFit="1" customWidth="1"/>
    <col min="5" max="5" width="14.1796875" style="13" bestFit="1" customWidth="1"/>
    <col min="6" max="6" width="2.453125" style="13" customWidth="1"/>
    <col min="7" max="7" width="9.1796875" style="13" customWidth="1"/>
    <col min="8" max="16384" width="8.81640625" style="13"/>
  </cols>
  <sheetData>
    <row r="1" spans="1:7" s="14" customFormat="1" x14ac:dyDescent="0.35">
      <c r="A1" s="14" t="s">
        <v>36</v>
      </c>
      <c r="B1" s="14" t="s">
        <v>22</v>
      </c>
      <c r="C1" s="14" t="s">
        <v>11</v>
      </c>
      <c r="D1" s="14" t="s">
        <v>37</v>
      </c>
      <c r="E1" s="14" t="s">
        <v>49</v>
      </c>
      <c r="G1" s="14" t="s">
        <v>35</v>
      </c>
    </row>
    <row r="2" spans="1:7" x14ac:dyDescent="0.35">
      <c r="A2" s="13" t="s">
        <v>6</v>
      </c>
      <c r="B2" s="13" t="s">
        <v>40</v>
      </c>
      <c r="C2" s="13" t="s">
        <v>19</v>
      </c>
      <c r="D2" s="13" t="s">
        <v>2</v>
      </c>
      <c r="E2" s="13" t="s">
        <v>22</v>
      </c>
      <c r="G2" s="13" t="s">
        <v>33</v>
      </c>
    </row>
    <row r="3" spans="1:7" x14ac:dyDescent="0.35">
      <c r="A3" s="13" t="s">
        <v>13</v>
      </c>
      <c r="B3" s="13" t="s">
        <v>12</v>
      </c>
      <c r="C3" s="13" t="s">
        <v>16</v>
      </c>
      <c r="D3" s="13" t="s">
        <v>4</v>
      </c>
      <c r="E3" s="13" t="s">
        <v>58</v>
      </c>
      <c r="G3" s="13" t="s">
        <v>34</v>
      </c>
    </row>
    <row r="4" spans="1:7" x14ac:dyDescent="0.35">
      <c r="B4" s="13" t="s">
        <v>39</v>
      </c>
      <c r="C4" s="13" t="s">
        <v>14</v>
      </c>
      <c r="D4" s="13" t="s">
        <v>0</v>
      </c>
      <c r="E4" s="13" t="s">
        <v>60</v>
      </c>
    </row>
    <row r="5" spans="1:7" x14ac:dyDescent="0.35">
      <c r="C5" s="13" t="s">
        <v>15</v>
      </c>
      <c r="D5" s="13" t="s">
        <v>3</v>
      </c>
      <c r="E5" s="13" t="s">
        <v>30</v>
      </c>
    </row>
    <row r="6" spans="1:7" x14ac:dyDescent="0.35">
      <c r="C6" s="13" t="s">
        <v>39</v>
      </c>
      <c r="D6" s="13" t="s">
        <v>5</v>
      </c>
      <c r="E6" s="13" t="s">
        <v>59</v>
      </c>
    </row>
  </sheetData>
  <pageMargins left="0.7" right="0.7" top="0.75" bottom="0.75" header="0.3" footer="0.3"/>
  <pageSetup paperSize="9" orientation="portrait" r:id="rId1"/>
  <headerFooter>
    <oddHeader>&amp;C&amp;"Calibri"&amp;10&amp;KFF0000 OFFICIAL SENSITIVE&amp;1#_x000D_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I64"/>
  <sheetViews>
    <sheetView zoomScaleNormal="100" workbookViewId="0">
      <selection activeCell="B33" sqref="B33"/>
    </sheetView>
  </sheetViews>
  <sheetFormatPr defaultColWidth="8.81640625" defaultRowHeight="14" x14ac:dyDescent="0.35"/>
  <cols>
    <col min="1" max="1" width="3.1796875" style="30" customWidth="1"/>
    <col min="2" max="2" width="19.54296875" style="30" customWidth="1"/>
    <col min="3" max="3" width="14.1796875" style="30" customWidth="1"/>
    <col min="4" max="6" width="20.81640625" style="30" customWidth="1"/>
    <col min="7" max="9" width="12" style="30" customWidth="1"/>
    <col min="10" max="16384" width="8.81640625" style="30"/>
  </cols>
  <sheetData>
    <row r="1" spans="1:9" ht="10.4" customHeight="1" x14ac:dyDescent="0.35">
      <c r="A1" s="815" t="s">
        <v>18</v>
      </c>
      <c r="B1" s="815"/>
    </row>
    <row r="2" spans="1:9" s="62" customFormat="1" ht="22.5" customHeight="1" x14ac:dyDescent="0.35">
      <c r="A2" s="61" t="s">
        <v>92</v>
      </c>
    </row>
    <row r="4" spans="1:9" x14ac:dyDescent="0.3">
      <c r="G4" s="81"/>
      <c r="H4" s="81"/>
      <c r="I4" s="81"/>
    </row>
    <row r="5" spans="1:9" ht="15.5" x14ac:dyDescent="0.3">
      <c r="B5" s="33" t="s">
        <v>91</v>
      </c>
      <c r="G5" s="81"/>
      <c r="H5" s="81"/>
      <c r="I5" s="81"/>
    </row>
    <row r="6" spans="1:9" ht="20.149999999999999" customHeight="1" x14ac:dyDescent="0.3">
      <c r="G6" s="81"/>
      <c r="H6" s="81"/>
      <c r="I6" s="81"/>
    </row>
    <row r="7" spans="1:9" s="69" customFormat="1" ht="30" customHeight="1" x14ac:dyDescent="0.35">
      <c r="B7" s="30"/>
      <c r="C7" s="30"/>
      <c r="D7" s="30"/>
      <c r="E7" s="30"/>
      <c r="F7" s="30"/>
      <c r="G7" s="383"/>
      <c r="H7" s="383"/>
      <c r="I7" s="383"/>
    </row>
    <row r="8" spans="1:9" ht="20.149999999999999" customHeight="1" x14ac:dyDescent="0.3">
      <c r="G8" s="81"/>
      <c r="H8" s="81"/>
      <c r="I8" s="81"/>
    </row>
    <row r="9" spans="1:9" s="69" customFormat="1" ht="30" customHeight="1" x14ac:dyDescent="0.35">
      <c r="B9" s="30"/>
      <c r="C9" s="30"/>
      <c r="D9" s="30"/>
      <c r="E9" s="30"/>
      <c r="F9" s="30"/>
      <c r="G9" s="383"/>
      <c r="H9" s="383"/>
      <c r="I9" s="383"/>
    </row>
    <row r="10" spans="1:9" ht="20.149999999999999" customHeight="1" x14ac:dyDescent="0.3">
      <c r="G10" s="81"/>
      <c r="H10" s="81"/>
      <c r="I10" s="81"/>
    </row>
    <row r="11" spans="1:9" s="69" customFormat="1" ht="30" customHeight="1" x14ac:dyDescent="0.35">
      <c r="B11" s="30"/>
      <c r="C11" s="30"/>
      <c r="D11" s="30"/>
      <c r="E11" s="30"/>
      <c r="F11" s="30"/>
      <c r="G11" s="383"/>
      <c r="H11" s="383"/>
      <c r="I11" s="383"/>
    </row>
    <row r="12" spans="1:9" ht="20.149999999999999" customHeight="1" x14ac:dyDescent="0.35"/>
    <row r="13" spans="1:9" s="69" customFormat="1" ht="30" customHeight="1" x14ac:dyDescent="0.35">
      <c r="B13" s="30"/>
      <c r="C13" s="30"/>
      <c r="D13" s="30"/>
      <c r="E13" s="30"/>
      <c r="F13" s="30"/>
    </row>
    <row r="14" spans="1:9" ht="20.149999999999999" customHeight="1" x14ac:dyDescent="0.35"/>
    <row r="23" spans="1:3" ht="14.5" x14ac:dyDescent="0.35">
      <c r="B23" s="384" t="s">
        <v>83</v>
      </c>
    </row>
    <row r="24" spans="1:3" ht="14.5" x14ac:dyDescent="0.35">
      <c r="B24" s="384"/>
    </row>
    <row r="25" spans="1:3" ht="14.5" x14ac:dyDescent="0.35">
      <c r="B25" s="384"/>
    </row>
    <row r="26" spans="1:3" ht="15.5" x14ac:dyDescent="0.35">
      <c r="A26" s="64"/>
      <c r="B26" s="33" t="s">
        <v>368</v>
      </c>
    </row>
    <row r="27" spans="1:3" x14ac:dyDescent="0.35">
      <c r="B27" s="30" t="s">
        <v>61</v>
      </c>
      <c r="C27" s="30" t="s">
        <v>94</v>
      </c>
    </row>
    <row r="28" spans="1:3" x14ac:dyDescent="0.35">
      <c r="B28" s="30" t="s">
        <v>177</v>
      </c>
      <c r="C28" s="30" t="s">
        <v>178</v>
      </c>
    </row>
    <row r="29" spans="1:3" x14ac:dyDescent="0.35">
      <c r="B29" s="30" t="s">
        <v>70</v>
      </c>
      <c r="C29" s="30" t="s">
        <v>96</v>
      </c>
    </row>
    <row r="30" spans="1:3" x14ac:dyDescent="0.35">
      <c r="B30" s="30" t="s">
        <v>127</v>
      </c>
      <c r="C30" s="30" t="s">
        <v>128</v>
      </c>
    </row>
    <row r="31" spans="1:3" x14ac:dyDescent="0.35">
      <c r="B31" s="30" t="s">
        <v>2</v>
      </c>
      <c r="C31" s="30" t="s">
        <v>182</v>
      </c>
    </row>
    <row r="32" spans="1:3" x14ac:dyDescent="0.35">
      <c r="B32" s="30" t="s">
        <v>16</v>
      </c>
      <c r="C32" s="30" t="s">
        <v>112</v>
      </c>
    </row>
    <row r="33" spans="2:3" x14ac:dyDescent="0.35">
      <c r="B33" s="30" t="s">
        <v>30</v>
      </c>
      <c r="C33" s="30" t="s">
        <v>181</v>
      </c>
    </row>
    <row r="34" spans="2:3" x14ac:dyDescent="0.35">
      <c r="B34" s="30" t="s">
        <v>104</v>
      </c>
      <c r="C34" s="30" t="s">
        <v>134</v>
      </c>
    </row>
    <row r="35" spans="2:3" x14ac:dyDescent="0.35">
      <c r="B35" s="30" t="s">
        <v>114</v>
      </c>
      <c r="C35" s="30" t="s">
        <v>115</v>
      </c>
    </row>
    <row r="36" spans="2:3" x14ac:dyDescent="0.35">
      <c r="B36" s="30" t="s">
        <v>97</v>
      </c>
      <c r="C36" s="30" t="s">
        <v>132</v>
      </c>
    </row>
    <row r="37" spans="2:3" x14ac:dyDescent="0.35">
      <c r="B37" s="30" t="s">
        <v>4</v>
      </c>
      <c r="C37" s="30" t="s">
        <v>183</v>
      </c>
    </row>
    <row r="38" spans="2:3" x14ac:dyDescent="0.35">
      <c r="B38" s="30" t="s">
        <v>0</v>
      </c>
      <c r="C38" s="30" t="s">
        <v>185</v>
      </c>
    </row>
    <row r="39" spans="2:3" x14ac:dyDescent="0.35">
      <c r="B39" s="30" t="s">
        <v>3</v>
      </c>
      <c r="C39" s="30" t="s">
        <v>184</v>
      </c>
    </row>
    <row r="40" spans="2:3" x14ac:dyDescent="0.35">
      <c r="B40" s="30" t="s">
        <v>75</v>
      </c>
      <c r="C40" s="30" t="s">
        <v>111</v>
      </c>
    </row>
    <row r="41" spans="2:3" x14ac:dyDescent="0.35">
      <c r="B41" s="30" t="s">
        <v>98</v>
      </c>
      <c r="C41" s="30" t="s">
        <v>100</v>
      </c>
    </row>
    <row r="42" spans="2:3" x14ac:dyDescent="0.35">
      <c r="B42" s="30" t="s">
        <v>38</v>
      </c>
      <c r="C42" s="30" t="s">
        <v>180</v>
      </c>
    </row>
    <row r="43" spans="2:3" x14ac:dyDescent="0.35">
      <c r="B43" s="30" t="s">
        <v>53</v>
      </c>
      <c r="C43" s="30" t="s">
        <v>176</v>
      </c>
    </row>
    <row r="44" spans="2:3" x14ac:dyDescent="0.35">
      <c r="B44" s="30" t="s">
        <v>72</v>
      </c>
      <c r="C44" s="30" t="s">
        <v>106</v>
      </c>
    </row>
    <row r="45" spans="2:3" x14ac:dyDescent="0.35">
      <c r="B45" s="30" t="s">
        <v>73</v>
      </c>
      <c r="C45" s="30" t="s">
        <v>108</v>
      </c>
    </row>
    <row r="46" spans="2:3" x14ac:dyDescent="0.35">
      <c r="B46" s="30" t="s">
        <v>105</v>
      </c>
      <c r="C46" s="30" t="s">
        <v>135</v>
      </c>
    </row>
    <row r="47" spans="2:3" x14ac:dyDescent="0.35">
      <c r="B47" s="30" t="s">
        <v>116</v>
      </c>
      <c r="C47" s="30" t="s">
        <v>117</v>
      </c>
    </row>
    <row r="48" spans="2:3" x14ac:dyDescent="0.35">
      <c r="B48" s="30" t="s">
        <v>77</v>
      </c>
      <c r="C48" s="30" t="s">
        <v>133</v>
      </c>
    </row>
    <row r="49" spans="2:3" x14ac:dyDescent="0.35">
      <c r="B49" s="30" t="s">
        <v>99</v>
      </c>
      <c r="C49" s="30" t="s">
        <v>101</v>
      </c>
    </row>
    <row r="50" spans="2:3" x14ac:dyDescent="0.35">
      <c r="B50" s="30" t="s">
        <v>57</v>
      </c>
      <c r="C50" s="30" t="s">
        <v>93</v>
      </c>
    </row>
    <row r="51" spans="2:3" x14ac:dyDescent="0.35">
      <c r="B51" s="30" t="s">
        <v>118</v>
      </c>
      <c r="C51" s="30" t="s">
        <v>119</v>
      </c>
    </row>
    <row r="52" spans="2:3" x14ac:dyDescent="0.35">
      <c r="B52" s="30" t="s">
        <v>130</v>
      </c>
      <c r="C52" s="30" t="s">
        <v>102</v>
      </c>
    </row>
    <row r="53" spans="2:3" x14ac:dyDescent="0.3">
      <c r="B53" s="81" t="s">
        <v>155</v>
      </c>
      <c r="C53" s="30" t="s">
        <v>174</v>
      </c>
    </row>
    <row r="54" spans="2:3" x14ac:dyDescent="0.35">
      <c r="B54" s="30" t="s">
        <v>78</v>
      </c>
      <c r="C54" s="30" t="s">
        <v>110</v>
      </c>
    </row>
    <row r="55" spans="2:3" x14ac:dyDescent="0.35">
      <c r="B55" s="30" t="s">
        <v>156</v>
      </c>
      <c r="C55" s="30" t="s">
        <v>187</v>
      </c>
    </row>
    <row r="56" spans="2:3" x14ac:dyDescent="0.35">
      <c r="B56" s="30" t="s">
        <v>71</v>
      </c>
      <c r="C56" s="30" t="s">
        <v>131</v>
      </c>
    </row>
    <row r="57" spans="2:3" x14ac:dyDescent="0.35">
      <c r="B57" s="30" t="s">
        <v>103</v>
      </c>
      <c r="C57" s="30" t="s">
        <v>107</v>
      </c>
    </row>
    <row r="58" spans="2:3" x14ac:dyDescent="0.35">
      <c r="B58" s="30" t="s">
        <v>5</v>
      </c>
      <c r="C58" s="30" t="s">
        <v>186</v>
      </c>
    </row>
    <row r="59" spans="2:3" x14ac:dyDescent="0.35">
      <c r="B59" s="30" t="s">
        <v>74</v>
      </c>
      <c r="C59" s="30" t="s">
        <v>109</v>
      </c>
    </row>
    <row r="60" spans="2:3" x14ac:dyDescent="0.35">
      <c r="B60" s="30" t="s">
        <v>361</v>
      </c>
      <c r="C60" s="30" t="s">
        <v>362</v>
      </c>
    </row>
    <row r="61" spans="2:3" x14ac:dyDescent="0.35">
      <c r="B61" s="30" t="s">
        <v>363</v>
      </c>
      <c r="C61" s="30" t="s">
        <v>369</v>
      </c>
    </row>
    <row r="62" spans="2:3" x14ac:dyDescent="0.35">
      <c r="B62" s="30" t="s">
        <v>39</v>
      </c>
      <c r="C62" s="30" t="s">
        <v>113</v>
      </c>
    </row>
    <row r="63" spans="2:3" x14ac:dyDescent="0.35">
      <c r="B63" s="30" t="s">
        <v>69</v>
      </c>
      <c r="C63" s="30" t="s">
        <v>95</v>
      </c>
    </row>
    <row r="64" spans="2:3" x14ac:dyDescent="0.35">
      <c r="B64" s="30" t="s">
        <v>179</v>
      </c>
      <c r="C64" s="30" t="s">
        <v>175</v>
      </c>
    </row>
  </sheetData>
  <sheetProtection algorithmName="SHA-256" hashValue="pYgdrloc9Kr4N8SxXOGqzpNUcltPtcETGm3+7nC8Rzs=" saltValue="TkwtSmm9ys0RO3qaZXLSOA==" spinCount="100000" sheet="1" formatCells="0" formatColumns="0" formatRows="0" insertColumns="0" insertRows="0" insertHyperlinks="0" deleteColumns="0" deleteRows="0" sort="0" autoFilter="0" pivotTables="0"/>
  <mergeCells count="1">
    <mergeCell ref="A1:B1"/>
  </mergeCells>
  <hyperlinks>
    <hyperlink ref="A1" location="Index!A1" display="&lt;&lt;Back to Index" xr:uid="{00000000-0004-0000-0400-000000000000}"/>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249977111117893"/>
  </sheetPr>
  <dimension ref="A1:BG71"/>
  <sheetViews>
    <sheetView zoomScale="115" zoomScaleNormal="115" workbookViewId="0">
      <selection activeCell="AA1" sqref="AA1"/>
    </sheetView>
  </sheetViews>
  <sheetFormatPr defaultColWidth="8.81640625" defaultRowHeight="14" x14ac:dyDescent="0.35"/>
  <cols>
    <col min="1" max="1" width="1" style="30" customWidth="1"/>
    <col min="2" max="2" width="17.54296875" style="30" customWidth="1"/>
    <col min="3" max="3" width="19.453125" style="30" customWidth="1"/>
    <col min="4" max="4" width="13" style="30" bestFit="1" customWidth="1"/>
    <col min="5" max="7" width="8.54296875" style="30" customWidth="1"/>
    <col min="8" max="8" width="1.81640625" style="30" customWidth="1"/>
    <col min="9" max="10" width="8.54296875" style="30" hidden="1" customWidth="1"/>
    <col min="11" max="11" width="1.54296875" style="30" hidden="1" customWidth="1"/>
    <col min="12" max="12" width="8.54296875" style="30" customWidth="1"/>
    <col min="13" max="13" width="10.54296875" style="30" customWidth="1"/>
    <col min="14" max="15" width="9.453125" style="30" customWidth="1"/>
    <col min="16" max="16" width="1.81640625" style="60" customWidth="1"/>
    <col min="17" max="17" width="8.54296875" style="30" customWidth="1"/>
    <col min="18" max="18" width="10.54296875" style="30" customWidth="1"/>
    <col min="19" max="19" width="1.7265625" style="60" customWidth="1"/>
    <col min="20" max="21" width="9.54296875" style="65" customWidth="1"/>
    <col min="22" max="22" width="16.7265625" style="101" bestFit="1" customWidth="1"/>
    <col min="23" max="23" width="8.453125" style="101" bestFit="1" customWidth="1"/>
    <col min="24" max="24" width="5.453125" style="101" bestFit="1" customWidth="1"/>
    <col min="25" max="25" width="8.81640625" style="101" bestFit="1" customWidth="1"/>
    <col min="26" max="26" width="10.81640625" style="101" customWidth="1"/>
    <col min="27" max="27" width="8.81640625" style="101" customWidth="1"/>
    <col min="28" max="28" width="16.7265625" style="101" customWidth="1"/>
    <col min="29" max="29" width="9.81640625" style="101" customWidth="1"/>
    <col min="30" max="36" width="15.81640625" style="30" customWidth="1"/>
    <col min="37" max="37" width="13.81640625" style="30" customWidth="1"/>
    <col min="38" max="38" width="9.453125" style="30" customWidth="1"/>
    <col min="39" max="45" width="12.453125" style="30" customWidth="1"/>
    <col min="46" max="46" width="4.7265625" style="30" customWidth="1"/>
    <col min="47" max="47" width="8.81640625" style="30"/>
    <col min="48" max="51" width="9.7265625" style="30" customWidth="1"/>
    <col min="52" max="52" width="4.54296875" style="30" customWidth="1"/>
    <col min="53" max="54" width="9.7265625" style="30" customWidth="1"/>
    <col min="55" max="16384" width="8.81640625" style="30"/>
  </cols>
  <sheetData>
    <row r="1" spans="1:50" ht="11.25" customHeight="1" x14ac:dyDescent="0.35">
      <c r="A1" s="815" t="s">
        <v>18</v>
      </c>
      <c r="B1" s="816"/>
      <c r="F1" s="30" t="s">
        <v>172</v>
      </c>
      <c r="T1" s="65" t="s">
        <v>172</v>
      </c>
    </row>
    <row r="2" spans="1:50" s="62" customFormat="1" ht="18" x14ac:dyDescent="0.35">
      <c r="A2" s="61" t="str">
        <f>"DMO "&amp;FY&amp;" "&amp;DeterminationStage&amp;" Determination Prices and Cost Changes"</f>
        <v>DMO 2026-27 Final Determination Prices and Cost Changes</v>
      </c>
      <c r="P2" s="63"/>
      <c r="S2" s="63"/>
      <c r="T2" s="331"/>
      <c r="U2" s="331"/>
      <c r="V2" s="399"/>
      <c r="W2" s="399"/>
      <c r="X2" s="399"/>
      <c r="Y2" s="399"/>
      <c r="Z2" s="399"/>
      <c r="AA2" s="399"/>
      <c r="AB2" s="399"/>
      <c r="AC2" s="399"/>
    </row>
    <row r="3" spans="1:50" ht="6" customHeight="1" x14ac:dyDescent="0.35">
      <c r="B3" s="29"/>
      <c r="C3" s="30" t="s">
        <v>172</v>
      </c>
      <c r="E3" s="30" t="s">
        <v>172</v>
      </c>
      <c r="F3" s="31"/>
      <c r="I3" s="31"/>
      <c r="T3" s="332"/>
      <c r="V3" s="398"/>
      <c r="W3" s="398"/>
      <c r="X3" s="398"/>
      <c r="Y3" s="398"/>
      <c r="Z3" s="398"/>
      <c r="AA3" s="398"/>
      <c r="AB3" s="398"/>
      <c r="AC3" s="398"/>
      <c r="AD3" s="65"/>
    </row>
    <row r="4" spans="1:50" ht="15" customHeight="1" x14ac:dyDescent="0.35">
      <c r="B4" s="33" t="str">
        <f>"DMO "&amp;FY&amp;"  "&amp;DeterminationStage&amp;" Determination Prices"</f>
        <v>DMO 2026-27  Final Determination Prices</v>
      </c>
      <c r="E4" s="34"/>
      <c r="F4" s="64"/>
      <c r="G4" s="661"/>
      <c r="H4" s="66"/>
      <c r="I4" s="64"/>
      <c r="J4" s="35"/>
      <c r="K4" s="67"/>
      <c r="L4" s="35" t="s">
        <v>172</v>
      </c>
      <c r="N4" s="35" t="s">
        <v>172</v>
      </c>
      <c r="Q4" s="35" t="s">
        <v>172</v>
      </c>
      <c r="T4" s="315"/>
      <c r="U4" s="333" t="s">
        <v>172</v>
      </c>
      <c r="V4" s="398"/>
      <c r="W4" s="398"/>
      <c r="X4" s="398"/>
      <c r="Y4" s="398"/>
      <c r="Z4" s="398"/>
      <c r="AA4" s="398"/>
      <c r="AB4" s="398"/>
      <c r="AC4" s="398"/>
      <c r="AD4" s="344" t="str">
        <f>"Summary of cost changes for Flat rate offers from DMO "&amp;PY&amp;" to DMO "&amp;FY</f>
        <v>Summary of cost changes for Flat rate offers from DMO 2025-26 to DMO 2026-27</v>
      </c>
      <c r="AE4" s="60"/>
      <c r="AF4" s="60"/>
      <c r="AG4" s="60"/>
      <c r="AH4" s="60"/>
      <c r="AI4" s="60"/>
      <c r="AJ4" s="60"/>
      <c r="AK4" s="60"/>
      <c r="AL4" s="60"/>
      <c r="AM4" s="344" t="str">
        <f>"Proportion of costs for Flat rate offers for DMO "&amp;FY</f>
        <v>Proportion of costs for Flat rate offers for DMO 2026-27</v>
      </c>
      <c r="AN4" s="60"/>
      <c r="AO4" s="60"/>
    </row>
    <row r="5" spans="1:50" ht="15" customHeight="1" x14ac:dyDescent="0.3">
      <c r="B5" s="122" t="s">
        <v>120</v>
      </c>
      <c r="C5" s="30" t="s">
        <v>172</v>
      </c>
      <c r="E5" s="36"/>
      <c r="G5" s="35" t="s">
        <v>172</v>
      </c>
      <c r="H5" s="66"/>
      <c r="J5" s="35"/>
      <c r="K5" s="80"/>
      <c r="L5" s="35" t="s">
        <v>172</v>
      </c>
      <c r="N5" s="35" t="s">
        <v>172</v>
      </c>
      <c r="Q5" s="35" t="s">
        <v>172</v>
      </c>
      <c r="U5" s="333" t="s">
        <v>172</v>
      </c>
      <c r="V5" s="398"/>
      <c r="W5" s="398"/>
      <c r="X5" s="398"/>
      <c r="Y5" s="398"/>
      <c r="Z5" s="398"/>
      <c r="AA5" s="398"/>
      <c r="AB5" s="398"/>
      <c r="AC5" s="398"/>
      <c r="AD5" s="60"/>
      <c r="AE5" s="60" t="str">
        <f>FY</f>
        <v>2026-27</v>
      </c>
      <c r="AF5" s="60"/>
      <c r="AG5" s="60"/>
      <c r="AH5" s="60"/>
      <c r="AI5" s="60" t="s">
        <v>321</v>
      </c>
      <c r="AJ5" s="60"/>
      <c r="AK5" s="60"/>
      <c r="AL5" s="60"/>
      <c r="AM5" s="67"/>
      <c r="AN5" s="60"/>
      <c r="AO5" s="60"/>
      <c r="AP5" s="65"/>
    </row>
    <row r="6" spans="1:50" s="65" customFormat="1" ht="15" customHeight="1" x14ac:dyDescent="0.3">
      <c r="B6" s="842" t="s">
        <v>1</v>
      </c>
      <c r="C6" s="100"/>
      <c r="D6" s="847" t="s">
        <v>6</v>
      </c>
      <c r="E6" s="847"/>
      <c r="F6" s="847" t="s">
        <v>76</v>
      </c>
      <c r="G6" s="864"/>
      <c r="H6" s="66"/>
      <c r="I6" s="831"/>
      <c r="J6" s="832"/>
      <c r="K6" s="80"/>
      <c r="L6" s="839" t="s">
        <v>6</v>
      </c>
      <c r="M6" s="840"/>
      <c r="N6" s="839" t="s">
        <v>76</v>
      </c>
      <c r="O6" s="866"/>
      <c r="P6" s="67"/>
      <c r="Q6" s="825" t="s">
        <v>361</v>
      </c>
      <c r="R6" s="826"/>
      <c r="S6" s="67"/>
      <c r="T6" s="841" t="s">
        <v>286</v>
      </c>
      <c r="U6" s="867"/>
      <c r="V6" s="867" t="s">
        <v>310</v>
      </c>
      <c r="W6" s="841" t="s">
        <v>311</v>
      </c>
      <c r="X6" s="842"/>
      <c r="Y6" s="867"/>
      <c r="Z6" s="398"/>
      <c r="AA6" s="398"/>
      <c r="AB6" s="398"/>
      <c r="AC6" s="398"/>
      <c r="AD6" s="868" t="s">
        <v>32</v>
      </c>
      <c r="AE6" s="868" t="s">
        <v>62</v>
      </c>
      <c r="AF6" s="868" t="s">
        <v>63</v>
      </c>
      <c r="AG6" s="868" t="s">
        <v>64</v>
      </c>
      <c r="AH6" s="868" t="s">
        <v>159</v>
      </c>
      <c r="AI6" s="868" t="s">
        <v>192</v>
      </c>
      <c r="AJ6" s="868" t="s">
        <v>320</v>
      </c>
      <c r="AK6" s="67"/>
      <c r="AL6" s="67"/>
      <c r="AM6" s="868" t="s">
        <v>32</v>
      </c>
      <c r="AN6" s="868" t="s">
        <v>62</v>
      </c>
      <c r="AO6" s="868" t="s">
        <v>63</v>
      </c>
      <c r="AP6" s="868" t="s">
        <v>64</v>
      </c>
      <c r="AQ6" s="868" t="s">
        <v>160</v>
      </c>
      <c r="AR6" s="868" t="s">
        <v>192</v>
      </c>
      <c r="AS6" s="868" t="s">
        <v>55</v>
      </c>
    </row>
    <row r="7" spans="1:50" s="65" customFormat="1" ht="15" customHeight="1" x14ac:dyDescent="0.3">
      <c r="B7" s="842"/>
      <c r="C7" s="100"/>
      <c r="D7" s="848" t="s">
        <v>19</v>
      </c>
      <c r="E7" s="848"/>
      <c r="F7" s="848" t="s">
        <v>19</v>
      </c>
      <c r="G7" s="865"/>
      <c r="H7" s="66"/>
      <c r="I7" s="831"/>
      <c r="J7" s="832"/>
      <c r="K7" s="80"/>
      <c r="L7" s="841" t="s">
        <v>257</v>
      </c>
      <c r="M7" s="842"/>
      <c r="N7" s="841" t="s">
        <v>257</v>
      </c>
      <c r="O7" s="867"/>
      <c r="P7" s="67"/>
      <c r="Q7" s="827" t="s">
        <v>257</v>
      </c>
      <c r="R7" s="828"/>
      <c r="S7" s="67"/>
      <c r="T7" s="406" t="s">
        <v>14</v>
      </c>
      <c r="U7" s="421" t="s">
        <v>15</v>
      </c>
      <c r="V7" s="867"/>
      <c r="W7" s="841"/>
      <c r="X7" s="842"/>
      <c r="Y7" s="867"/>
      <c r="Z7" s="398"/>
      <c r="AA7" s="398"/>
      <c r="AB7" s="60"/>
      <c r="AC7" s="60"/>
      <c r="AD7" s="868"/>
      <c r="AE7" s="868"/>
      <c r="AF7" s="868"/>
      <c r="AG7" s="868"/>
      <c r="AH7" s="868"/>
      <c r="AI7" s="868"/>
      <c r="AJ7" s="868"/>
      <c r="AK7" s="67"/>
      <c r="AL7" s="67"/>
      <c r="AM7" s="868"/>
      <c r="AN7" s="868"/>
      <c r="AO7" s="868"/>
      <c r="AP7" s="868"/>
      <c r="AQ7" s="868"/>
      <c r="AR7" s="868"/>
      <c r="AS7" s="868"/>
      <c r="AX7" s="98"/>
    </row>
    <row r="8" spans="1:50" s="69" customFormat="1" ht="15" customHeight="1" x14ac:dyDescent="0.3">
      <c r="B8" s="51" t="s">
        <v>2</v>
      </c>
      <c r="C8" s="52" t="s">
        <v>82</v>
      </c>
      <c r="D8" s="844">
        <f>ROUND(SUM(Ausgrid_RESwoCL_FY_cost),0)</f>
        <v>1899</v>
      </c>
      <c r="E8" s="844"/>
      <c r="F8" s="844">
        <f>ROUND(SUM(Ausgrid_SBwoCL_FY_cost),0)</f>
        <v>4523</v>
      </c>
      <c r="G8" s="844"/>
      <c r="H8" s="66"/>
      <c r="I8" s="844"/>
      <c r="J8" s="844"/>
      <c r="K8" s="80"/>
      <c r="L8" s="854">
        <f>ROUND(SUM(Ausgrid_REStou_FY_cost),0)</f>
        <v>1893</v>
      </c>
      <c r="M8" s="855"/>
      <c r="N8" s="854">
        <f>ROUND(SUM(Ausgrid_SBtou_FY_cost),0)</f>
        <v>4450</v>
      </c>
      <c r="O8" s="863"/>
      <c r="P8" s="67"/>
      <c r="Q8" s="829">
        <f>SSO!L11</f>
        <v>1893.2928693222193</v>
      </c>
      <c r="R8" s="830"/>
      <c r="S8" s="504"/>
      <c r="T8" s="854">
        <f>ROUND(SUM(T11:U11),0)</f>
        <v>460</v>
      </c>
      <c r="U8" s="863"/>
      <c r="V8" s="408" cm="1">
        <f t="array" ref="V8">ROUND(_xlfn.XLOOKUP(1,($B8=CL_DistributionZone)*("CL1 only"=CL_TariffType)*("Total inc GST"=CL_Description),CL_Price),0)</f>
        <v>403</v>
      </c>
      <c r="W8" s="854" cm="1">
        <f t="array" ref="W8">ROUND(_xlfn.XLOOKUP(1,($B8=CL_DistributionZone)*("CL2 only"=CL_TariffType)*("Total inc GST"=CL_Description),CL_Price),0)</f>
        <v>493</v>
      </c>
      <c r="X8" s="855"/>
      <c r="Y8" s="863"/>
      <c r="Z8" s="398"/>
      <c r="AA8" s="398"/>
      <c r="AB8" s="662"/>
      <c r="AC8" s="662"/>
      <c r="AD8" s="345" t="s">
        <v>6</v>
      </c>
      <c r="AE8" s="346" t="s">
        <v>19</v>
      </c>
      <c r="AF8" s="347"/>
      <c r="AG8" s="347"/>
      <c r="AH8" s="347"/>
      <c r="AI8" s="347"/>
      <c r="AJ8" s="347"/>
      <c r="AK8" s="67"/>
      <c r="AL8" s="67"/>
      <c r="AM8" s="345" t="s">
        <v>6</v>
      </c>
      <c r="AN8" s="346" t="s">
        <v>19</v>
      </c>
      <c r="AO8" s="347"/>
      <c r="AP8" s="347"/>
      <c r="AQ8" s="347"/>
      <c r="AR8" s="347"/>
      <c r="AS8" s="347"/>
    </row>
    <row r="9" spans="1:50" ht="15" customHeight="1" x14ac:dyDescent="0.3">
      <c r="B9" s="401" t="str">
        <f>B8</f>
        <v>Ausgrid</v>
      </c>
      <c r="C9" s="123" t="s">
        <v>136</v>
      </c>
      <c r="D9" s="843" cm="1">
        <f t="array" ref="D9">_xlfn.XLOOKUP(1,($B8=DistributionZone)*(D$6=CustomerType)*(Summary!D$7=tariffType)*("Usage"=Description),valuesFY)</f>
        <v>3900</v>
      </c>
      <c r="E9" s="843"/>
      <c r="F9" s="843" cm="1">
        <f t="array" ref="F9">_xlfn.XLOOKUP(1,($B8=DistributionZone)*(F$6=CustomerType)*(Summary!F$7=tariffType)*("Usage"=Description),valuesFY)</f>
        <v>10000</v>
      </c>
      <c r="G9" s="843"/>
      <c r="H9" s="66"/>
      <c r="I9" s="852"/>
      <c r="J9" s="853"/>
      <c r="K9" s="80"/>
      <c r="L9" s="823" cm="1">
        <f t="array" ref="L9">_xlfn.XLOOKUP(1,($B8=DistributionZone)*(L$6=CustomerType)*(Summary!L$7=tariffType)*("Usage"=Description),valuesFY)</f>
        <v>3900</v>
      </c>
      <c r="M9" s="856"/>
      <c r="N9" s="823" cm="1">
        <f t="array" ref="N9">_xlfn.XLOOKUP(1,($B8=DistributionZone)*(N$6=CustomerType)*(Summary!N$7=tariffType)*("Usage"=Description),valuesFY)</f>
        <v>10000</v>
      </c>
      <c r="O9" s="824"/>
      <c r="P9" s="67"/>
      <c r="Q9" s="823" cm="1">
        <f t="array" ref="Q9">_xlfn.XLOOKUP(1,($B8=DistributionZone)*("Residential"=CustomerType)*(Q$7=tariffType)*("SSO Usage"=Description),valuesFY)</f>
        <v>3900</v>
      </c>
      <c r="R9" s="824" cm="1">
        <f t="array" ref="R9">_xlfn.XLOOKUP(1,($B8=DistributionZone)*("CL"=tariffType)*("Usage"=Description),valuesFY)</f>
        <v>2000</v>
      </c>
      <c r="S9" s="504"/>
      <c r="T9" s="873">
        <f>SUM(T12:U12)</f>
        <v>2000</v>
      </c>
      <c r="U9" s="874"/>
      <c r="V9" s="419" cm="1">
        <f t="array" ref="V9">_xlfn.XLOOKUP(1,($B8=DistributionZone)*("CL"=tariffType)*("Usage"=Description),valuesFY)</f>
        <v>2000</v>
      </c>
      <c r="W9" s="823" cm="1">
        <f t="array" ref="W9">_xlfn.XLOOKUP(1,($B8=DistributionZone)*("CL"=tariffType)*("Usage"=Description),valuesFY)</f>
        <v>2000</v>
      </c>
      <c r="X9" s="856"/>
      <c r="Y9" s="824"/>
      <c r="Z9" s="398"/>
      <c r="AA9" s="398"/>
      <c r="AB9" s="60" t="str">
        <f>AD8</f>
        <v>Residential</v>
      </c>
      <c r="AC9" s="60" t="str">
        <f>AE8</f>
        <v>Flat rate</v>
      </c>
      <c r="AD9" s="348" t="s">
        <v>2</v>
      </c>
      <c r="AE9" s="349" cm="1">
        <f t="array" ref="AE9">_xlfn.XLOOKUP(1,($AB9=Ausgrid!$K$29)*($AC9=Ausgrid!$K$30)*(Summary!AE$6=Ausgrid_Description),Ausgrid!$O$35:$O$39)</f>
        <v>9.3135233604850542E-2</v>
      </c>
      <c r="AF9" s="349" cm="1">
        <f t="array" ref="AF9">_xlfn.XLOOKUP(1,($AB9=Ausgrid!$K$29)*($AC9=Ausgrid!$K$30)*(Summary!AF$6=Ausgrid_Description),Ausgrid!$O$35:$O$39)</f>
        <v>-0.13287948479096945</v>
      </c>
      <c r="AG9" s="349" cm="1">
        <f t="array" ref="AG9">_xlfn.XLOOKUP(1,($AB9=Ausgrid!$K$29)*($AC9=Ausgrid!$K$30)*(Summary!AG$6=Ausgrid_Description),Ausgrid!$O$35:$O$39)</f>
        <v>-0.30377874953862705</v>
      </c>
      <c r="AH9" s="349" cm="1">
        <f t="array" ref="AH9">_xlfn.XLOOKUP(1,($AB9=Ausgrid!$K$29)*($AC9=Ausgrid!$K$30)*(Summary!AH$6=Ausgrid_Description),Ausgrid!$O$35:$O$39)</f>
        <v>-2.2273211824123673E-2</v>
      </c>
      <c r="AI9" s="349" cm="1">
        <f t="array" ref="AI9">_xlfn.XLOOKUP(1,($AB9=Ausgrid!$K$29)*($AC9=Ausgrid!$K$30)*(Summary!AI$6=Ausgrid_Description),Ausgrid!$O$35:$O$39)</f>
        <v>-3.3356318751876168E-2</v>
      </c>
      <c r="AJ9" s="350">
        <f>Ausgrid!O40</f>
        <v>-3.3587786259541952E-2</v>
      </c>
      <c r="AK9" s="60" t="str">
        <f>AM8</f>
        <v>Residential</v>
      </c>
      <c r="AL9" s="60" t="str">
        <f>AN8</f>
        <v>Flat rate</v>
      </c>
      <c r="AM9" s="348" t="s">
        <v>2</v>
      </c>
      <c r="AN9" s="349" cm="1">
        <f t="array" ref="AN9">_xlfn.XLOOKUP(1,($AK9=Ausgrid!$K$29)*(Summary!$AL9=Ausgrid!$K$30)*(Summary!AN$6=Ausgrid_Description),Ausgrid!$R$35:$R$39)</f>
        <v>0.40981056312942926</v>
      </c>
      <c r="AO9" s="349" cm="1">
        <f t="array" ref="AO9">_xlfn.XLOOKUP(1,($AK9=Ausgrid!$K$29)*(Summary!$AL9=Ausgrid!$K$30)*(Summary!AO$6=Ausgrid_Description),Ausgrid!$R$35:$R$39)</f>
        <v>0.34427857558787084</v>
      </c>
      <c r="AP9" s="349" cm="1">
        <f t="array" ref="AP9">_xlfn.XLOOKUP(1,($AK9=Ausgrid!$K$29)*(Summary!$AL9=Ausgrid!$K$30)*(Summary!AP$6=Ausgrid_Description),Ausgrid!$R$35:$R$39)</f>
        <v>2.5052056774819736E-2</v>
      </c>
      <c r="AQ9" s="349" cm="1">
        <f t="array" ref="AQ9">_xlfn.XLOOKUP(1,($AK9=Ausgrid!$K$29)*(Summary!$AL9=Ausgrid!$K$30)*(Summary!AQ$6=Ausgrid_Description),Ausgrid!$R$35:$R$39)</f>
        <v>0.16090153515130168</v>
      </c>
      <c r="AR9" s="349" cm="1">
        <f t="array" ref="AR9">_xlfn.XLOOKUP(1,($AK9=Ausgrid!$K$29)*(Summary!$AL9=Ausgrid!$K$30)*(Summary!AR$6=Ausgrid_Description),Ausgrid!$R$35:$R$39)</f>
        <v>6.0002727487878063E-2</v>
      </c>
      <c r="AS9" s="350">
        <f>SUM(AN9:AR9)</f>
        <v>1.0000454581312996</v>
      </c>
    </row>
    <row r="10" spans="1:50" x14ac:dyDescent="0.3">
      <c r="B10" s="401" t="str">
        <f>B9</f>
        <v>Ausgrid</v>
      </c>
      <c r="C10" s="123"/>
      <c r="D10" s="50"/>
      <c r="E10" s="102"/>
      <c r="F10" s="852"/>
      <c r="G10" s="853"/>
      <c r="H10" s="66"/>
      <c r="I10" s="852"/>
      <c r="J10" s="853"/>
      <c r="K10" s="80"/>
      <c r="L10" s="422"/>
      <c r="M10" s="423"/>
      <c r="N10" s="422"/>
      <c r="O10" s="424"/>
      <c r="P10" s="67"/>
      <c r="Q10" s="422"/>
      <c r="R10" s="424"/>
      <c r="S10" s="504"/>
      <c r="T10" s="410"/>
      <c r="U10" s="497"/>
      <c r="V10" s="411"/>
      <c r="W10" s="875"/>
      <c r="X10" s="876"/>
      <c r="Y10" s="877"/>
      <c r="Z10" s="398"/>
      <c r="AA10" s="398"/>
      <c r="AB10" s="60" t="str">
        <f>AB9</f>
        <v>Residential</v>
      </c>
      <c r="AC10" s="60" t="str">
        <f>AC9</f>
        <v>Flat rate</v>
      </c>
      <c r="AD10" s="348" t="s">
        <v>4</v>
      </c>
      <c r="AE10" s="349" cm="1">
        <f t="array" ref="AE10">_xlfn.XLOOKUP(1,($AK10=Endeavour!$J$29)*($AL10=Endeavour!$J$30)*(AE$6=Endeavour_description),Endeavour!$N$35:$N$39)</f>
        <v>9.5729553851836791E-2</v>
      </c>
      <c r="AF10" s="351" cm="1">
        <f t="array" ref="AF10">_xlfn.XLOOKUP(1,($AK10=Endeavour!$J$29)*($AL10=Endeavour!$J$30)*(AF$6=Endeavour_description),Endeavour!$N$35:$N$39)</f>
        <v>-0.12602670941933058</v>
      </c>
      <c r="AG10" s="351" cm="1">
        <f t="array" ref="AG10">_xlfn.XLOOKUP(1,($AK10=Endeavour!$J$29)*($AL10=Endeavour!$J$30)*(AG$6=Endeavour_description),Endeavour!$N$35:$N$39)</f>
        <v>-0.30754284929457731</v>
      </c>
      <c r="AH10" s="351" cm="1">
        <f t="array" ref="AH10">_xlfn.XLOOKUP(1,($AK10=Endeavour!$J$29)*($AL10=Endeavour!$J$30)*(AH$6=Endeavour_description),Endeavour!$N$35:$N$39)</f>
        <v>-1.5586744069388425E-2</v>
      </c>
      <c r="AI10" s="351" cm="1">
        <f t="array" ref="AI10">_xlfn.XLOOKUP(1,($AK10=Endeavour!$J$29)*($AL10=Endeavour!$J$30)*(AI$6=Endeavour_description),Endeavour!$N$35:$N$39)</f>
        <v>-3.4412587462568145E-2</v>
      </c>
      <c r="AJ10" s="350">
        <f>Endeavour!N40</f>
        <v>-3.4425549564496061E-2</v>
      </c>
      <c r="AK10" s="60" t="str">
        <f>AK9</f>
        <v>Residential</v>
      </c>
      <c r="AL10" s="60" t="str">
        <f>AL9</f>
        <v>Flat rate</v>
      </c>
      <c r="AM10" s="348" t="s">
        <v>4</v>
      </c>
      <c r="AN10" s="349" cm="1">
        <f t="array" ref="AN10">_xlfn.XLOOKUP(1,($AK10=Endeavour!$J$29)*($AL10=Endeavour!$J$30)*(AN$6=Endeavour_description),Endeavour!$Q$35:$Q$39)</f>
        <v>0.39372244536190765</v>
      </c>
      <c r="AO10" s="351" cm="1">
        <f t="array" ref="AO10">_xlfn.XLOOKUP(1,($AK10=Endeavour!$J$29)*($AL10=Endeavour!$J$30)*(AO$6=Endeavour_description),Endeavour!$Q$35:$Q$39)</f>
        <v>0.37484027924785462</v>
      </c>
      <c r="AP10" s="351" cm="1">
        <f t="array" ref="AP10">_xlfn.XLOOKUP(1,($AK10=Endeavour!$J$29)*($AL10=Endeavour!$J$30)*(AP$6=Endeavour_description),Endeavour!$Q$35:$Q$39)</f>
        <v>2.5999066679086646E-2</v>
      </c>
      <c r="AQ10" s="351" cm="1">
        <f t="array" ref="AQ10">_xlfn.XLOOKUP(1,($AK10=Endeavour!$J$29)*($AL10=Endeavour!$J$30)*(AQ$6=Endeavour_description),Endeavour!$Q$35:$Q$39)</f>
        <v>0.14559237843430192</v>
      </c>
      <c r="AR10" s="351" cm="1">
        <f t="array" ref="AR10">_xlfn.XLOOKUP(1,($AK10=Endeavour!$J$29)*($AL10=Endeavour!$J$30)*(AR$6=Endeavour_description),Endeavour!$Q$35:$Q$39)</f>
        <v>6.0009840620626725E-2</v>
      </c>
      <c r="AS10" s="350">
        <f t="shared" ref="AS10:AS13" si="0">SUM(AN10:AR10)</f>
        <v>1.0001640103437777</v>
      </c>
    </row>
    <row r="11" spans="1:50" ht="15" customHeight="1" x14ac:dyDescent="0.3">
      <c r="B11" s="745" t="str">
        <f>B10</f>
        <v>Ausgrid</v>
      </c>
      <c r="C11" s="103" t="s">
        <v>260</v>
      </c>
      <c r="D11" s="104">
        <f>ROUND(SUM(Ausgrid_RESwoCL_PY_cost),0)</f>
        <v>1965</v>
      </c>
      <c r="E11" s="105"/>
      <c r="F11" s="104">
        <f>ROUND(SUM(Ausgrid_SBwoCL_PY_cost),0)</f>
        <v>4977</v>
      </c>
      <c r="G11" s="106"/>
      <c r="H11" s="66"/>
      <c r="I11" s="104"/>
      <c r="J11" s="106"/>
      <c r="K11" s="80"/>
      <c r="L11" s="416">
        <f>ROUND(SUM(Ausgrid_RESwoCL_PY_cost),0)</f>
        <v>1965</v>
      </c>
      <c r="M11" s="423"/>
      <c r="N11" s="416">
        <f>ROUND(SUM(Ausgrid_SBwoCL_PY_cost),0)</f>
        <v>4977</v>
      </c>
      <c r="O11" s="424"/>
      <c r="P11" s="67"/>
      <c r="Q11" s="416"/>
      <c r="R11" s="424"/>
      <c r="S11" s="504"/>
      <c r="T11" s="723" cm="1">
        <f t="array" ref="T11">_xlfn.XLOOKUP(1,($B11=CL_DistributionZone)*(T$7=CL_TariffType)*("Total inc GST"=CL_Description),CL_Price)</f>
        <v>276.01471187818402</v>
      </c>
      <c r="U11" s="724" cm="1">
        <f t="array" ref="U11">_xlfn.XLOOKUP(1,($B11=CL_DistributionZone)*(U$7=CL_TariffType)*("Total inc GST"=CL_Description),CL_Price)</f>
        <v>184.23910534855443</v>
      </c>
      <c r="V11" s="411"/>
      <c r="W11" s="875"/>
      <c r="X11" s="876"/>
      <c r="Y11" s="877"/>
      <c r="Z11" s="398"/>
      <c r="AA11" s="398"/>
      <c r="AB11" s="60" t="str">
        <f>AB10</f>
        <v>Residential</v>
      </c>
      <c r="AC11" s="60" t="str">
        <f t="shared" ref="AC11:AC13" si="1">AC10</f>
        <v>Flat rate</v>
      </c>
      <c r="AD11" s="348" t="s">
        <v>3</v>
      </c>
      <c r="AE11" s="349" cm="1">
        <f t="array" ref="AE11">_xlfn.XLOOKUP(1,($AK11=Essential!$J$29)*($AL11=Essential!$J$30)*(AE$6=Essential_description),Essential!$N$35:$N$39)</f>
        <v>2.725989743063395E-2</v>
      </c>
      <c r="AF11" s="351" cm="1">
        <f t="array" ref="AF11">_xlfn.XLOOKUP(1,($AK11=Essential!$J$29)*($AL11=Essential!$J$30)*(AF$6=Essential_description),Essential!$N$35:$N$39)</f>
        <v>-0.1373937477486562</v>
      </c>
      <c r="AG11" s="351" cm="1">
        <f t="array" ref="AG11">_xlfn.XLOOKUP(1,($AK11=Essential!$J$29)*($AL11=Essential!$J$30)*(AG$6=Essential_description),Essential!$N$35:$N$39)</f>
        <v>-0.30045020003564016</v>
      </c>
      <c r="AH11" s="351" cm="1">
        <f t="array" ref="AH11">_xlfn.XLOOKUP(1,($AK11=Essential!$J$29)*($AL11=Essential!$J$30)*(AH$6=Essential_description),Essential!$N$35:$N$39)</f>
        <v>-4.2434018640133964E-2</v>
      </c>
      <c r="AI11" s="351" cm="1">
        <f t="array" ref="AI11">_xlfn.XLOOKUP(1,($AK11=Essential!$J$29)*($AL11=Essential!$J$30)*(AI$6=Essential_description),Essential!$N$35:$N$39)</f>
        <v>-4.9975837421586067E-2</v>
      </c>
      <c r="AJ11" s="351">
        <f>Essential!N40</f>
        <v>-4.9981758482305683E-2</v>
      </c>
      <c r="AK11" s="60" t="str">
        <f t="shared" ref="AK11:AK13" si="2">AK10</f>
        <v>Residential</v>
      </c>
      <c r="AL11" s="60" t="str">
        <f t="shared" ref="AL11:AL13" si="3">AL10</f>
        <v>Flat rate</v>
      </c>
      <c r="AM11" s="348" t="s">
        <v>3</v>
      </c>
      <c r="AN11" s="349" cm="1">
        <f t="array" ref="AN11">_xlfn.XLOOKUP(1,($AK11=Essential!$J$29)*($AL11=Essential!$J$30)*(AN$6=Essential_description),Essential!$Q$35:$Q$39)</f>
        <v>0.4927142685158567</v>
      </c>
      <c r="AO11" s="351" cm="1">
        <f t="array" ref="AO11">_xlfn.XLOOKUP(1,($AK11=Essential!$J$29)*($AL11=Essential!$J$30)*(AO$6=Essential_description),Essential!$Q$35:$Q$39)</f>
        <v>0.29927941062252028</v>
      </c>
      <c r="AP11" s="351" cm="1">
        <f t="array" ref="AP11">_xlfn.XLOOKUP(1,($AK11=Essential!$J$29)*($AL11=Essential!$J$30)*(AP$6=Essential_description),Essential!$Q$35:$Q$39)</f>
        <v>2.1537324069670287E-2</v>
      </c>
      <c r="AQ11" s="351" cm="1">
        <f t="array" ref="AQ11">_xlfn.XLOOKUP(1,($AK11=Essential!$J$29)*($AL11=Essential!$J$30)*(AQ$6=Essential_description),Essential!$Q$35:$Q$39)</f>
        <v>0.12641102934038756</v>
      </c>
      <c r="AR11" s="351" cm="1">
        <f t="array" ref="AR11">_xlfn.XLOOKUP(1,($AK11=Essential!$J$29)*($AL11=Essential!$J$30)*(AR$6=Essential_description),Essential!$Q$35:$Q$39)</f>
        <v>5.9996299949900099E-2</v>
      </c>
      <c r="AS11" s="350">
        <f t="shared" si="0"/>
        <v>0.99993833249833497</v>
      </c>
    </row>
    <row r="12" spans="1:50" ht="15" customHeight="1" x14ac:dyDescent="0.3">
      <c r="B12" s="401" t="str">
        <f>B11</f>
        <v>Ausgrid</v>
      </c>
      <c r="C12" s="108" t="s">
        <v>129</v>
      </c>
      <c r="D12" s="109">
        <f>D8-D11</f>
        <v>-66</v>
      </c>
      <c r="E12" s="110">
        <f>D8/D11-1</f>
        <v>-3.3587786259541952E-2</v>
      </c>
      <c r="F12" s="109">
        <f>F8-F11</f>
        <v>-454</v>
      </c>
      <c r="G12" s="110">
        <f>F8/F11-1</f>
        <v>-9.1219610206952018E-2</v>
      </c>
      <c r="H12" s="66"/>
      <c r="I12" s="109"/>
      <c r="J12" s="110"/>
      <c r="K12" s="80"/>
      <c r="L12" s="109">
        <f>L8-L11</f>
        <v>-72</v>
      </c>
      <c r="M12" s="110">
        <f>L8/L11-1</f>
        <v>-3.6641221374045796E-2</v>
      </c>
      <c r="N12" s="109">
        <f>N8-N11</f>
        <v>-527</v>
      </c>
      <c r="O12" s="110">
        <f>N8/N11-1</f>
        <v>-0.1058870805706249</v>
      </c>
      <c r="P12" s="67"/>
      <c r="Q12" s="425"/>
      <c r="R12" s="426"/>
      <c r="S12" s="504"/>
      <c r="T12" s="725" cm="1">
        <f t="array" ref="T12">_xlfn.XLOOKUP(1,($B11=DistributionZone)*($T$7=tariffType)*("Usage"=Description),valuesFY)</f>
        <v>1340</v>
      </c>
      <c r="U12" s="726" cm="1">
        <f t="array" ref="U12">_xlfn.XLOOKUP(1,($B11=DistributionZone)*($U$7=tariffType)*("Usage"=Description),valuesFY)</f>
        <v>660</v>
      </c>
      <c r="V12" s="411"/>
      <c r="W12" s="875"/>
      <c r="X12" s="876"/>
      <c r="Y12" s="877"/>
      <c r="Z12" s="398"/>
      <c r="AA12" s="398"/>
      <c r="AB12" s="60" t="str">
        <f>AB11</f>
        <v>Residential</v>
      </c>
      <c r="AC12" s="60" t="str">
        <f t="shared" si="1"/>
        <v>Flat rate</v>
      </c>
      <c r="AD12" s="348" t="s">
        <v>0</v>
      </c>
      <c r="AE12" s="349" cm="1">
        <f t="array" ref="AE12">_xlfn.XLOOKUP(1,($AK12=Energex!$J$29)*($AL12=Energex!$J$30)*(AE$6=Energex_description),Energex!$N$35:$N$39)</f>
        <v>5.0117493440551719E-2</v>
      </c>
      <c r="AF12" s="351" cm="1">
        <f t="array" ref="AF12">_xlfn.XLOOKUP(1,($AK12=Energex!$J$29)*($AL12=Energex!$J$30)*(AF$6=Energex_description),Energex!$N$35:$N$39)</f>
        <v>-0.14398106484145745</v>
      </c>
      <c r="AG12" s="351" cm="1">
        <f t="array" ref="AG12">_xlfn.XLOOKUP(1,($AK12=Energex!$J$29)*($AL12=Energex!$J$30)*(AG$6=Energex_description),Energex!$N$35:$N$39)</f>
        <v>-0.32197760545125886</v>
      </c>
      <c r="AH12" s="351" cm="1">
        <f t="array" ref="AH12">_xlfn.XLOOKUP(1,($AK12=Energex!$J$29)*($AL12=Energex!$J$30)*(AH$6=Energex_description),Energex!$N$35:$N$39)</f>
        <v>-0.13159040386139853</v>
      </c>
      <c r="AI12" s="351" cm="1">
        <f t="array" ref="AI12">_xlfn.XLOOKUP(1,($AK12=Energex!$J$29)*($AL12=Energex!$J$30)*(AI$6=Energex_description),Energex!$N$35:$N$39)</f>
        <v>-7.2267579938596227E-2</v>
      </c>
      <c r="AJ12" s="351">
        <f>Energex!N40</f>
        <v>-7.232851143257113E-2</v>
      </c>
      <c r="AK12" s="60" t="str">
        <f t="shared" si="2"/>
        <v>Residential</v>
      </c>
      <c r="AL12" s="60" t="str">
        <f t="shared" si="3"/>
        <v>Flat rate</v>
      </c>
      <c r="AM12" s="348" t="s">
        <v>0</v>
      </c>
      <c r="AN12" s="349" cm="1">
        <f t="array" ref="AN12">_xlfn.XLOOKUP(1,($AK12=Energex!$J$29)*($AL12=Energex!$J$30)*(AN$6=Energex_description),Energex!$Q$35:$Q$39)</f>
        <v>0.4111988790539392</v>
      </c>
      <c r="AO12" s="351" cm="1">
        <f t="array" ref="AO12">_xlfn.XLOOKUP(1,($AK12=Energex!$J$29)*($AL12=Energex!$J$30)*(AO$6=Energex_description),Energex!$Q$35:$Q$39)</f>
        <v>0.36471528893499677</v>
      </c>
      <c r="AP12" s="351" cm="1">
        <f t="array" ref="AP12">_xlfn.XLOOKUP(1,($AK12=Energex!$J$29)*($AL12=Energex!$J$30)*(AP$6=Energex_description),Energex!$Q$35:$Q$39)</f>
        <v>2.0567549568645632E-2</v>
      </c>
      <c r="AQ12" s="351" cm="1">
        <f t="array" ref="AQ12">_xlfn.XLOOKUP(1,($AK12=Energex!$J$29)*($AL12=Energex!$J$30)*(AQ$6=Energex_description),Energex!$Q$35:$Q$39)</f>
        <v>0.1433677019447592</v>
      </c>
      <c r="AR12" s="351" cm="1">
        <f t="array" ref="AR12">_xlfn.XLOOKUP(1,($AK12=Energex!$J$29)*($AL12=Energex!$J$30)*(AR$6=Energex_description),Energex!$Q$35:$Q$39)</f>
        <v>5.9990388478872926E-2</v>
      </c>
      <c r="AS12" s="350">
        <f t="shared" si="0"/>
        <v>0.99983980798121375</v>
      </c>
    </row>
    <row r="13" spans="1:50" ht="15" customHeight="1" x14ac:dyDescent="0.3">
      <c r="B13" s="401" t="str">
        <f>B12</f>
        <v>Ausgrid</v>
      </c>
      <c r="C13" s="111" t="s">
        <v>171</v>
      </c>
      <c r="D13" s="112">
        <f>+D8-(+D11*(1+CPI_firstyear))</f>
        <v>-160.32000000000016</v>
      </c>
      <c r="E13" s="113" t="str">
        <f>CONCATENATE("(",ROUND(+D13/D11*100,1),"%)")</f>
        <v>(-8.2%)</v>
      </c>
      <c r="F13" s="112">
        <f>+F8-+F11*(1+CPI_firstyear)</f>
        <v>-692.89600000000064</v>
      </c>
      <c r="G13" s="113" t="str">
        <f>CONCATENATE("(",ROUND(+F13/F11*100,1),"%)")</f>
        <v>(-13.9%)</v>
      </c>
      <c r="H13" s="66"/>
      <c r="I13" s="112"/>
      <c r="J13" s="113"/>
      <c r="K13" s="80"/>
      <c r="L13" s="112">
        <f>+L8-(+L11*(1+CPI_firstyear))</f>
        <v>-166.32000000000016</v>
      </c>
      <c r="M13" s="113" t="str">
        <f>CONCATENATE("(",ROUND(+L13/L11*100,1),"%)")</f>
        <v>(-8.5%)</v>
      </c>
      <c r="N13" s="112">
        <f>+N8-+N11*(1+CPI_firstyear)</f>
        <v>-765.89600000000064</v>
      </c>
      <c r="O13" s="113" t="str">
        <f>CONCATENATE("(",ROUND(+N13/N11*100,1),"%)")</f>
        <v>(-15.4%)</v>
      </c>
      <c r="P13" s="67"/>
      <c r="Q13" s="427"/>
      <c r="R13" s="428"/>
      <c r="S13" s="504"/>
      <c r="T13" s="412"/>
      <c r="U13" s="498"/>
      <c r="V13" s="411"/>
      <c r="W13" s="875"/>
      <c r="X13" s="876"/>
      <c r="Y13" s="877"/>
      <c r="Z13" s="398"/>
      <c r="AA13" s="398"/>
      <c r="AB13" s="60" t="str">
        <f>AB12</f>
        <v>Residential</v>
      </c>
      <c r="AC13" s="60" t="str">
        <f t="shared" si="1"/>
        <v>Flat rate</v>
      </c>
      <c r="AD13" s="348" t="s">
        <v>5</v>
      </c>
      <c r="AE13" s="349" cm="1">
        <f t="array" ref="AE13">_xlfn.XLOOKUP(1,($AK13=SAPN!$J$29)*($AL13=SAPN!$J$30)*(AE$6=SAPN_description),SAPN!$N$35:$N$39)</f>
        <v>8.6233798388255289E-2</v>
      </c>
      <c r="AF13" s="351" cm="1">
        <f t="array" ref="AF13">_xlfn.XLOOKUP(1,($AK13=SAPN!$J$29)*($AL13=SAPN!$J$30)*(AF$6=SAPN_description),SAPN!$N$35:$N$39)</f>
        <v>-1.8624618055812947E-2</v>
      </c>
      <c r="AG13" s="351" cm="1">
        <f t="array" ref="AG13">_xlfn.XLOOKUP(1,($AK13=SAPN!$J$29)*($AL13=SAPN!$J$30)*(AG$6=SAPN_description),SAPN!$N$35:$N$39)</f>
        <v>-0.35330454350452134</v>
      </c>
      <c r="AH13" s="351" cm="1">
        <f t="array" ref="AH13">_xlfn.XLOOKUP(1,($AK13=SAPN!$J$29)*($AL13=SAPN!$J$30)*(AH$6=SAPN_description),SAPN!$N$35:$N$39)</f>
        <v>-1.4227779966964338E-2</v>
      </c>
      <c r="AI13" s="351" cm="1">
        <f t="array" ref="AI13">_xlfn.XLOOKUP(1,($AK13=SAPN!$J$29)*($AL13=SAPN!$J$30)*(AI$6=SAPN_description),SAPN!$N$35:$N$39)</f>
        <v>1.4368585190237093E-2</v>
      </c>
      <c r="AJ13" s="351">
        <f>SAPN!N40</f>
        <v>1.4341590612777066E-2</v>
      </c>
      <c r="AK13" s="60" t="str">
        <f t="shared" si="2"/>
        <v>Residential</v>
      </c>
      <c r="AL13" s="60" t="str">
        <f t="shared" si="3"/>
        <v>Flat rate</v>
      </c>
      <c r="AM13" s="348" t="s">
        <v>5</v>
      </c>
      <c r="AN13" s="349" cm="1">
        <f t="array" ref="AN13">_xlfn.XLOOKUP(1,($AK13=SAPN!$J$29)*($AL13=SAPN!$J$30)*(AN$6=SAPN_description),SAPN!$Q$35:$Q$39)</f>
        <v>0.41745602785955815</v>
      </c>
      <c r="AO13" s="349" cm="1">
        <f t="array" ref="AO13">_xlfn.XLOOKUP(1,($AK13=SAPN!$J$29)*($AL13=SAPN!$J$30)*(AO$6=SAPN_description),SAPN!$Q$35:$Q$39)</f>
        <v>0.36109874477189791</v>
      </c>
      <c r="AP13" s="349" cm="1">
        <f t="array" ref="AP13">_xlfn.XLOOKUP(1,($AK13=SAPN!$J$29)*($AL13=SAPN!$J$30)*(AP$6=SAPN_description),SAPN!$Q$35:$Q$39)</f>
        <v>2.0017849869148795E-2</v>
      </c>
      <c r="AQ13" s="349" cm="1">
        <f t="array" ref="AQ13">_xlfn.XLOOKUP(1,($AK13=SAPN!$J$29)*($AL13=SAPN!$J$30)*(AQ$6=SAPN_description),SAPN!$Q$35:$Q$39)</f>
        <v>0.14126614157899356</v>
      </c>
      <c r="AR13" s="349" cm="1">
        <f t="array" ref="AR13">_xlfn.XLOOKUP(1,($AK13=SAPN!$J$29)*($AL13=SAPN!$J$30)*(AR$6=SAPN_description),SAPN!$Q$35:$Q$39)</f>
        <v>5.9989708345506244E-2</v>
      </c>
      <c r="AS13" s="350">
        <f t="shared" si="0"/>
        <v>0.99982847242510464</v>
      </c>
    </row>
    <row r="14" spans="1:50" s="69" customFormat="1" ht="15" customHeight="1" x14ac:dyDescent="0.3">
      <c r="B14" s="54" t="s">
        <v>4</v>
      </c>
      <c r="C14" s="55" t="s">
        <v>82</v>
      </c>
      <c r="D14" s="837">
        <f>ROUND(SUM(Endeavour_RESwoCL_FY_cost),0)</f>
        <v>2328</v>
      </c>
      <c r="E14" s="837"/>
      <c r="F14" s="837">
        <f>ROUND(SUM(Endeavour_SBwoCL_FY_cost),0)</f>
        <v>4343</v>
      </c>
      <c r="G14" s="837"/>
      <c r="H14" s="66"/>
      <c r="I14" s="837"/>
      <c r="J14" s="837"/>
      <c r="K14" s="80"/>
      <c r="L14" s="821">
        <f>ROUND(SUM(Endeavour_REStou_FY_cost),0)</f>
        <v>2320</v>
      </c>
      <c r="M14" s="838"/>
      <c r="N14" s="821">
        <f>ROUND(SUM(Endeavour_SBtou_FY_cost),0)</f>
        <v>4326</v>
      </c>
      <c r="O14" s="822"/>
      <c r="P14" s="67"/>
      <c r="Q14" s="849">
        <f>SSO!L18</f>
        <v>2319.7574009933955</v>
      </c>
      <c r="R14" s="850"/>
      <c r="S14" s="504"/>
      <c r="T14" s="821">
        <f>SUM(T17:U17)</f>
        <v>566.05228169125871</v>
      </c>
      <c r="U14" s="822"/>
      <c r="V14" s="429" cm="1">
        <f t="array" ref="V14">_xlfn.XLOOKUP(1,($B14=CL_DistributionZone)*("CL1 only"=CL_TariffType)*("Total inc GST"=CL_Description),CL_Price)</f>
        <v>504.87237047610012</v>
      </c>
      <c r="W14" s="821" cm="1">
        <f t="array" ref="W14">_xlfn.XLOOKUP(1,($B14=CL_DistributionZone)*("CL2 only"=CL_TariffType)*("Total inc GST"=CL_Description),CL_Price)</f>
        <v>536.60233515130676</v>
      </c>
      <c r="X14" s="838"/>
      <c r="Y14" s="822"/>
      <c r="Z14" s="398"/>
      <c r="AA14" s="398"/>
      <c r="AB14" s="60"/>
      <c r="AC14" s="60"/>
      <c r="AD14" s="345" t="s">
        <v>13</v>
      </c>
      <c r="AE14" s="346" t="s">
        <v>19</v>
      </c>
      <c r="AF14" s="347"/>
      <c r="AG14" s="347"/>
      <c r="AH14" s="347"/>
      <c r="AI14" s="347"/>
      <c r="AJ14" s="347"/>
      <c r="AK14" s="60"/>
      <c r="AL14" s="60"/>
      <c r="AM14" s="345" t="s">
        <v>13</v>
      </c>
      <c r="AN14" s="346" t="s">
        <v>19</v>
      </c>
      <c r="AO14" s="347"/>
      <c r="AP14" s="347"/>
      <c r="AQ14" s="347"/>
      <c r="AR14" s="347"/>
      <c r="AS14" s="347"/>
    </row>
    <row r="15" spans="1:50" ht="15" customHeight="1" x14ac:dyDescent="0.3">
      <c r="B15" s="39" t="str">
        <f>B14</f>
        <v>Endeavour</v>
      </c>
      <c r="C15" s="124" t="s">
        <v>136</v>
      </c>
      <c r="D15" s="845" cm="1">
        <f t="array" ref="D15">_xlfn.XLOOKUP(1,($B14=DistributionZone)*(D$6=CustomerType)*(Summary!D$7=tariffType)*("Usage"=Description),valuesFY)</f>
        <v>4900</v>
      </c>
      <c r="E15" s="846"/>
      <c r="F15" s="833" cm="1">
        <f t="array" ref="F15">_xlfn.XLOOKUP(1,($B14=DistributionZone)*(F$6=CustomerType)*(Summary!F$7=tariffType)*("Usage"=Description),valuesFY)</f>
        <v>10000</v>
      </c>
      <c r="G15" s="834"/>
      <c r="H15" s="66"/>
      <c r="I15" s="833"/>
      <c r="J15" s="834"/>
      <c r="K15" s="80"/>
      <c r="L15" s="835" cm="1">
        <f t="array" ref="L15">_xlfn.XLOOKUP(1,($B14=DistributionZone)*(L$6=CustomerType)*(Summary!L$7=tariffType)*("Usage"=Description),valuesFY)</f>
        <v>4900</v>
      </c>
      <c r="M15" s="836"/>
      <c r="N15" s="835" cm="1">
        <f t="array" ref="N15">_xlfn.XLOOKUP(1,($B14=DistributionZone)*(N$6=CustomerType)*(Summary!N$7=tariffType)*("Usage"=Description),valuesFY)</f>
        <v>10000</v>
      </c>
      <c r="O15" s="851"/>
      <c r="P15" s="67"/>
      <c r="Q15" s="835" cm="1">
        <f t="array" ref="Q15">_xlfn.XLOOKUP(1,($B14=DistributionZone)*("Residential"=CustomerType)*(Q$7=tariffType)*("SSO Usage"=Description),valuesFY)</f>
        <v>4900</v>
      </c>
      <c r="R15" s="851" cm="1">
        <f t="array" ref="R15">_xlfn.XLOOKUP(1,($B14=DistributionZone)*("CL"=tariffType)*("Usage"=Description),valuesFY)</f>
        <v>2200</v>
      </c>
      <c r="S15" s="504"/>
      <c r="T15" s="871">
        <f>SUM(T18:U18)</f>
        <v>2200</v>
      </c>
      <c r="U15" s="872"/>
      <c r="V15" s="420" cm="1">
        <f t="array" ref="V15">_xlfn.XLOOKUP(1,($B14=DistributionZone)*("CL"=tariffType)*("Usage"=Description),valuesFY)</f>
        <v>2200</v>
      </c>
      <c r="W15" s="835" cm="1">
        <f t="array" ref="W15">_xlfn.XLOOKUP(1,($B14=DistributionZone)*("CL"=tariffType)*("Usage"=Description),valuesFY)</f>
        <v>2200</v>
      </c>
      <c r="X15" s="836"/>
      <c r="Y15" s="851"/>
      <c r="Z15" s="398"/>
      <c r="AA15" s="398"/>
      <c r="AB15" s="60" t="str">
        <f>AD14</f>
        <v>Small business</v>
      </c>
      <c r="AC15" s="60" t="str">
        <f>AE14</f>
        <v>Flat rate</v>
      </c>
      <c r="AD15" s="348" t="s">
        <v>2</v>
      </c>
      <c r="AE15" s="349" cm="1">
        <f t="array" ref="AE15">_xlfn.XLOOKUP(1,($AB15=Ausgrid!$AC$29)*($AC15=Ausgrid!$AC$30)*(Summary!AE$6=Ausgrid_Description),Ausgrid!$AG$35:$AG$39)</f>
        <v>8.2636705018199086E-2</v>
      </c>
      <c r="AF15" s="351" cm="1">
        <f t="array" ref="AF15">_xlfn.XLOOKUP(1,($AB15=Ausgrid!$AC$29)*($AC15=Ausgrid!$AC$30)*(Summary!AF$6=Ausgrid_Description),Ausgrid!$AG$35:$AG$39)</f>
        <v>-0.13389638505154622</v>
      </c>
      <c r="AG15" s="351" cm="1">
        <f t="array" ref="AG15">_xlfn.XLOOKUP(1,($AB15=Ausgrid!$AC$29)*($AC15=Ausgrid!$AC$30)*(Summary!AG$6=Ausgrid_Description),Ausgrid!$AG$35:$AG$39)</f>
        <v>-0.30377874953862682</v>
      </c>
      <c r="AH15" s="351" cm="1">
        <f t="array" ref="AH15">_xlfn.XLOOKUP(1,($AB15=Ausgrid!$AC$29)*($AC15=Ausgrid!$AC$30)*(Summary!AH$6=Ausgrid_Description),Ausgrid!$AG$35:$AG$39)</f>
        <v>-6.6248623196940915E-2</v>
      </c>
      <c r="AI15" s="351" cm="1">
        <f t="array" ref="AI15">_xlfn.XLOOKUP(1,($AB15=Ausgrid!$AC$29)*($AC15=Ausgrid!$AC$30)*(Summary!AI$6=Ausgrid_Description),Ausgrid!$AG$35:$AG$39)</f>
        <v>-0.50429958383314633</v>
      </c>
      <c r="AJ15" s="350">
        <f>Ausgrid!AG40</f>
        <v>-9.1219610206952018E-2</v>
      </c>
      <c r="AK15" s="60" t="str">
        <f>AM14</f>
        <v>Small business</v>
      </c>
      <c r="AL15" s="60" t="str">
        <f>AN14</f>
        <v>Flat rate</v>
      </c>
      <c r="AM15" s="348" t="s">
        <v>2</v>
      </c>
      <c r="AN15" s="349" cm="1">
        <f t="array" ref="AN15">_xlfn.XLOOKUP(1,($AK15=Ausgrid!$AC$29)*(Summary!$AL15=Ausgrid!$AC$30)*(Summary!AN$6=Ausgrid_Description),Ausgrid!$AJ$35:$AJ$39)</f>
        <v>0.46037506305419829</v>
      </c>
      <c r="AO15" s="351" cm="1">
        <f t="array" ref="AO15">_xlfn.XLOOKUP(1,($AK15=Ausgrid!$AC$29)*(Summary!$AL15=Ausgrid!$AC$30)*(Summary!AO$6=Ausgrid_Description),Ausgrid!$AJ$35:$AJ$39)</f>
        <v>0.36563993244860554</v>
      </c>
      <c r="AP15" s="351" cm="1">
        <f t="array" ref="AP15">_xlfn.XLOOKUP(1,($AK15=Ausgrid!$AC$29)*(Summary!$AL15=Ausgrid!$AC$30)*(Summary!AP$6=Ausgrid_Description),Ausgrid!$AJ$35:$AJ$39)</f>
        <v>2.6969764687258108E-2</v>
      </c>
      <c r="AQ15" s="351" cm="1">
        <f t="array" ref="AQ15">_xlfn.XLOOKUP(1,($AK15=Ausgrid!$AC$29)*(Summary!$AL15=Ausgrid!$AC$30)*(Summary!AQ$6=Ausgrid_Description),Ausgrid!$AJ$35:$AJ$39)</f>
        <v>8.710988086557285E-2</v>
      </c>
      <c r="AR15" s="351" cm="1">
        <f t="array" ref="AR15">_xlfn.XLOOKUP(1,($AK15=Ausgrid!$AC$29)*(Summary!$AL15=Ausgrid!$AC$30)*(Summary!AR$6=Ausgrid_Description),Ausgrid!$AJ$35:$AJ$39)</f>
        <v>6.0006040918444838E-2</v>
      </c>
      <c r="AS15" s="350">
        <f t="shared" ref="AS15:AS19" si="4">SUM(AN15:AR15)</f>
        <v>1.0001006819740794</v>
      </c>
    </row>
    <row r="16" spans="1:50" x14ac:dyDescent="0.3">
      <c r="B16" s="39" t="str">
        <f t="shared" ref="B16:B19" si="5">B15</f>
        <v>Endeavour</v>
      </c>
      <c r="C16" s="125"/>
      <c r="D16" s="40"/>
      <c r="E16" s="41"/>
      <c r="F16" s="833"/>
      <c r="G16" s="834"/>
      <c r="H16" s="66"/>
      <c r="I16" s="833"/>
      <c r="J16" s="834"/>
      <c r="K16" s="80"/>
      <c r="L16" s="430"/>
      <c r="M16" s="42"/>
      <c r="N16" s="430"/>
      <c r="O16" s="431"/>
      <c r="P16" s="67"/>
      <c r="Q16" s="430"/>
      <c r="R16" s="431"/>
      <c r="S16" s="504"/>
      <c r="T16" s="413"/>
      <c r="U16" s="499"/>
      <c r="V16" s="415"/>
      <c r="W16" s="878"/>
      <c r="X16" s="879"/>
      <c r="Y16" s="880"/>
      <c r="Z16" s="398"/>
      <c r="AA16" s="398"/>
      <c r="AB16" s="60" t="str">
        <f>AB15</f>
        <v>Small business</v>
      </c>
      <c r="AC16" s="60" t="str">
        <f>AC15</f>
        <v>Flat rate</v>
      </c>
      <c r="AD16" s="348" t="s">
        <v>4</v>
      </c>
      <c r="AE16" s="349" cm="1">
        <f t="array" ref="AE16">_xlfn.XLOOKUP(1,($AK16=Endeavour!$AB$29)*($AL16=Endeavour!$AB$30)*(AE$6=Endeavour_description),Endeavour!$AF$35:$AF$39)</f>
        <v>0.10602765376729706</v>
      </c>
      <c r="AF16" s="351" cm="1">
        <f t="array" ref="AF16">_xlfn.XLOOKUP(1,($AK16=Endeavour!$AB$29)*($AL16=Endeavour!$AB$30)*(AF$6=Endeavour_description),Endeavour!$AF$35:$AF$39)</f>
        <v>-0.1266120967212091</v>
      </c>
      <c r="AG16" s="351" cm="1">
        <f t="array" ref="AG16">_xlfn.XLOOKUP(1,($AK16=Endeavour!$AB$29)*($AL16=Endeavour!$AB$30)*(AG$6=Endeavour_description),Endeavour!$AF$35:$AF$39)</f>
        <v>-0.30754284929457743</v>
      </c>
      <c r="AH16" s="351" cm="1">
        <f t="array" ref="AH16">_xlfn.XLOOKUP(1,($AK16=Endeavour!$AB$29)*($AL16=Endeavour!$AB$30)*(AH$6=Endeavour_description),Endeavour!$AF$35:$AF$39)</f>
        <v>-5.7505633556177549E-2</v>
      </c>
      <c r="AI16" s="351" cm="1">
        <f t="array" ref="AI16">_xlfn.XLOOKUP(1,($AK16=Endeavour!$AB$29)*($AL16=Endeavour!$AB$30)*(AI$6=Endeavour_description),Endeavour!$AF$35:$AF$39)</f>
        <v>-0.5039090947505831</v>
      </c>
      <c r="AJ16" s="351">
        <f>Endeavour!AF40</f>
        <v>-9.0471204188481646E-2</v>
      </c>
      <c r="AK16" s="60" t="str">
        <f t="shared" ref="AK16:AK19" si="6">AK15</f>
        <v>Small business</v>
      </c>
      <c r="AL16" s="60" t="str">
        <f t="shared" ref="AL16:AL19" si="7">AL15</f>
        <v>Flat rate</v>
      </c>
      <c r="AM16" s="348" t="s">
        <v>4</v>
      </c>
      <c r="AN16" s="349" cm="1">
        <f t="array" ref="AN16">_xlfn.XLOOKUP(1,($AK16=Endeavour!$AB$29)*(Summary!$AL16=Endeavour!$AB$30)*(Summary!AN$6=Endeavour_description),Endeavour!$AI$35:$AI$39)</f>
        <v>0.40684747320018477</v>
      </c>
      <c r="AO16" s="351" cm="1">
        <f t="array" ref="AO16">_xlfn.XLOOKUP(1,($AK16=Endeavour!$AB$29)*(Summary!$AL16=Endeavour!$AB$30)*(Summary!AO$6=Endeavour_description),Endeavour!$AI$35:$AI$39)</f>
        <v>0.40659603334899952</v>
      </c>
      <c r="AP16" s="351" cm="1">
        <f t="array" ref="AP16">_xlfn.XLOOKUP(1,($AK16=Endeavour!$AB$29)*(Summary!$AL16=Endeavour!$AB$30)*(Summary!AP$6=Endeavour_description),Endeavour!$AI$35:$AI$39)</f>
        <v>2.8441652402840936E-2</v>
      </c>
      <c r="AQ16" s="351" cm="1">
        <f t="array" ref="AQ16">_xlfn.XLOOKUP(1,($AK16=Endeavour!$AB$29)*(Summary!$AL16=Endeavour!$AB$30)*(Summary!AQ$6=Endeavour_description),Endeavour!$AI$35:$AI$39)</f>
        <v>9.8131737112840081E-2</v>
      </c>
      <c r="AR16" s="351" cm="1">
        <f t="array" ref="AR16">_xlfn.XLOOKUP(1,($AK16=Endeavour!$AB$29)*(Summary!$AL16=Endeavour!$AB$30)*(Summary!AR$6=Endeavour_description),Endeavour!$AI$35:$AI$39)</f>
        <v>6.0001078472225446E-2</v>
      </c>
      <c r="AS16" s="350">
        <f t="shared" si="4"/>
        <v>1.0000179745370907</v>
      </c>
    </row>
    <row r="17" spans="2:59" ht="16" customHeight="1" x14ac:dyDescent="0.3">
      <c r="B17" s="39" t="str">
        <f t="shared" si="5"/>
        <v>Endeavour</v>
      </c>
      <c r="C17" s="70" t="str">
        <f>+C11</f>
        <v>DMO 7 Price</v>
      </c>
      <c r="D17" s="71">
        <f>ROUND(SUM(Endeavour_RESwoCL_PY_cost),0)</f>
        <v>2411</v>
      </c>
      <c r="E17" s="72"/>
      <c r="F17" s="71">
        <f>ROUND(SUM(Endeavour_SBwoCL_PY_cost),0)</f>
        <v>4775</v>
      </c>
      <c r="G17" s="73"/>
      <c r="H17" s="66"/>
      <c r="I17" s="71"/>
      <c r="J17" s="73"/>
      <c r="K17" s="80"/>
      <c r="L17" s="432">
        <f>ROUND(SUM(Endeavour_RESwoCL_PY_cost),0)</f>
        <v>2411</v>
      </c>
      <c r="M17" s="42"/>
      <c r="N17" s="432">
        <f>ROUND(SUM(Endeavour_SBwoCL_PY_cost),0)</f>
        <v>4775</v>
      </c>
      <c r="O17" s="431"/>
      <c r="P17" s="67"/>
      <c r="Q17" s="432"/>
      <c r="R17" s="431"/>
      <c r="S17" s="504"/>
      <c r="T17" s="727" cm="1">
        <f t="array" ref="T17">_xlfn.XLOOKUP(1,($B17=CL_DistributionZone)*(T$7=CL_TariffType)*("Total inc GST"=CL_Description),CL_Price)</f>
        <v>354.99846576685934</v>
      </c>
      <c r="U17" s="728" cm="1">
        <f t="array" ref="U17">_xlfn.XLOOKUP(1,($B17=CL_DistributionZone)*(U$7=CL_TariffType)*("Total inc GST"=CL_Description),CL_Price)</f>
        <v>211.05381592439934</v>
      </c>
      <c r="V17" s="415"/>
      <c r="W17" s="878"/>
      <c r="X17" s="879"/>
      <c r="Y17" s="880"/>
      <c r="Z17" s="398"/>
      <c r="AA17" s="398"/>
      <c r="AB17" s="60" t="str">
        <f t="shared" ref="AB17:AB19" si="8">AB16</f>
        <v>Small business</v>
      </c>
      <c r="AC17" s="60" t="str">
        <f t="shared" ref="AC17:AC19" si="9">AC16</f>
        <v>Flat rate</v>
      </c>
      <c r="AD17" s="348" t="s">
        <v>3</v>
      </c>
      <c r="AE17" s="349" cm="1">
        <f t="array" ref="AE17">_xlfn.XLOOKUP(1,($AK17=Essential!$AB$29)*($AL17=Essential!$AB$30)*(AE$6=Essential_description),Essential!$AF$35:$AF$39)</f>
        <v>1.8677714935790846E-3</v>
      </c>
      <c r="AF17" s="351" cm="1">
        <f t="array" ref="AF17">_xlfn.XLOOKUP(1,($AK17=Essential!$AB$29)*($AL17=Essential!$AB$30)*(AF$6=Essential_description),Essential!$AF$35:$AF$39)</f>
        <v>-0.13818401357741306</v>
      </c>
      <c r="AG17" s="351" cm="1">
        <f t="array" ref="AG17">_xlfn.XLOOKUP(1,($AK17=Essential!$AB$29)*($AL17=Essential!$AB$30)*(AG$6=Essential_description),Essential!$AF$35:$AF$39)</f>
        <v>-0.30045020003564005</v>
      </c>
      <c r="AH17" s="351" cm="1">
        <f t="array" ref="AH17">_xlfn.XLOOKUP(1,($AK17=Essential!$AB$29)*($AL17=Essential!$AB$30)*(AH$6=Essential_description),Essential!$AF$35:$AF$39)</f>
        <v>-7.7730329691095612E-2</v>
      </c>
      <c r="AI17" s="351" cm="1">
        <f t="array" ref="AI17">_xlfn.XLOOKUP(1,($AK17=Essential!$AB$29)*($AL17=Essential!$AB$30)*(AI$6=Essential_description),Essential!$AF$35:$AF$39)</f>
        <v>-0.51632773408307941</v>
      </c>
      <c r="AJ17" s="351">
        <f>Essential!AF40</f>
        <v>-0.11330761812921886</v>
      </c>
      <c r="AK17" s="60" t="str">
        <f t="shared" si="6"/>
        <v>Small business</v>
      </c>
      <c r="AL17" s="60" t="str">
        <f t="shared" si="7"/>
        <v>Flat rate</v>
      </c>
      <c r="AM17" s="348" t="s">
        <v>3</v>
      </c>
      <c r="AN17" s="349" cm="1">
        <f t="array" ref="AN17">_xlfn.XLOOKUP(1,($AK17=Essential!$AB$29)*(Summary!$AL17=Essential!$AB$30)*(Summary!AN$6=Essential_description),Essential!$AI$35:$AI$39)</f>
        <v>0.53737021222868797</v>
      </c>
      <c r="AO17" s="351" cm="1">
        <f t="array" ref="AO17">_xlfn.XLOOKUP(1,($AK17=Essential!$AB$29)*(Summary!$AL17=Essential!$AB$30)*(Summary!AO$6=Essential_description),Essential!$AI$35:$AI$39)</f>
        <v>0.30401174932069364</v>
      </c>
      <c r="AP17" s="351" cm="1">
        <f t="array" ref="AP17">_xlfn.XLOOKUP(1,($AK17=Essential!$AB$29)*(Summary!$AL17=Essential!$AB$30)*(Summary!AP$6=Essential_description),Essential!$AI$35:$AI$39)</f>
        <v>2.2098963629186241E-2</v>
      </c>
      <c r="AQ17" s="351" cm="1">
        <f t="array" ref="AQ17">_xlfn.XLOOKUP(1,($AK17=Essential!$AB$29)*(Summary!$AL17=Essential!$AB$30)*(Summary!AQ$6=Essential_description),Essential!$AI$35:$AI$39)</f>
        <v>7.6570932233644654E-2</v>
      </c>
      <c r="AR17" s="351" cm="1">
        <f t="array" ref="AR17">_xlfn.XLOOKUP(1,($AK17=Essential!$AB$29)*(Summary!$AL17=Essential!$AB$30)*(Summary!AR$6=Essential_description),Essential!$AI$35:$AI$39)</f>
        <v>6.0003310047588077E-2</v>
      </c>
      <c r="AS17" s="350">
        <f t="shared" si="4"/>
        <v>1.0000551674598006</v>
      </c>
    </row>
    <row r="18" spans="2:59" ht="15" customHeight="1" x14ac:dyDescent="0.3">
      <c r="B18" s="39" t="str">
        <f t="shared" si="5"/>
        <v>Endeavour</v>
      </c>
      <c r="C18" s="114" t="s">
        <v>129</v>
      </c>
      <c r="D18" s="115">
        <f>D14-D17</f>
        <v>-83</v>
      </c>
      <c r="E18" s="116">
        <f>D14/D17-1</f>
        <v>-3.4425549564496061E-2</v>
      </c>
      <c r="F18" s="115">
        <f>F14-F17</f>
        <v>-432</v>
      </c>
      <c r="G18" s="116">
        <f>F14/F17-1</f>
        <v>-9.0471204188481646E-2</v>
      </c>
      <c r="H18" s="66"/>
      <c r="I18" s="115"/>
      <c r="J18" s="116"/>
      <c r="K18" s="80"/>
      <c r="L18" s="115">
        <f>L14-L17</f>
        <v>-91</v>
      </c>
      <c r="M18" s="116">
        <f>L14/L17-1</f>
        <v>-3.7743674823724649E-2</v>
      </c>
      <c r="N18" s="115">
        <f>N14-N17</f>
        <v>-449</v>
      </c>
      <c r="O18" s="116">
        <f>N14/N17-1</f>
        <v>-9.4031413612565395E-2</v>
      </c>
      <c r="P18" s="67"/>
      <c r="Q18" s="433"/>
      <c r="R18" s="434"/>
      <c r="S18" s="504"/>
      <c r="T18" s="731" cm="1">
        <f t="array" ref="T18">_xlfn.XLOOKUP(1,($B16=DistributionZone)*($T$7=tariffType)*("Usage"=Description),valuesFY)</f>
        <v>1474</v>
      </c>
      <c r="U18" s="732" cm="1">
        <f t="array" ref="U18">_xlfn.XLOOKUP(1,($B16=DistributionZone)*($U$7=tariffType)*("Usage"=Description),valuesFY)</f>
        <v>726</v>
      </c>
      <c r="V18" s="415"/>
      <c r="W18" s="878"/>
      <c r="X18" s="879"/>
      <c r="Y18" s="880"/>
      <c r="Z18" s="398"/>
      <c r="AA18" s="398"/>
      <c r="AB18" s="60" t="str">
        <f t="shared" si="8"/>
        <v>Small business</v>
      </c>
      <c r="AC18" s="60" t="str">
        <f t="shared" si="9"/>
        <v>Flat rate</v>
      </c>
      <c r="AD18" s="348" t="s">
        <v>0</v>
      </c>
      <c r="AE18" s="349" cm="1">
        <f t="array" ref="AE18">_xlfn.XLOOKUP(1,($AK18=Energex!$AB$29)*($AL18=Energex!$AB$30)*(AE$6=Energex_description),Energex!$AF$35:$AF$39)</f>
        <v>7.9820453490538901E-2</v>
      </c>
      <c r="AF18" s="351" cm="1">
        <f t="array" ref="AF18">_xlfn.XLOOKUP(1,($AK18=Energex!$AB$29)*($AL18=Energex!$AB$30)*(AF$6=Energex_description),Energex!$AF$35:$AF$39)</f>
        <v>-0.14488905072978286</v>
      </c>
      <c r="AG18" s="351" cm="1">
        <f t="array" ref="AG18">_xlfn.XLOOKUP(1,($AK18=Energex!$AB$29)*($AL18=Energex!$AB$30)*(AG$6=Energex_description),Energex!$AF$35:$AF$39)</f>
        <v>-0.32197760545125897</v>
      </c>
      <c r="AH18" s="351" cm="1">
        <f t="array" ref="AH18">_xlfn.XLOOKUP(1,($AK18=Energex!$AB$29)*($AL18=Energex!$AB$30)*(AH$6=Energex_description),Energex!$AF$35:$AF$39)</f>
        <v>-4.9345970075711842E-2</v>
      </c>
      <c r="AI18" s="351" cm="1">
        <f t="array" ref="AI18">_xlfn.XLOOKUP(1,($AK18=Energex!$AB$29)*($AL18=Energex!$AB$30)*(AI$6=Energex_description),Energex!$AF$35:$AF$39)</f>
        <v>-0.5111226966460668</v>
      </c>
      <c r="AJ18" s="351">
        <f>Energex!AF40</f>
        <v>-0.10363297624592449</v>
      </c>
      <c r="AK18" s="60" t="str">
        <f t="shared" si="6"/>
        <v>Small business</v>
      </c>
      <c r="AL18" s="60" t="str">
        <f t="shared" si="7"/>
        <v>Flat rate</v>
      </c>
      <c r="AM18" s="348" t="s">
        <v>0</v>
      </c>
      <c r="AN18" s="349" cm="1">
        <f t="array" ref="AN18">_xlfn.XLOOKUP(1,($AK18=Energex!$AB$29)*(Summary!$AL18=Energex!$AB$30)*(Summary!AN$6=Energex_description),Energex!$AI$35:$AI$39)</f>
        <v>0.4226059662996019</v>
      </c>
      <c r="AO18" s="351" cm="1">
        <f t="array" ref="AO18">_xlfn.XLOOKUP(1,($AK18=Energex!$AB$29)*(Summary!$AL18=Energex!$AB$30)*(Summary!AO$6=Energex_description),Energex!$AI$35:$AI$39)</f>
        <v>0.40510663797642171</v>
      </c>
      <c r="AP18" s="351" cm="1">
        <f t="array" ref="AP18">_xlfn.XLOOKUP(1,($AK18=Energex!$AB$29)*(Summary!$AL18=Energex!$AB$30)*(Summary!AP$6=Energex_description),Energex!$AI$35:$AI$39)</f>
        <v>2.3093682459852653E-2</v>
      </c>
      <c r="AQ18" s="351" cm="1">
        <f t="array" ref="AQ18">_xlfn.XLOOKUP(1,($AK18=Energex!$AB$29)*(Summary!$AL18=Energex!$AB$30)*(Summary!AQ$6=Energex_description),Energex!$AI$35:$AI$39)</f>
        <v>8.9078121251633349E-2</v>
      </c>
      <c r="AR18" s="351" cm="1">
        <f t="array" ref="AR18">_xlfn.XLOOKUP(1,($AK18=Energex!$AB$29)*(Summary!$AL18=Energex!$AB$30)*(Summary!AR$6=Energex_description),Energex!$AI$35:$AI$39)</f>
        <v>5.9992621786436807E-2</v>
      </c>
      <c r="AS18" s="350">
        <f t="shared" si="4"/>
        <v>0.99987702977394655</v>
      </c>
    </row>
    <row r="19" spans="2:59" ht="15" customHeight="1" x14ac:dyDescent="0.3">
      <c r="B19" s="39" t="str">
        <f t="shared" si="5"/>
        <v>Endeavour</v>
      </c>
      <c r="C19" s="117" t="s">
        <v>171</v>
      </c>
      <c r="D19" s="118">
        <f>+D14-+D17*(1+CPI_firstyear)</f>
        <v>-198.72800000000007</v>
      </c>
      <c r="E19" s="119" t="str">
        <f>CONCATENATE("(",ROUND(+D19/D17*100,1),"%)")</f>
        <v>(-8.2%)</v>
      </c>
      <c r="F19" s="118">
        <f>+F14-+F17*(1+CPI_firstyear)</f>
        <v>-661.19999999999982</v>
      </c>
      <c r="G19" s="119" t="str">
        <f>CONCATENATE("(",ROUND(+F19/F17*100,1),"%)")</f>
        <v>(-13.8%)</v>
      </c>
      <c r="H19" s="66"/>
      <c r="I19" s="118"/>
      <c r="J19" s="119"/>
      <c r="K19" s="80"/>
      <c r="L19" s="118">
        <f>+L14-+L17*(1+CPI_firstyear)</f>
        <v>-206.72800000000007</v>
      </c>
      <c r="M19" s="119" t="str">
        <f>CONCATENATE("(",ROUND(+L19/L17*100,1),"%)")</f>
        <v>(-8.6%)</v>
      </c>
      <c r="N19" s="118">
        <f>+N14-+N17*(1+CPI_firstyear)</f>
        <v>-678.19999999999982</v>
      </c>
      <c r="O19" s="119" t="str">
        <f>CONCATENATE("(",ROUND(+N19/N17*100,1),"%)")</f>
        <v>(-14.2%)</v>
      </c>
      <c r="P19" s="67"/>
      <c r="Q19" s="435"/>
      <c r="R19" s="436"/>
      <c r="S19" s="504"/>
      <c r="T19" s="733"/>
      <c r="U19" s="734"/>
      <c r="V19" s="415"/>
      <c r="W19" s="878"/>
      <c r="X19" s="879"/>
      <c r="Y19" s="880"/>
      <c r="Z19" s="398"/>
      <c r="AA19" s="398"/>
      <c r="AB19" s="60" t="str">
        <f t="shared" si="8"/>
        <v>Small business</v>
      </c>
      <c r="AC19" s="60" t="str">
        <f t="shared" si="9"/>
        <v>Flat rate</v>
      </c>
      <c r="AD19" s="352" t="s">
        <v>5</v>
      </c>
      <c r="AE19" s="353" cm="1">
        <f t="array" ref="AE19">_xlfn.XLOOKUP(1,($AK19=SAPN!$AB$29)*($AL19=SAPN!$AB$30)*(AE$6=SAPN_description),SAPN!$AF$35:$AF$39)</f>
        <v>1.0100289888888891E-2</v>
      </c>
      <c r="AF19" s="354" cm="1">
        <f t="array" ref="AF19">_xlfn.XLOOKUP(1,($AK19=SAPN!$AB$29)*($AL19=SAPN!$AB$30)*(AF$6=SAPN_description),SAPN!$AF$35:$AF$39)</f>
        <v>-1.8273385725476876E-2</v>
      </c>
      <c r="AG19" s="354" cm="1">
        <f t="array" ref="AG19">_xlfn.XLOOKUP(1,($AK19=SAPN!$AB$29)*($AL19=SAPN!$AB$30)*(AG$6=SAPN_description),SAPN!$AF$35:$AF$39)</f>
        <v>-0.35330454350452134</v>
      </c>
      <c r="AH19" s="354" cm="1">
        <f t="array" ref="AH19">_xlfn.XLOOKUP(1,($AK19=SAPN!$AB$29)*($AL19=SAPN!$AB$30)*(AH$6=SAPN_description),SAPN!$AF$35:$AF$39)</f>
        <v>6.9600953810455835E-4</v>
      </c>
      <c r="AI19" s="354" cm="1">
        <f t="array" ref="AI19">_xlfn.XLOOKUP(1,($AK19=SAPN!$AB$29)*($AL19=SAPN!$AB$30)*(AI$6=SAPN_description),SAPN!$AF$35:$AF$39)</f>
        <v>-0.49186772449929073</v>
      </c>
      <c r="AJ19" s="354">
        <f>SAPN!AF40</f>
        <v>-6.8399205919509098E-2</v>
      </c>
      <c r="AK19" s="60" t="str">
        <f t="shared" si="6"/>
        <v>Small business</v>
      </c>
      <c r="AL19" s="60" t="str">
        <f t="shared" si="7"/>
        <v>Flat rate</v>
      </c>
      <c r="AM19" s="352" t="s">
        <v>5</v>
      </c>
      <c r="AN19" s="353" cm="1">
        <f t="array" ref="AN19">_xlfn.XLOOKUP(1,($AK19=SAPN!$AB$29)*(Summary!$AL19=SAPN!$AB$30)*(Summary!AN$6=SAPN_description),SAPN!$AI$35:$AI$39)</f>
        <v>0.44653720004632508</v>
      </c>
      <c r="AO19" s="354" cm="1">
        <f t="array" ref="AO19">_xlfn.XLOOKUP(1,($AK19=SAPN!$AB$29)*(Summary!$AL19=SAPN!$AB$30)*(Summary!AO$6=SAPN_description),SAPN!$AI$35:$AI$39)</f>
        <v>0.40398184148470051</v>
      </c>
      <c r="AP19" s="354" cm="1">
        <f t="array" ref="AP19">_xlfn.XLOOKUP(1,($AK19=SAPN!$AB$29)*(Summary!$AL19=SAPN!$AB$30)*(Summary!AP$6=SAPN_description),SAPN!$AI$35:$AI$39)</f>
        <v>2.2627693527021157E-2</v>
      </c>
      <c r="AQ19" s="354" cm="1">
        <f t="array" ref="AQ19">_xlfn.XLOOKUP(1,($AK19=SAPN!$AB$29)*(Summary!$AL19=SAPN!$AB$30)*(Summary!AQ$6=SAPN_description),SAPN!$AI$35:$AI$39)</f>
        <v>6.6828368975739308E-2</v>
      </c>
      <c r="AR19" s="354" cm="1">
        <f t="array" ref="AR19">_xlfn.XLOOKUP(1,($AK19=SAPN!$AB$29)*(Summary!$AL19=SAPN!$AB$30)*(Summary!AR$6=SAPN_description),SAPN!$AI$35:$AI$39)</f>
        <v>5.9998410895773555E-2</v>
      </c>
      <c r="AS19" s="350">
        <f t="shared" si="4"/>
        <v>0.99997351492955955</v>
      </c>
    </row>
    <row r="20" spans="2:59" s="69" customFormat="1" ht="15" customHeight="1" x14ac:dyDescent="0.3">
      <c r="B20" s="51" t="s">
        <v>3</v>
      </c>
      <c r="C20" s="52" t="s">
        <v>82</v>
      </c>
      <c r="D20" s="844">
        <f>ROUND(SUM(Essential_RESwoCL_FY_cost),0)</f>
        <v>2604</v>
      </c>
      <c r="E20" s="844"/>
      <c r="F20" s="859">
        <f>ROUND(SUM(Essential_SBwoCL_FY_cost),0)</f>
        <v>5517</v>
      </c>
      <c r="G20" s="860"/>
      <c r="H20" s="66"/>
      <c r="I20" s="844"/>
      <c r="J20" s="844"/>
      <c r="K20" s="80"/>
      <c r="L20" s="854">
        <f>ROUND(SUM(Essential_REStou_FY_cost),0)</f>
        <v>2530</v>
      </c>
      <c r="M20" s="855"/>
      <c r="N20" s="854">
        <f>ROUND(SUM(Essential_SBtou_FY_cost),0)</f>
        <v>4919</v>
      </c>
      <c r="O20" s="863"/>
      <c r="P20" s="67"/>
      <c r="Q20" s="869">
        <f>SSO!L25</f>
        <v>2529.6479744055605</v>
      </c>
      <c r="R20" s="870"/>
      <c r="S20" s="504"/>
      <c r="T20" s="854">
        <f>SUM(T23:U23)</f>
        <v>530.91475896228269</v>
      </c>
      <c r="U20" s="863"/>
      <c r="V20" s="408" cm="1">
        <f t="array" ref="V20">_xlfn.XLOOKUP(1,($B20=CL_DistributionZone)*("CL1 only"=CL_TariffType)*("Total inc GST"=CL_Description),CL_Price)</f>
        <v>454.93407729020532</v>
      </c>
      <c r="W20" s="854" cm="1">
        <f t="array" ref="W20">_xlfn.XLOOKUP(1,($B20=CL_DistributionZone)*("CL2 only"=CL_TariffType)*("Total inc GST"=CL_Description),CL_Price)</f>
        <v>536.75911949028625</v>
      </c>
      <c r="X20" s="855"/>
      <c r="Y20" s="863"/>
      <c r="Z20" s="398"/>
      <c r="AA20" s="398"/>
      <c r="AB20" s="356"/>
      <c r="AC20" s="60"/>
      <c r="AD20" s="67"/>
      <c r="AE20" s="67"/>
      <c r="AF20" s="67"/>
      <c r="AG20" s="67"/>
      <c r="AH20" s="67"/>
      <c r="AI20" s="67"/>
      <c r="AJ20" s="67"/>
      <c r="AK20" s="67"/>
      <c r="AL20" s="67"/>
      <c r="AM20" s="67"/>
      <c r="AN20" s="67"/>
      <c r="AO20" s="67"/>
    </row>
    <row r="21" spans="2:59" ht="15" customHeight="1" x14ac:dyDescent="0.3">
      <c r="B21" s="401" t="str">
        <f>B20</f>
        <v>Essential</v>
      </c>
      <c r="C21" s="126" t="s">
        <v>136</v>
      </c>
      <c r="D21" s="843" cm="1">
        <f t="array" ref="D21">_xlfn.XLOOKUP(1,($B20=DistributionZone)*(D$6=CustomerType)*(Summary!D$7=tariffType)*("Usage"=Description),valuesFY)</f>
        <v>4600</v>
      </c>
      <c r="E21" s="843"/>
      <c r="F21" s="852" cm="1">
        <f t="array" ref="F21">_xlfn.XLOOKUP(1,($B20=DistributionZone)*(F$6=CustomerType)*(Summary!F$7=tariffType)*("Usage"=Description),valuesFY)</f>
        <v>10000</v>
      </c>
      <c r="G21" s="853"/>
      <c r="H21" s="66"/>
      <c r="I21" s="852"/>
      <c r="J21" s="853"/>
      <c r="K21" s="80"/>
      <c r="L21" s="823" cm="1">
        <f t="array" ref="L21">_xlfn.XLOOKUP(1,($B20=DistributionZone)*(L$6=CustomerType)*(Summary!L$7=tariffType)*("Usage"=Description),valuesFY)</f>
        <v>4600</v>
      </c>
      <c r="M21" s="856"/>
      <c r="N21" s="823" cm="1">
        <f t="array" ref="N21">_xlfn.XLOOKUP(1,($B20=DistributionZone)*(N$6=CustomerType)*(Summary!N$7=tariffType)*("Usage"=Description),valuesFY)</f>
        <v>10000</v>
      </c>
      <c r="O21" s="824"/>
      <c r="P21" s="67"/>
      <c r="Q21" s="823" cm="1">
        <f t="array" ref="Q21">_xlfn.XLOOKUP(1,($B20=DistributionZone)*("Residential"=CustomerType)*(Q$7=tariffType)*("SSO Usage"=Description),valuesFY)</f>
        <v>4600</v>
      </c>
      <c r="R21" s="824" cm="1">
        <f t="array" ref="R21">_xlfn.XLOOKUP(1,($B20=DistributionZone)*("CL"=tariffType)*("Usage"=Description),valuesFY)</f>
        <v>2000</v>
      </c>
      <c r="S21" s="504"/>
      <c r="T21" s="873">
        <f>SUM(T24:U24)</f>
        <v>2000</v>
      </c>
      <c r="U21" s="874"/>
      <c r="V21" s="419" cm="1">
        <f t="array" ref="V21">_xlfn.XLOOKUP(1,($B20=DistributionZone)*("CL"=tariffType)*("Usage"=Description),valuesFY)</f>
        <v>2000</v>
      </c>
      <c r="W21" s="823" cm="1">
        <f t="array" ref="W21">_xlfn.XLOOKUP(1,($B20=DistributionZone)*("CL"=tariffType)*("Usage"=Description),valuesFY)</f>
        <v>2000</v>
      </c>
      <c r="X21" s="856"/>
      <c r="Y21" s="824"/>
      <c r="Z21" s="398"/>
      <c r="AA21" s="398"/>
      <c r="AB21" s="60"/>
      <c r="AC21" s="60"/>
      <c r="AD21" s="67"/>
      <c r="AE21" s="67"/>
      <c r="AF21" s="67"/>
      <c r="AG21" s="67"/>
      <c r="AH21" s="67"/>
      <c r="AI21" s="67"/>
      <c r="AJ21" s="67"/>
      <c r="AK21" s="67"/>
      <c r="AL21" s="67"/>
      <c r="AM21" s="67"/>
      <c r="AN21" s="67"/>
      <c r="AO21" s="67"/>
    </row>
    <row r="22" spans="2:59" x14ac:dyDescent="0.3">
      <c r="B22" s="401" t="str">
        <f t="shared" ref="B22:B25" si="10">B21</f>
        <v>Essential</v>
      </c>
      <c r="C22" s="127"/>
      <c r="D22" s="50"/>
      <c r="E22" s="102"/>
      <c r="F22" s="852"/>
      <c r="G22" s="853"/>
      <c r="H22" s="66"/>
      <c r="I22" s="852"/>
      <c r="J22" s="853"/>
      <c r="K22" s="80"/>
      <c r="L22" s="422"/>
      <c r="M22" s="423"/>
      <c r="N22" s="422"/>
      <c r="O22" s="424"/>
      <c r="P22" s="67"/>
      <c r="Q22" s="422"/>
      <c r="R22" s="424"/>
      <c r="S22" s="504"/>
      <c r="T22" s="410"/>
      <c r="U22" s="497"/>
      <c r="V22" s="411"/>
      <c r="W22" s="875"/>
      <c r="X22" s="876"/>
      <c r="Y22" s="877"/>
      <c r="Z22" s="398"/>
      <c r="AA22" s="398"/>
      <c r="AB22" s="60"/>
      <c r="AC22" s="60"/>
      <c r="AD22" s="67"/>
      <c r="AE22" s="67"/>
      <c r="AF22" s="67"/>
      <c r="AG22" s="67"/>
      <c r="AH22" s="67"/>
      <c r="AI22" s="67"/>
      <c r="AJ22" s="67"/>
      <c r="AK22" s="67"/>
      <c r="AL22" s="67"/>
      <c r="AM22" s="67"/>
      <c r="AN22" s="67"/>
      <c r="AO22" s="67"/>
    </row>
    <row r="23" spans="2:59" ht="15" customHeight="1" x14ac:dyDescent="0.3">
      <c r="B23" s="401" t="str">
        <f t="shared" si="10"/>
        <v>Essential</v>
      </c>
      <c r="C23" s="103" t="str">
        <f>+C17</f>
        <v>DMO 7 Price</v>
      </c>
      <c r="D23" s="104">
        <f>ROUND(SUM(Essential_RESwoCL_PY_cost),0)</f>
        <v>2741</v>
      </c>
      <c r="E23" s="105"/>
      <c r="F23" s="104">
        <f>ROUND(SUM(Essential_SBwoCL_PY_cost),0)</f>
        <v>6222</v>
      </c>
      <c r="G23" s="106"/>
      <c r="H23" s="66"/>
      <c r="I23" s="104"/>
      <c r="J23" s="106"/>
      <c r="K23" s="80"/>
      <c r="L23" s="416">
        <f>ROUND(SUM(Essential_RESwoCL_PY_cost),0)</f>
        <v>2741</v>
      </c>
      <c r="M23" s="423"/>
      <c r="N23" s="416">
        <f>ROUND(SUM(Essential_SBwoCL_PY_cost),0)</f>
        <v>6222</v>
      </c>
      <c r="O23" s="424"/>
      <c r="P23" s="67"/>
      <c r="Q23" s="416"/>
      <c r="R23" s="424"/>
      <c r="S23" s="504"/>
      <c r="T23" s="723" cm="1">
        <f t="array" ref="T23">_xlfn.XLOOKUP(1,($B23=CL_DistributionZone)*(T$7=CL_TariffType)*("Total inc GST"=CL_Description),CL_Price)</f>
        <v>363.44625156565161</v>
      </c>
      <c r="U23" s="724" cm="1">
        <f t="array" ref="U23">_xlfn.XLOOKUP(1,($B23=CL_DistributionZone)*(U$7=CL_TariffType)*("Total inc GST"=CL_Description),CL_Price)</f>
        <v>167.46850739663105</v>
      </c>
      <c r="V23" s="411"/>
      <c r="W23" s="875"/>
      <c r="X23" s="876"/>
      <c r="Y23" s="877"/>
      <c r="Z23" s="398"/>
      <c r="AA23" s="398"/>
      <c r="AB23" s="398"/>
      <c r="AC23" s="398"/>
      <c r="AD23" s="67"/>
      <c r="AE23" s="67"/>
      <c r="AF23" s="67"/>
      <c r="AG23" s="67"/>
      <c r="AH23" s="67"/>
      <c r="AI23" s="67"/>
      <c r="AJ23" s="67"/>
      <c r="AK23" s="67"/>
      <c r="AL23" s="67"/>
      <c r="AM23" s="67"/>
      <c r="AN23" s="67"/>
      <c r="AO23" s="67"/>
    </row>
    <row r="24" spans="2:59" ht="15" customHeight="1" x14ac:dyDescent="0.3">
      <c r="B24" s="401" t="str">
        <f t="shared" si="10"/>
        <v>Essential</v>
      </c>
      <c r="C24" s="108" t="s">
        <v>129</v>
      </c>
      <c r="D24" s="109">
        <f>D20-D23</f>
        <v>-137</v>
      </c>
      <c r="E24" s="110">
        <f>D20/D23-1</f>
        <v>-4.9981758482305683E-2</v>
      </c>
      <c r="F24" s="109">
        <f>F20-F23</f>
        <v>-705</v>
      </c>
      <c r="G24" s="110">
        <f>F20/F23-1</f>
        <v>-0.11330761812921886</v>
      </c>
      <c r="H24" s="66"/>
      <c r="I24" s="109"/>
      <c r="J24" s="110"/>
      <c r="K24" s="80"/>
      <c r="L24" s="109">
        <f>L20-L23</f>
        <v>-211</v>
      </c>
      <c r="M24" s="110">
        <f>L20/L23-1</f>
        <v>-7.6979204669828549E-2</v>
      </c>
      <c r="N24" s="109">
        <f>N20-N23</f>
        <v>-1303</v>
      </c>
      <c r="O24" s="110">
        <f>N20/N23-1</f>
        <v>-0.20941819350691093</v>
      </c>
      <c r="P24" s="67"/>
      <c r="Q24" s="425"/>
      <c r="R24" s="426"/>
      <c r="S24" s="504"/>
      <c r="T24" s="725" cm="1">
        <f t="array" ref="T24">_xlfn.XLOOKUP(1,($B23=DistributionZone)*($T$7=tariffType)*("Usage"=Description),valuesFY)</f>
        <v>1540</v>
      </c>
      <c r="U24" s="726" cm="1">
        <f t="array" ref="U24">_xlfn.XLOOKUP(1,($B23=DistributionZone)*($U$7=tariffType)*("Usage"=Description),valuesFY)</f>
        <v>460</v>
      </c>
      <c r="V24" s="411"/>
      <c r="W24" s="875"/>
      <c r="X24" s="876"/>
      <c r="Y24" s="877"/>
      <c r="Z24" s="398"/>
      <c r="AA24" s="398"/>
      <c r="AB24" s="398"/>
      <c r="AC24" s="398"/>
      <c r="AD24" s="67"/>
      <c r="AE24" s="67"/>
      <c r="AF24" s="67"/>
      <c r="AG24" s="67"/>
      <c r="AH24" s="67"/>
      <c r="AI24" s="67"/>
      <c r="AJ24" s="67"/>
      <c r="AK24" s="67"/>
      <c r="AL24" s="67"/>
      <c r="AM24" s="67"/>
      <c r="AN24" s="67"/>
      <c r="AO24" s="67"/>
    </row>
    <row r="25" spans="2:59" ht="15" customHeight="1" x14ac:dyDescent="0.3">
      <c r="B25" s="401" t="str">
        <f t="shared" si="10"/>
        <v>Essential</v>
      </c>
      <c r="C25" s="111" t="s">
        <v>171</v>
      </c>
      <c r="D25" s="112">
        <f>+D20-+D23*(1+CPI_firstyear)</f>
        <v>-268.56800000000021</v>
      </c>
      <c r="E25" s="113" t="str">
        <f>CONCATENATE("(",ROUND(+D25/D23*100,1),"%)")</f>
        <v>(-9.8%)</v>
      </c>
      <c r="F25" s="112">
        <f>+F20-+F23*(1+CPI_firstyear)</f>
        <v>-1003.6559999999999</v>
      </c>
      <c r="G25" s="113" t="str">
        <f>CONCATENATE("(",ROUND(+F25/F23*100,1),"%)")</f>
        <v>(-16.1%)</v>
      </c>
      <c r="H25" s="66"/>
      <c r="I25" s="112"/>
      <c r="J25" s="113"/>
      <c r="K25" s="80"/>
      <c r="L25" s="112">
        <f>+L20-+L23*(1+CPI_firstyear)</f>
        <v>-342.56800000000021</v>
      </c>
      <c r="M25" s="113" t="str">
        <f>CONCATENATE("(",ROUND(+L25/L23*100,1),"%)")</f>
        <v>(-12.5%)</v>
      </c>
      <c r="N25" s="112">
        <f>+N20-+N23*(1+CPI_firstyear)</f>
        <v>-1601.6559999999999</v>
      </c>
      <c r="O25" s="113" t="str">
        <f>CONCATENATE("(",ROUND(+N25/N23*100,1),"%)")</f>
        <v>(-25.7%)</v>
      </c>
      <c r="P25" s="67"/>
      <c r="Q25" s="427"/>
      <c r="R25" s="428"/>
      <c r="S25" s="504"/>
      <c r="T25" s="412"/>
      <c r="U25" s="498"/>
      <c r="V25" s="411"/>
      <c r="W25" s="875"/>
      <c r="X25" s="876"/>
      <c r="Y25" s="877"/>
      <c r="Z25" s="398"/>
      <c r="AA25" s="398"/>
      <c r="AB25" s="398"/>
      <c r="AC25" s="398"/>
      <c r="AD25" s="67"/>
      <c r="AE25" s="67"/>
      <c r="AF25" s="67"/>
      <c r="AG25" s="67"/>
      <c r="AH25" s="67"/>
      <c r="AI25" s="67"/>
      <c r="AJ25" s="67"/>
      <c r="AK25" s="67"/>
      <c r="AL25" s="67"/>
      <c r="AM25" s="67"/>
      <c r="AN25" s="67"/>
      <c r="AO25" s="67"/>
    </row>
    <row r="26" spans="2:59" s="69" customFormat="1" ht="15" customHeight="1" x14ac:dyDescent="0.3">
      <c r="B26" s="54" t="s">
        <v>0</v>
      </c>
      <c r="C26" s="55" t="s">
        <v>82</v>
      </c>
      <c r="D26" s="857">
        <f>ROUND(SUM(Energex_RESwoCL_FY_cost),0)</f>
        <v>1988</v>
      </c>
      <c r="E26" s="858"/>
      <c r="F26" s="857">
        <f>ROUND(SUM(Energex_SBwoCL_FY_cost),0)</f>
        <v>3849</v>
      </c>
      <c r="G26" s="858"/>
      <c r="H26" s="66"/>
      <c r="I26" s="857"/>
      <c r="J26" s="858"/>
      <c r="K26" s="80"/>
      <c r="L26" s="821">
        <f>ROUND(SUM(Energex_REStou_FY_cost),0)</f>
        <v>1914</v>
      </c>
      <c r="M26" s="838"/>
      <c r="N26" s="821">
        <f>ROUND(SUM(Energex_SBtou_FY_cost),0)</f>
        <v>3693</v>
      </c>
      <c r="O26" s="822"/>
      <c r="P26" s="67"/>
      <c r="Q26" s="849">
        <f>SSO!L32</f>
        <v>1913.7740695900175</v>
      </c>
      <c r="R26" s="850"/>
      <c r="S26" s="504"/>
      <c r="T26" s="821">
        <f>SUM(T29:U29)</f>
        <v>316.43337358441386</v>
      </c>
      <c r="U26" s="822"/>
      <c r="V26" s="429" cm="1">
        <f t="array" ref="V26">_xlfn.XLOOKUP(1,($B26=CL_DistributionZone)*("CL1 only"=CL_TariffType)*("Total inc GST"=CL_Description),CL_Price)</f>
        <v>312.21322063448156</v>
      </c>
      <c r="W26" s="821" cm="1">
        <f t="array" ref="W26">_xlfn.XLOOKUP(1,($B26=CL_DistributionZone)*("CL2 only"=CL_TariffType)*("Total inc GST"=CL_Description),CL_Price)</f>
        <v>318.15709802875233</v>
      </c>
      <c r="X26" s="838"/>
      <c r="Y26" s="822"/>
      <c r="Z26" s="398"/>
      <c r="AA26" s="398"/>
      <c r="AB26" s="398"/>
      <c r="AC26" s="398"/>
      <c r="AD26" s="67"/>
      <c r="AE26" s="67"/>
      <c r="AF26" s="67"/>
      <c r="AG26" s="67"/>
      <c r="AH26" s="67"/>
      <c r="AI26" s="67"/>
      <c r="AJ26" s="67"/>
      <c r="AK26" s="67"/>
      <c r="AL26" s="67"/>
      <c r="AM26" s="67"/>
      <c r="AN26" s="67"/>
      <c r="AO26" s="67"/>
      <c r="AP26" s="30"/>
      <c r="AQ26" s="30"/>
      <c r="AR26" s="30"/>
      <c r="AS26" s="30"/>
      <c r="AT26" s="30"/>
      <c r="AU26" s="30"/>
      <c r="AV26" s="30"/>
    </row>
    <row r="27" spans="2:59" ht="15" customHeight="1" x14ac:dyDescent="0.3">
      <c r="B27" s="39" t="str">
        <f>B26</f>
        <v>Energex</v>
      </c>
      <c r="C27" s="46" t="s">
        <v>136</v>
      </c>
      <c r="D27" s="845" cm="1">
        <f t="array" ref="D27">_xlfn.XLOOKUP(1,($B26=DistributionZone)*(D$6=CustomerType)*(Summary!D$7=tariffType)*("Usage"=Description),valuesFY)</f>
        <v>4600</v>
      </c>
      <c r="E27" s="846"/>
      <c r="F27" s="833" cm="1">
        <f t="array" ref="F27">_xlfn.XLOOKUP(1,($B26=DistributionZone)*(F$6=CustomerType)*(Summary!F$7=tariffType)*("Usage"=Description),valuesFY)</f>
        <v>10000</v>
      </c>
      <c r="G27" s="834"/>
      <c r="H27" s="66"/>
      <c r="I27" s="833"/>
      <c r="J27" s="834"/>
      <c r="K27" s="80"/>
      <c r="L27" s="835" cm="1">
        <f t="array" ref="L27">_xlfn.XLOOKUP(1,($B26=DistributionZone)*(L$6=CustomerType)*(Summary!L$7=tariffType)*("Usage"=Description),valuesFY)</f>
        <v>4600</v>
      </c>
      <c r="M27" s="836"/>
      <c r="N27" s="835" cm="1">
        <f t="array" ref="N27">_xlfn.XLOOKUP(1,($B26=DistributionZone)*(N$6=CustomerType)*(Summary!N$7=tariffType)*("Usage"=Description),valuesFY)</f>
        <v>10000</v>
      </c>
      <c r="O27" s="851"/>
      <c r="P27" s="67"/>
      <c r="Q27" s="835" cm="1">
        <f t="array" ref="Q27">_xlfn.XLOOKUP(1,($B26=DistributionZone)*("Residential"=CustomerType)*(Q$7=tariffType)*("SSO Usage"=Description),valuesFY)</f>
        <v>4600</v>
      </c>
      <c r="R27" s="851" cm="1">
        <f t="array" ref="R27">_xlfn.XLOOKUP(1,($B26=DistributionZone)*("CL"=tariffType)*("Usage"=Description),valuesFY)</f>
        <v>1900</v>
      </c>
      <c r="S27" s="504"/>
      <c r="T27" s="871">
        <f>SUM(T30:U30)</f>
        <v>1900</v>
      </c>
      <c r="U27" s="872"/>
      <c r="V27" s="420" cm="1">
        <f t="array" ref="V27">_xlfn.XLOOKUP(1,($B26=DistributionZone)*("CL"=tariffType)*("Usage"=Description),valuesFY)</f>
        <v>1900</v>
      </c>
      <c r="W27" s="835" cm="1">
        <f t="array" ref="W27">_xlfn.XLOOKUP(1,($B26=DistributionZone)*("CL"=tariffType)*("Usage"=Description),valuesFY)</f>
        <v>1900</v>
      </c>
      <c r="X27" s="836"/>
      <c r="Y27" s="851"/>
      <c r="Z27" s="398"/>
      <c r="AA27" s="398"/>
      <c r="AB27" s="398"/>
      <c r="AC27" s="398"/>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E27" s="69"/>
      <c r="BF27" s="69"/>
    </row>
    <row r="28" spans="2:59" ht="15.5" x14ac:dyDescent="0.3">
      <c r="B28" s="39" t="str">
        <f t="shared" ref="B28:B31" si="11">B27</f>
        <v>Energex</v>
      </c>
      <c r="C28" s="47"/>
      <c r="D28" s="40"/>
      <c r="E28" s="41"/>
      <c r="F28" s="833"/>
      <c r="G28" s="834"/>
      <c r="H28" s="66"/>
      <c r="I28" s="833"/>
      <c r="J28" s="834"/>
      <c r="K28" s="80"/>
      <c r="L28" s="430"/>
      <c r="M28" s="42"/>
      <c r="N28" s="430"/>
      <c r="O28" s="431"/>
      <c r="P28" s="67"/>
      <c r="Q28" s="430"/>
      <c r="R28" s="431"/>
      <c r="S28" s="504"/>
      <c r="T28" s="413"/>
      <c r="U28" s="499"/>
      <c r="V28" s="415"/>
      <c r="W28" s="878"/>
      <c r="X28" s="879"/>
      <c r="Y28" s="880"/>
      <c r="Z28" s="398"/>
      <c r="AA28" s="398"/>
      <c r="AB28" s="398"/>
      <c r="AC28" s="398"/>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E28" s="69"/>
      <c r="BF28" s="69"/>
    </row>
    <row r="29" spans="2:59" ht="15" customHeight="1" x14ac:dyDescent="0.3">
      <c r="B29" s="39" t="str">
        <f t="shared" si="11"/>
        <v>Energex</v>
      </c>
      <c r="C29" s="70" t="str">
        <f>+C23</f>
        <v>DMO 7 Price</v>
      </c>
      <c r="D29" s="71">
        <f>ROUND(SUM(Energex_RESwoCL_PY_cost),0)</f>
        <v>2143</v>
      </c>
      <c r="E29" s="72"/>
      <c r="F29" s="71">
        <f>ROUND(SUM(Energex_SBwoCL_PY_cost),0)</f>
        <v>4294</v>
      </c>
      <c r="G29" s="73"/>
      <c r="H29" s="66"/>
      <c r="I29" s="71"/>
      <c r="J29" s="73"/>
      <c r="K29" s="80"/>
      <c r="L29" s="432">
        <f>ROUND(SUM(Energex_RESwoCL_PY_cost),0)</f>
        <v>2143</v>
      </c>
      <c r="M29" s="42"/>
      <c r="N29" s="432">
        <f>ROUND(SUM(Energex_SBwoCL_PY_cost),0)</f>
        <v>4294</v>
      </c>
      <c r="O29" s="431"/>
      <c r="P29" s="67"/>
      <c r="Q29" s="432"/>
      <c r="R29" s="431"/>
      <c r="S29" s="504"/>
      <c r="T29" s="727" cm="1">
        <f t="array" ref="T29">_xlfn.XLOOKUP(1,($B29=CL_DistributionZone)*(T$7=CL_TariffType)*("Total inc GST"=CL_Description),CL_Price)</f>
        <v>90.541833983999666</v>
      </c>
      <c r="U29" s="728" cm="1">
        <f t="array" ref="U29">_xlfn.XLOOKUP(1,($B29=CL_DistributionZone)*(U$7=CL_TariffType)*("Total inc GST"=CL_Description),CL_Price)</f>
        <v>225.89153960041418</v>
      </c>
      <c r="V29" s="415"/>
      <c r="W29" s="878"/>
      <c r="X29" s="879"/>
      <c r="Y29" s="880"/>
      <c r="Z29" s="398"/>
      <c r="AA29" s="398"/>
      <c r="AB29" s="398"/>
      <c r="AC29" s="398"/>
      <c r="AD29" s="67"/>
      <c r="AE29" s="67"/>
      <c r="AF29" s="67"/>
      <c r="AG29" s="67"/>
      <c r="AH29" s="67"/>
      <c r="AI29" s="67"/>
      <c r="AJ29" s="67"/>
      <c r="AK29" s="67"/>
      <c r="AL29" s="67"/>
      <c r="AM29" s="67"/>
      <c r="AN29" s="67"/>
      <c r="AO29" s="67"/>
      <c r="BE29" s="69"/>
      <c r="BF29" s="69"/>
    </row>
    <row r="30" spans="2:59" ht="15" customHeight="1" x14ac:dyDescent="0.3">
      <c r="B30" s="39" t="str">
        <f t="shared" si="11"/>
        <v>Energex</v>
      </c>
      <c r="C30" s="114" t="s">
        <v>129</v>
      </c>
      <c r="D30" s="115">
        <f>D26-D29</f>
        <v>-155</v>
      </c>
      <c r="E30" s="116">
        <f>ROUND(D26,0)/ROUND(D29,0)-1</f>
        <v>-7.232851143257113E-2</v>
      </c>
      <c r="F30" s="115">
        <f>F26-F29</f>
        <v>-445</v>
      </c>
      <c r="G30" s="116">
        <f>F26/F29-1</f>
        <v>-0.10363297624592449</v>
      </c>
      <c r="H30" s="66"/>
      <c r="I30" s="115"/>
      <c r="J30" s="116"/>
      <c r="K30" s="80"/>
      <c r="L30" s="115">
        <f>L26-L29</f>
        <v>-229</v>
      </c>
      <c r="M30" s="116">
        <f>L26/L29-1</f>
        <v>-0.10685954269715348</v>
      </c>
      <c r="N30" s="115">
        <f>N26-N29</f>
        <v>-601</v>
      </c>
      <c r="O30" s="116">
        <f>N26/N29-1</f>
        <v>-0.13996273870516995</v>
      </c>
      <c r="P30" s="67"/>
      <c r="Q30" s="433"/>
      <c r="R30" s="434"/>
      <c r="S30" s="504"/>
      <c r="T30" s="729" cm="1">
        <f t="array" ref="T30">_xlfn.XLOOKUP(1,($B28=DistributionZone)*($T$7=tariffType)*("Usage"=Description),valuesFY)</f>
        <v>551</v>
      </c>
      <c r="U30" s="730" cm="1">
        <f t="array" ref="U30">_xlfn.XLOOKUP(1,($B28=DistributionZone)*($U$7=tariffType)*("Usage"=Description),valuesFY)</f>
        <v>1349</v>
      </c>
      <c r="V30" s="415"/>
      <c r="W30" s="878"/>
      <c r="X30" s="879"/>
      <c r="Y30" s="880"/>
      <c r="Z30" s="398"/>
      <c r="AA30" s="398"/>
      <c r="AB30" s="398"/>
      <c r="AC30" s="398"/>
      <c r="AD30" s="67"/>
      <c r="AE30" s="67"/>
      <c r="AF30" s="67"/>
      <c r="AG30" s="67"/>
      <c r="AH30" s="67"/>
      <c r="AI30" s="67"/>
      <c r="AJ30" s="67"/>
      <c r="AK30" s="67"/>
      <c r="AL30" s="67"/>
      <c r="AM30" s="67"/>
      <c r="AN30" s="67"/>
      <c r="AO30" s="67"/>
      <c r="BE30" s="69"/>
      <c r="BF30" s="69"/>
    </row>
    <row r="31" spans="2:59" ht="15" customHeight="1" x14ac:dyDescent="0.3">
      <c r="B31" s="39" t="str">
        <f t="shared" si="11"/>
        <v>Energex</v>
      </c>
      <c r="C31" s="117" t="s">
        <v>171</v>
      </c>
      <c r="D31" s="118">
        <f>+D26-+D29*(1+CPI_firstyear)</f>
        <v>-257.86400000000003</v>
      </c>
      <c r="E31" s="784" t="str">
        <f>CONCATENATE("(",ROUND(+D31/D29*100,1),"%)")</f>
        <v>(-12%)</v>
      </c>
      <c r="F31" s="118">
        <f>+F26-+F29*(1+CPI_firstyear)</f>
        <v>-651.11200000000008</v>
      </c>
      <c r="G31" s="119" t="str">
        <f>CONCATENATE("(",ROUND(+F31/F29*100,1),"%)")</f>
        <v>(-15.2%)</v>
      </c>
      <c r="H31" s="66"/>
      <c r="I31" s="118"/>
      <c r="J31" s="119"/>
      <c r="K31" s="80"/>
      <c r="L31" s="118">
        <f>+L26-+L29*(1+CPI_firstyear)</f>
        <v>-331.86400000000003</v>
      </c>
      <c r="M31" s="119" t="str">
        <f>CONCATENATE("(",ROUND(+L31/L29*100,1),"%)")</f>
        <v>(-15.5%)</v>
      </c>
      <c r="N31" s="118">
        <f>+N26-+N29*(1+CPI_firstyear)</f>
        <v>-807.11200000000008</v>
      </c>
      <c r="O31" s="119" t="str">
        <f>CONCATENATE("(",ROUND(+N31/N29*100,1),"%)")</f>
        <v>(-18.8%)</v>
      </c>
      <c r="P31" s="67"/>
      <c r="Q31" s="435"/>
      <c r="R31" s="436"/>
      <c r="S31" s="505"/>
      <c r="T31" s="414"/>
      <c r="U31" s="500"/>
      <c r="V31" s="415"/>
      <c r="W31" s="878"/>
      <c r="X31" s="879"/>
      <c r="Y31" s="880"/>
      <c r="Z31" s="398"/>
      <c r="AA31" s="398"/>
      <c r="AB31" s="398"/>
      <c r="AC31" s="398"/>
      <c r="AD31" s="67"/>
      <c r="AE31" s="67"/>
      <c r="AF31" s="67"/>
      <c r="AG31" s="67"/>
      <c r="AH31" s="67"/>
      <c r="AI31" s="67"/>
      <c r="AJ31" s="67"/>
      <c r="AK31" s="67"/>
      <c r="AL31" s="67"/>
      <c r="AM31" s="67"/>
      <c r="AN31" s="67"/>
      <c r="AO31" s="67"/>
      <c r="BE31" s="69"/>
      <c r="BF31" s="69"/>
    </row>
    <row r="32" spans="2:59" s="69" customFormat="1" ht="15" customHeight="1" x14ac:dyDescent="0.3">
      <c r="B32" s="51" t="s">
        <v>5</v>
      </c>
      <c r="C32" s="52" t="s">
        <v>82</v>
      </c>
      <c r="D32" s="859">
        <f>ROUND(SUM(SAPN_RESwoCL_FY_cost),0)</f>
        <v>2334</v>
      </c>
      <c r="E32" s="860"/>
      <c r="F32" s="859">
        <f>ROUND(SUM(SAPN_SBwoCL_FY_cost),0)</f>
        <v>5162</v>
      </c>
      <c r="G32" s="860"/>
      <c r="H32" s="66"/>
      <c r="I32" s="859"/>
      <c r="J32" s="860"/>
      <c r="K32" s="80"/>
      <c r="L32" s="854">
        <f>ROUND(SUM(SAPN_REStou_FY_cost),0)</f>
        <v>2276</v>
      </c>
      <c r="M32" s="855"/>
      <c r="N32" s="854">
        <f>ROUND(SUM(SAPN_SBtou_FY_cost),0)</f>
        <v>4868</v>
      </c>
      <c r="O32" s="863"/>
      <c r="P32" s="67"/>
      <c r="Q32" s="869">
        <f>SSO!L39</f>
        <v>2275.6826950173672</v>
      </c>
      <c r="R32" s="870"/>
      <c r="S32" s="504"/>
      <c r="T32" s="407" t="s">
        <v>247</v>
      </c>
      <c r="U32" s="408" t="s">
        <v>247</v>
      </c>
      <c r="V32" s="408" cm="1">
        <f t="array" ref="V32">_xlfn.XLOOKUP(1,($B32=CL_DistributionZone)*(T$7=CL_TariffType)*("Total inc GST"=CL_Description),CL_Price)</f>
        <v>400.49485725391855</v>
      </c>
      <c r="W32" s="854">
        <f>SUM(W36:Y36)</f>
        <v>406.54248493161617</v>
      </c>
      <c r="X32" s="855"/>
      <c r="Y32" s="863"/>
      <c r="Z32" s="398"/>
      <c r="AA32" s="398"/>
      <c r="AB32" s="398"/>
      <c r="AC32" s="398"/>
      <c r="AD32" s="67"/>
      <c r="AE32" s="67"/>
      <c r="AF32" s="67"/>
      <c r="AG32" s="67"/>
      <c r="AH32" s="67"/>
      <c r="AI32" s="67"/>
      <c r="AJ32" s="67"/>
      <c r="AK32" s="67"/>
      <c r="AL32" s="67"/>
      <c r="AM32" s="67"/>
      <c r="AN32" s="67"/>
      <c r="AO32" s="67"/>
      <c r="AP32" s="30"/>
      <c r="AQ32" s="30"/>
      <c r="AR32" s="30"/>
      <c r="AS32" s="30"/>
      <c r="AT32" s="30"/>
      <c r="AU32" s="30"/>
      <c r="BG32" s="30"/>
    </row>
    <row r="33" spans="2:58" ht="15" customHeight="1" x14ac:dyDescent="0.3">
      <c r="B33" s="401" t="str">
        <f>B32</f>
        <v>SAPN</v>
      </c>
      <c r="C33" s="126" t="s">
        <v>136</v>
      </c>
      <c r="D33" s="861" cm="1">
        <f t="array" ref="D33">_xlfn.XLOOKUP(1,($B32=DistributionZone)*(D$6=CustomerType)*(Summary!D$7=tariffType)*("Usage"=Description),valuesFY)</f>
        <v>4000</v>
      </c>
      <c r="E33" s="862"/>
      <c r="F33" s="852" cm="1">
        <f t="array" ref="F33">_xlfn.XLOOKUP(1,($B32=DistributionZone)*(F$6=CustomerType)*(Summary!F$7=tariffType)*("Usage"=Description),valuesFY)</f>
        <v>10000</v>
      </c>
      <c r="G33" s="853"/>
      <c r="H33" s="66"/>
      <c r="I33" s="852"/>
      <c r="J33" s="853"/>
      <c r="K33" s="80"/>
      <c r="L33" s="823" cm="1">
        <f t="array" ref="L33">_xlfn.XLOOKUP(1,($B32=DistributionZone)*(L$6=CustomerType)*(Summary!L$7=tariffType)*("Usage"=Description),valuesFY)</f>
        <v>4000</v>
      </c>
      <c r="M33" s="856"/>
      <c r="N33" s="823" cm="1">
        <f t="array" ref="N33">_xlfn.XLOOKUP(1,($B32=DistributionZone)*(N$6=CustomerType)*(Summary!N$7=tariffType)*("Usage"=Description),valuesFY)</f>
        <v>10000</v>
      </c>
      <c r="O33" s="824"/>
      <c r="P33" s="67"/>
      <c r="Q33" s="823" cm="1">
        <f t="array" ref="Q33">_xlfn.XLOOKUP(1,($B32=DistributionZone)*("Residential"=CustomerType)*(Q$7=tariffType)*("SSO Usage"=Description),valuesFY)</f>
        <v>4000</v>
      </c>
      <c r="R33" s="824" cm="1">
        <f t="array" ref="R33">_xlfn.XLOOKUP(1,($B32=DistributionZone)*("CL"=tariffType)*("Usage"=Description),valuesFY)</f>
        <v>1800</v>
      </c>
      <c r="S33" s="504"/>
      <c r="T33" s="409" t="s">
        <v>247</v>
      </c>
      <c r="U33" s="496" t="s">
        <v>247</v>
      </c>
      <c r="V33" s="419" cm="1">
        <f t="array" ref="V33">_xlfn.XLOOKUP(1,($B32=DistributionZone)*("CL"=tariffType)*("Usage"=Description),valuesFY)</f>
        <v>1800</v>
      </c>
      <c r="W33" s="884">
        <f>SUM(W37:Y37)</f>
        <v>1799.9999999999995</v>
      </c>
      <c r="X33" s="885"/>
      <c r="Y33" s="886"/>
      <c r="Z33" s="398"/>
      <c r="AA33" s="400"/>
      <c r="AB33" s="400"/>
      <c r="AC33" s="400"/>
      <c r="AD33" s="76"/>
      <c r="AI33" s="76"/>
      <c r="AJ33" s="76"/>
      <c r="AK33" s="76"/>
      <c r="AL33" s="76"/>
      <c r="AM33" s="76"/>
      <c r="BE33" s="69"/>
      <c r="BF33" s="69"/>
    </row>
    <row r="34" spans="2:58" ht="15.5" x14ac:dyDescent="0.3">
      <c r="B34" s="401" t="str">
        <f t="shared" ref="B34:B37" si="12">B33</f>
        <v>SAPN</v>
      </c>
      <c r="C34" s="127"/>
      <c r="D34" s="50"/>
      <c r="E34" s="102"/>
      <c r="F34" s="852"/>
      <c r="G34" s="853"/>
      <c r="H34" s="66"/>
      <c r="I34" s="852"/>
      <c r="J34" s="853"/>
      <c r="K34" s="80"/>
      <c r="L34" s="422"/>
      <c r="M34" s="423"/>
      <c r="N34" s="422"/>
      <c r="O34" s="424"/>
      <c r="P34" s="67"/>
      <c r="Q34" s="422"/>
      <c r="R34" s="424"/>
      <c r="S34" s="494"/>
      <c r="T34" s="409"/>
      <c r="U34" s="496"/>
      <c r="V34" s="411"/>
      <c r="W34" s="881" t="s">
        <v>257</v>
      </c>
      <c r="X34" s="882"/>
      <c r="Y34" s="883"/>
      <c r="Z34" s="398"/>
      <c r="AA34" s="400"/>
      <c r="AB34" s="400"/>
      <c r="AC34" s="400"/>
      <c r="AD34" s="76"/>
      <c r="AI34" s="76"/>
      <c r="AJ34" s="76"/>
      <c r="AK34" s="76"/>
      <c r="AL34" s="76"/>
      <c r="AM34" s="76"/>
      <c r="BE34" s="69"/>
      <c r="BF34" s="69"/>
    </row>
    <row r="35" spans="2:58" ht="15" customHeight="1" x14ac:dyDescent="0.3">
      <c r="B35" s="401" t="str">
        <f t="shared" si="12"/>
        <v>SAPN</v>
      </c>
      <c r="C35" s="103" t="str">
        <f>+C29</f>
        <v>DMO 7 Price</v>
      </c>
      <c r="D35" s="104">
        <f>ROUND(SUM(SAPN_RESwoCL_PY_cost),0)</f>
        <v>2301</v>
      </c>
      <c r="E35" s="107"/>
      <c r="F35" s="104">
        <f>ROUND(SUM(SAPN_SBwoCL_PY_cost),0)</f>
        <v>5541</v>
      </c>
      <c r="G35" s="106"/>
      <c r="H35" s="66"/>
      <c r="I35" s="104"/>
      <c r="J35" s="106"/>
      <c r="K35" s="80"/>
      <c r="L35" s="416">
        <f>ROUND(SUM(SAPN_RESwoCL_PY_cost),0)</f>
        <v>2301</v>
      </c>
      <c r="M35" s="423"/>
      <c r="N35" s="416">
        <f>ROUND(SUM(SAPN_SBwoCL_PY_cost),0)</f>
        <v>5541</v>
      </c>
      <c r="O35" s="424"/>
      <c r="P35" s="67"/>
      <c r="Q35" s="416"/>
      <c r="R35" s="424"/>
      <c r="S35" s="67"/>
      <c r="T35" s="416"/>
      <c r="U35" s="501"/>
      <c r="V35" s="411"/>
      <c r="W35" s="659" t="s">
        <v>264</v>
      </c>
      <c r="X35" s="659" t="s">
        <v>263</v>
      </c>
      <c r="Y35" s="659" t="s">
        <v>277</v>
      </c>
      <c r="Z35" s="398"/>
      <c r="AA35" s="400"/>
      <c r="AB35" s="400"/>
      <c r="AC35" s="400"/>
      <c r="AD35" s="76"/>
      <c r="AI35" s="76"/>
      <c r="AJ35" s="76"/>
      <c r="AK35" s="76"/>
      <c r="AL35" s="76"/>
      <c r="AM35" s="76"/>
      <c r="BE35" s="69"/>
      <c r="BF35" s="69"/>
    </row>
    <row r="36" spans="2:58" ht="15" customHeight="1" x14ac:dyDescent="0.3">
      <c r="B36" s="401" t="str">
        <f t="shared" si="12"/>
        <v>SAPN</v>
      </c>
      <c r="C36" s="108" t="s">
        <v>129</v>
      </c>
      <c r="D36" s="109">
        <f>D32-D35</f>
        <v>33</v>
      </c>
      <c r="E36" s="110">
        <f>D32/D35-1</f>
        <v>1.4341590612777066E-2</v>
      </c>
      <c r="F36" s="109">
        <f>F32-F35</f>
        <v>-379</v>
      </c>
      <c r="G36" s="110">
        <f>F32/F35-1</f>
        <v>-6.8399205919509098E-2</v>
      </c>
      <c r="H36" s="66"/>
      <c r="I36" s="109"/>
      <c r="J36" s="110"/>
      <c r="K36" s="80"/>
      <c r="L36" s="109">
        <f>L32-L35</f>
        <v>-25</v>
      </c>
      <c r="M36" s="110">
        <f>L32/L35-1</f>
        <v>-1.0864841373316003E-2</v>
      </c>
      <c r="N36" s="109">
        <f>N32-N35</f>
        <v>-673</v>
      </c>
      <c r="O36" s="110">
        <f>N32/N35-1</f>
        <v>-0.12145822053780908</v>
      </c>
      <c r="P36" s="67"/>
      <c r="Q36" s="425"/>
      <c r="R36" s="437"/>
      <c r="S36" s="504"/>
      <c r="T36" s="417"/>
      <c r="U36" s="502"/>
      <c r="V36" s="411"/>
      <c r="W36" s="408">
        <f>'Controlled load'!G$185</f>
        <v>302.11421871518843</v>
      </c>
      <c r="X36" s="408">
        <f>'Controlled load'!H$185</f>
        <v>0</v>
      </c>
      <c r="Y36" s="408">
        <f>'Controlled load'!I$185</f>
        <v>104.42826621642777</v>
      </c>
      <c r="Z36" s="398"/>
      <c r="AA36" s="400"/>
      <c r="AB36" s="400"/>
      <c r="AC36" s="400"/>
      <c r="AD36" s="76"/>
      <c r="AI36" s="76"/>
      <c r="AJ36" s="76"/>
      <c r="AK36" s="76"/>
      <c r="AL36" s="76"/>
      <c r="AM36" s="76"/>
      <c r="BE36" s="69"/>
      <c r="BF36" s="69"/>
    </row>
    <row r="37" spans="2:58" ht="15" customHeight="1" thickBot="1" x14ac:dyDescent="0.35">
      <c r="B37" s="402" t="str">
        <f t="shared" si="12"/>
        <v>SAPN</v>
      </c>
      <c r="C37" s="403" t="s">
        <v>171</v>
      </c>
      <c r="D37" s="404">
        <f>+D32-+D35*(1+CPI_firstyear)</f>
        <v>-77.44800000000032</v>
      </c>
      <c r="E37" s="405" t="str">
        <f>CONCATENATE("(",ROUND(+D37/D35*100,1),"%)")</f>
        <v>(-3.4%)</v>
      </c>
      <c r="F37" s="404">
        <f>+F32-+F35*(1+CPI_firstyear)</f>
        <v>-644.96799999999985</v>
      </c>
      <c r="G37" s="405" t="str">
        <f>CONCATENATE("(",ROUND(+F37/F35*100,1),"%)")</f>
        <v>(-11.6%)</v>
      </c>
      <c r="H37" s="66"/>
      <c r="I37" s="120"/>
      <c r="J37" s="121"/>
      <c r="K37" s="80"/>
      <c r="L37" s="404">
        <f>+L32-+L35*(1+CPI_firstyear)</f>
        <v>-135.44800000000032</v>
      </c>
      <c r="M37" s="405" t="str">
        <f>CONCATENATE("(",ROUND(+L37/L35*100,1),"%)")</f>
        <v>(-5.9%)</v>
      </c>
      <c r="N37" s="404">
        <f>+N32-+N35*(1+CPI_firstyear)</f>
        <v>-938.96799999999985</v>
      </c>
      <c r="O37" s="405" t="str">
        <f>CONCATENATE("(",ROUND(+N37/N35*100,1),"%)")</f>
        <v>(-16.9%)</v>
      </c>
      <c r="P37" s="67"/>
      <c r="Q37" s="506"/>
      <c r="R37" s="507"/>
      <c r="S37" s="504"/>
      <c r="T37" s="418"/>
      <c r="U37" s="503"/>
      <c r="V37" s="495"/>
      <c r="W37" s="660">
        <f>'Controlled load'!G$187</f>
        <v>1051.2776831345825</v>
      </c>
      <c r="X37" s="660">
        <f>'Controlled load'!H$187</f>
        <v>0</v>
      </c>
      <c r="Y37" s="660">
        <f>'Controlled load'!I$187</f>
        <v>748.72231686541716</v>
      </c>
      <c r="Z37" s="398"/>
      <c r="BE37" s="69"/>
      <c r="BF37" s="69"/>
    </row>
    <row r="38" spans="2:58" ht="15" customHeight="1" x14ac:dyDescent="0.3">
      <c r="B38" s="67"/>
      <c r="C38" s="67"/>
      <c r="D38" s="67"/>
      <c r="E38" s="67"/>
      <c r="F38" s="67"/>
      <c r="G38" s="67"/>
      <c r="H38" s="66"/>
      <c r="I38" s="67"/>
      <c r="J38" s="67"/>
      <c r="K38" s="80"/>
      <c r="L38" s="67"/>
      <c r="M38" s="67"/>
      <c r="N38" s="67"/>
      <c r="O38" s="67"/>
      <c r="P38" s="67"/>
      <c r="Q38" s="67"/>
      <c r="R38" s="67"/>
      <c r="S38" s="67"/>
      <c r="T38" s="67"/>
      <c r="U38" s="67"/>
      <c r="X38" s="398"/>
      <c r="Y38" s="398"/>
      <c r="Z38" s="398"/>
    </row>
    <row r="39" spans="2:58" s="66" customFormat="1" ht="15" customHeight="1" x14ac:dyDescent="0.3">
      <c r="B39" s="77"/>
      <c r="D39" s="785"/>
      <c r="K39" s="80"/>
      <c r="N39" s="509"/>
      <c r="P39" s="67"/>
      <c r="S39" s="67"/>
      <c r="T39" s="67"/>
      <c r="U39" s="67"/>
      <c r="V39" s="101"/>
      <c r="W39" s="101"/>
      <c r="X39" s="101"/>
      <c r="Y39" s="101"/>
      <c r="Z39" s="101"/>
      <c r="AA39" s="101"/>
      <c r="AB39" s="101"/>
      <c r="AC39" s="101"/>
      <c r="AD39" s="30"/>
      <c r="AE39" s="30"/>
      <c r="AF39" s="30"/>
      <c r="AG39" s="30"/>
      <c r="AH39" s="30"/>
      <c r="AI39" s="30"/>
      <c r="AJ39" s="30"/>
      <c r="AK39" s="30"/>
      <c r="AL39" s="30"/>
      <c r="AM39" s="30"/>
      <c r="AN39" s="30"/>
      <c r="AO39" s="30"/>
      <c r="AP39" s="30"/>
      <c r="AQ39" s="30"/>
      <c r="AR39" s="30"/>
      <c r="AS39" s="30"/>
      <c r="AT39" s="30"/>
      <c r="AU39" s="30"/>
    </row>
    <row r="40" spans="2:58" s="66" customFormat="1" ht="15.5" x14ac:dyDescent="0.3">
      <c r="B40" s="78"/>
      <c r="C40" s="79"/>
      <c r="D40" s="786"/>
      <c r="E40" s="789"/>
      <c r="F40" s="80"/>
      <c r="G40" s="80"/>
      <c r="H40" s="80"/>
      <c r="I40" s="80"/>
      <c r="J40" s="80"/>
      <c r="K40" s="80"/>
      <c r="L40" s="80"/>
      <c r="M40" s="80"/>
      <c r="N40" s="509"/>
      <c r="O40" s="80"/>
      <c r="P40" s="81"/>
      <c r="Q40" s="80"/>
      <c r="R40" s="80"/>
      <c r="S40" s="81"/>
      <c r="T40" s="334"/>
      <c r="U40" s="334"/>
      <c r="V40" s="101"/>
      <c r="W40" s="101"/>
      <c r="X40" s="101"/>
      <c r="Y40" s="101"/>
      <c r="Z40" s="101"/>
      <c r="AA40" s="101"/>
      <c r="AB40" s="101"/>
      <c r="AC40" s="101"/>
      <c r="AD40" s="30"/>
      <c r="AE40" s="30"/>
      <c r="AF40" s="30"/>
      <c r="AG40" s="30"/>
      <c r="AH40" s="30"/>
      <c r="AI40" s="30"/>
      <c r="AJ40" s="30"/>
      <c r="AK40" s="30"/>
      <c r="AL40" s="30"/>
      <c r="AM40" s="30"/>
      <c r="AN40" s="30"/>
      <c r="AO40" s="30"/>
      <c r="AP40" s="30"/>
      <c r="AQ40" s="30"/>
      <c r="AR40" s="30"/>
      <c r="AS40" s="30"/>
      <c r="AT40" s="30"/>
      <c r="AU40" s="30"/>
    </row>
    <row r="41" spans="2:58" s="66" customFormat="1" ht="15.5" x14ac:dyDescent="0.3">
      <c r="B41" s="78"/>
      <c r="C41" s="79"/>
      <c r="D41" s="788"/>
      <c r="E41" s="787"/>
      <c r="F41" s="82"/>
      <c r="G41" s="82"/>
      <c r="H41" s="82"/>
      <c r="I41" s="82"/>
      <c r="J41" s="82"/>
      <c r="K41" s="82"/>
      <c r="L41" s="82"/>
      <c r="M41" s="82"/>
      <c r="N41" s="82"/>
      <c r="O41" s="82"/>
      <c r="P41" s="81"/>
      <c r="Q41" s="82"/>
      <c r="R41" s="82"/>
      <c r="S41" s="81"/>
      <c r="T41" s="335"/>
      <c r="U41" s="335"/>
      <c r="V41" s="101"/>
      <c r="W41" s="101"/>
      <c r="X41" s="101"/>
      <c r="Y41" s="101"/>
      <c r="Z41" s="101"/>
      <c r="AA41" s="101"/>
      <c r="AB41" s="101"/>
      <c r="AC41" s="101"/>
      <c r="AD41" s="30"/>
      <c r="AE41" s="30"/>
      <c r="AF41" s="30"/>
      <c r="AG41" s="30"/>
      <c r="AH41" s="30"/>
      <c r="AI41" s="30"/>
      <c r="AJ41" s="30"/>
      <c r="AK41" s="30"/>
      <c r="AL41" s="30"/>
      <c r="AM41" s="30"/>
      <c r="AN41" s="30"/>
      <c r="AO41" s="30"/>
      <c r="AP41" s="30"/>
      <c r="AQ41" s="30"/>
      <c r="AR41" s="30"/>
      <c r="AS41" s="30"/>
      <c r="AT41" s="30"/>
      <c r="AU41" s="30"/>
    </row>
    <row r="42" spans="2:58" s="66" customFormat="1" ht="15.5" x14ac:dyDescent="0.3">
      <c r="B42" s="38"/>
      <c r="C42" s="38"/>
      <c r="D42" s="83"/>
      <c r="E42" s="83"/>
      <c r="F42" s="83"/>
      <c r="G42" s="83"/>
      <c r="H42" s="83"/>
      <c r="I42" s="83"/>
      <c r="J42" s="83"/>
      <c r="K42" s="83"/>
      <c r="L42" s="83"/>
      <c r="M42" s="83"/>
      <c r="N42" s="83"/>
      <c r="O42" s="83"/>
      <c r="P42" s="84"/>
      <c r="Q42" s="83"/>
      <c r="R42" s="83"/>
      <c r="S42" s="84"/>
      <c r="T42" s="336"/>
      <c r="U42" s="336"/>
      <c r="V42" s="101"/>
      <c r="W42" s="101"/>
      <c r="X42" s="101"/>
      <c r="Y42" s="101"/>
      <c r="Z42" s="101"/>
      <c r="AA42" s="101"/>
      <c r="AB42" s="101"/>
      <c r="AC42" s="101"/>
      <c r="AD42" s="30"/>
      <c r="AE42" s="30"/>
      <c r="AF42" s="30"/>
      <c r="AG42" s="30"/>
      <c r="AH42" s="30"/>
      <c r="AI42" s="30"/>
      <c r="AJ42" s="30"/>
      <c r="AK42" s="30"/>
      <c r="AL42" s="30"/>
      <c r="AM42" s="30"/>
      <c r="AN42" s="30"/>
      <c r="AO42" s="30"/>
      <c r="AP42" s="30"/>
      <c r="AQ42" s="30"/>
      <c r="AR42" s="30"/>
      <c r="AS42" s="30"/>
      <c r="AT42" s="30"/>
      <c r="AU42" s="30"/>
    </row>
    <row r="43" spans="2:58" s="66" customFormat="1" ht="14.5" customHeight="1" x14ac:dyDescent="0.3">
      <c r="B43" s="43"/>
      <c r="C43" s="85"/>
      <c r="D43" s="45"/>
      <c r="E43" s="45"/>
      <c r="F43" s="86"/>
      <c r="G43" s="86"/>
      <c r="H43" s="86"/>
      <c r="I43" s="86"/>
      <c r="J43" s="86"/>
      <c r="K43" s="86"/>
      <c r="L43" s="45"/>
      <c r="M43" s="45"/>
      <c r="N43" s="45"/>
      <c r="O43" s="45"/>
      <c r="P43" s="87"/>
      <c r="Q43" s="45"/>
      <c r="R43" s="45"/>
      <c r="S43" s="87"/>
      <c r="T43" s="337"/>
      <c r="U43" s="337"/>
      <c r="V43" s="101"/>
      <c r="W43" s="101"/>
      <c r="X43" s="101"/>
      <c r="Y43" s="101"/>
      <c r="Z43" s="101"/>
      <c r="AA43" s="101"/>
      <c r="AB43" s="101"/>
      <c r="AC43" s="101"/>
      <c r="AD43" s="30"/>
      <c r="AE43" s="30"/>
      <c r="AF43" s="30"/>
      <c r="AG43" s="30"/>
      <c r="AH43" s="30"/>
      <c r="AI43" s="30"/>
      <c r="AJ43" s="30"/>
      <c r="AK43" s="30"/>
      <c r="AL43" s="30"/>
      <c r="AM43" s="30"/>
      <c r="AN43" s="30"/>
      <c r="AO43" s="30"/>
      <c r="AP43" s="30"/>
      <c r="AQ43" s="30"/>
      <c r="AR43" s="30"/>
      <c r="AS43" s="30"/>
      <c r="AT43" s="30"/>
      <c r="AU43" s="30"/>
    </row>
    <row r="44" spans="2:58" s="66" customFormat="1" ht="16.5" customHeight="1" x14ac:dyDescent="0.3">
      <c r="B44" s="43"/>
      <c r="C44" s="85"/>
      <c r="D44" s="42"/>
      <c r="E44" s="42"/>
      <c r="F44" s="86"/>
      <c r="G44" s="86"/>
      <c r="H44" s="86"/>
      <c r="I44" s="86"/>
      <c r="J44" s="86"/>
      <c r="K44" s="86"/>
      <c r="L44" s="42"/>
      <c r="M44" s="42"/>
      <c r="N44" s="42"/>
      <c r="O44" s="42"/>
      <c r="P44" s="84"/>
      <c r="Q44" s="42"/>
      <c r="R44" s="42"/>
      <c r="S44" s="84"/>
      <c r="T44" s="337"/>
      <c r="U44" s="337"/>
      <c r="V44" s="101"/>
      <c r="W44" s="101"/>
      <c r="X44" s="101"/>
      <c r="Y44" s="101"/>
      <c r="Z44" s="101"/>
      <c r="AA44" s="101"/>
      <c r="AB44" s="101"/>
      <c r="AC44" s="101"/>
      <c r="AD44" s="30"/>
      <c r="AE44" s="30"/>
      <c r="AF44" s="30"/>
      <c r="AG44" s="30"/>
      <c r="AH44" s="30"/>
      <c r="AI44" s="30"/>
      <c r="AJ44" s="30"/>
      <c r="AK44" s="30"/>
      <c r="AL44" s="30"/>
      <c r="AM44" s="30"/>
      <c r="AN44" s="30"/>
      <c r="AO44" s="30"/>
      <c r="AP44" s="30"/>
      <c r="AQ44" s="30"/>
      <c r="AR44" s="30"/>
      <c r="AS44" s="30"/>
      <c r="AT44" s="30"/>
      <c r="AU44" s="30"/>
    </row>
    <row r="45" spans="2:58" s="66" customFormat="1" x14ac:dyDescent="0.3">
      <c r="B45" s="43"/>
      <c r="C45" s="88"/>
      <c r="D45" s="89"/>
      <c r="E45" s="90"/>
      <c r="F45" s="89"/>
      <c r="G45" s="91"/>
      <c r="H45" s="91"/>
      <c r="I45" s="89"/>
      <c r="J45" s="91"/>
      <c r="K45" s="91"/>
      <c r="L45" s="89"/>
      <c r="M45" s="42"/>
      <c r="N45" s="89"/>
      <c r="O45" s="42"/>
      <c r="P45" s="84"/>
      <c r="Q45" s="89"/>
      <c r="R45" s="42"/>
      <c r="S45" s="84"/>
      <c r="T45" s="89"/>
      <c r="U45" s="91"/>
      <c r="V45" s="101"/>
      <c r="W45" s="101"/>
      <c r="X45" s="101"/>
      <c r="Y45" s="101"/>
      <c r="Z45" s="101"/>
      <c r="AA45" s="101"/>
      <c r="AB45" s="101"/>
      <c r="AC45" s="101"/>
      <c r="AD45" s="30"/>
      <c r="AE45" s="30"/>
      <c r="AF45" s="30"/>
      <c r="AG45" s="30"/>
      <c r="AH45" s="30"/>
      <c r="AI45" s="30"/>
      <c r="AJ45" s="30"/>
      <c r="AK45" s="30"/>
      <c r="AL45" s="30"/>
      <c r="AM45" s="30"/>
      <c r="AN45" s="30"/>
      <c r="AO45" s="30"/>
      <c r="AP45" s="30"/>
      <c r="AQ45" s="30"/>
      <c r="AR45" s="30"/>
      <c r="AS45" s="30"/>
      <c r="AT45" s="30"/>
      <c r="AU45" s="30"/>
    </row>
    <row r="46" spans="2:58" s="66" customFormat="1" x14ac:dyDescent="0.3">
      <c r="B46" s="43"/>
      <c r="C46" s="92"/>
      <c r="D46" s="93"/>
      <c r="E46" s="74"/>
      <c r="F46" s="93"/>
      <c r="G46" s="74"/>
      <c r="H46" s="74"/>
      <c r="I46" s="93"/>
      <c r="J46" s="74"/>
      <c r="K46" s="74"/>
      <c r="L46" s="93"/>
      <c r="M46" s="74"/>
      <c r="N46" s="93"/>
      <c r="O46" s="74"/>
      <c r="P46" s="84"/>
      <c r="Q46" s="93"/>
      <c r="R46" s="74"/>
      <c r="S46" s="84"/>
      <c r="T46" s="338"/>
      <c r="U46" s="339"/>
      <c r="V46" s="101"/>
      <c r="W46" s="101"/>
      <c r="X46" s="101"/>
      <c r="Y46" s="101"/>
      <c r="Z46" s="101"/>
      <c r="AA46" s="101"/>
      <c r="AB46" s="101"/>
      <c r="AC46" s="101"/>
      <c r="AD46" s="30"/>
      <c r="AE46" s="30"/>
      <c r="AF46" s="30"/>
      <c r="AG46" s="30"/>
      <c r="AH46" s="30"/>
      <c r="AI46" s="30"/>
      <c r="AJ46" s="30"/>
      <c r="AK46" s="30"/>
      <c r="AL46" s="30"/>
      <c r="AM46" s="30"/>
      <c r="AN46" s="30"/>
      <c r="AO46" s="30"/>
      <c r="AP46" s="30"/>
      <c r="AQ46" s="30"/>
      <c r="AR46" s="30"/>
      <c r="AS46" s="30"/>
      <c r="AT46" s="30"/>
      <c r="AU46" s="30"/>
    </row>
    <row r="47" spans="2:58" s="66" customFormat="1" x14ac:dyDescent="0.3">
      <c r="B47" s="43"/>
      <c r="C47" s="94"/>
      <c r="D47" s="95"/>
      <c r="E47" s="75"/>
      <c r="F47" s="95"/>
      <c r="G47" s="75"/>
      <c r="H47" s="75"/>
      <c r="I47" s="95"/>
      <c r="J47" s="75"/>
      <c r="K47" s="75"/>
      <c r="L47" s="95"/>
      <c r="M47" s="75"/>
      <c r="N47" s="95"/>
      <c r="O47" s="75"/>
      <c r="P47" s="84"/>
      <c r="Q47" s="95"/>
      <c r="R47" s="75"/>
      <c r="S47" s="84"/>
      <c r="T47" s="340"/>
      <c r="U47" s="341"/>
      <c r="V47" s="101"/>
      <c r="W47" s="101"/>
      <c r="X47" s="101"/>
      <c r="Y47" s="101"/>
      <c r="Z47" s="101"/>
      <c r="AA47" s="101"/>
      <c r="AB47" s="101"/>
      <c r="AC47" s="101"/>
      <c r="AD47" s="30"/>
      <c r="AE47" s="30"/>
      <c r="AF47" s="30"/>
      <c r="AG47" s="30"/>
      <c r="AH47" s="30"/>
      <c r="AI47" s="30"/>
      <c r="AJ47" s="30"/>
      <c r="AK47" s="30"/>
      <c r="AL47" s="30"/>
      <c r="AM47" s="30"/>
      <c r="AN47" s="30"/>
      <c r="AO47" s="30"/>
      <c r="AP47" s="30"/>
      <c r="AQ47" s="30"/>
      <c r="AR47" s="30"/>
      <c r="AS47" s="30"/>
      <c r="AT47" s="30"/>
      <c r="AU47" s="30"/>
    </row>
    <row r="48" spans="2:58" s="66" customFormat="1" ht="15.5" x14ac:dyDescent="0.3">
      <c r="B48" s="38"/>
      <c r="C48" s="38"/>
      <c r="D48" s="83"/>
      <c r="E48" s="83"/>
      <c r="F48" s="83"/>
      <c r="G48" s="83"/>
      <c r="H48" s="83"/>
      <c r="I48" s="83"/>
      <c r="J48" s="83"/>
      <c r="K48" s="83"/>
      <c r="L48" s="83"/>
      <c r="M48" s="83"/>
      <c r="N48" s="83"/>
      <c r="O48" s="83"/>
      <c r="P48" s="84"/>
      <c r="Q48" s="83"/>
      <c r="R48" s="83"/>
      <c r="S48" s="84"/>
      <c r="T48" s="336"/>
      <c r="U48" s="336"/>
      <c r="V48" s="101"/>
      <c r="W48" s="101"/>
      <c r="X48" s="101"/>
      <c r="Y48" s="101"/>
      <c r="Z48" s="101"/>
      <c r="AA48" s="101"/>
      <c r="AB48" s="101"/>
      <c r="AC48" s="101"/>
      <c r="AD48" s="30"/>
      <c r="AE48" s="30"/>
      <c r="AF48" s="30"/>
      <c r="AG48" s="30"/>
      <c r="AH48" s="30"/>
      <c r="AI48" s="30"/>
      <c r="AJ48" s="30"/>
      <c r="AK48" s="30"/>
      <c r="AL48" s="30"/>
      <c r="AM48" s="30"/>
      <c r="AN48" s="30"/>
      <c r="AO48" s="30"/>
      <c r="AP48" s="30"/>
      <c r="AQ48" s="30"/>
      <c r="AR48" s="30"/>
      <c r="AS48" s="30"/>
      <c r="AT48" s="30"/>
      <c r="AU48" s="30"/>
    </row>
    <row r="49" spans="2:59" s="66" customFormat="1" x14ac:dyDescent="0.3">
      <c r="B49" s="39"/>
      <c r="C49" s="85"/>
      <c r="D49" s="45"/>
      <c r="E49" s="45"/>
      <c r="F49" s="86"/>
      <c r="G49" s="86"/>
      <c r="H49" s="86"/>
      <c r="I49" s="86"/>
      <c r="J49" s="86"/>
      <c r="K49" s="86"/>
      <c r="L49" s="45"/>
      <c r="M49" s="45"/>
      <c r="N49" s="45"/>
      <c r="O49" s="45"/>
      <c r="P49" s="87"/>
      <c r="Q49" s="45"/>
      <c r="R49" s="45"/>
      <c r="S49" s="87"/>
      <c r="T49" s="337"/>
      <c r="U49" s="337"/>
      <c r="V49" s="101"/>
      <c r="W49" s="101"/>
      <c r="X49" s="101"/>
      <c r="Y49" s="101"/>
      <c r="Z49" s="101"/>
      <c r="AA49" s="101"/>
      <c r="AB49" s="101"/>
      <c r="AC49" s="101"/>
      <c r="AD49" s="30"/>
      <c r="AE49" s="30"/>
      <c r="AF49" s="30"/>
      <c r="AG49" s="30"/>
      <c r="AH49" s="30"/>
      <c r="AI49" s="30"/>
      <c r="AJ49" s="30"/>
      <c r="AK49" s="30"/>
      <c r="AL49" s="30"/>
      <c r="AM49" s="30"/>
      <c r="AN49" s="30"/>
      <c r="AO49" s="30"/>
      <c r="AP49" s="30"/>
      <c r="AQ49" s="30"/>
      <c r="AR49" s="30"/>
      <c r="AS49" s="30"/>
      <c r="AT49" s="30"/>
      <c r="AU49" s="30"/>
    </row>
    <row r="50" spans="2:59" s="66" customFormat="1" x14ac:dyDescent="0.3">
      <c r="B50" s="39"/>
      <c r="C50" s="85"/>
      <c r="D50" s="42"/>
      <c r="E50" s="42"/>
      <c r="F50" s="86"/>
      <c r="G50" s="86"/>
      <c r="H50" s="86"/>
      <c r="I50" s="86"/>
      <c r="J50" s="86"/>
      <c r="K50" s="86"/>
      <c r="L50" s="42"/>
      <c r="M50" s="42"/>
      <c r="N50" s="42"/>
      <c r="O50" s="42"/>
      <c r="P50" s="84"/>
      <c r="Q50" s="42"/>
      <c r="R50" s="42"/>
      <c r="S50" s="84"/>
      <c r="T50" s="337"/>
      <c r="U50" s="337"/>
      <c r="V50" s="101"/>
      <c r="W50" s="101"/>
      <c r="X50" s="101"/>
      <c r="Y50" s="101"/>
      <c r="Z50" s="101"/>
      <c r="AA50" s="101"/>
      <c r="AB50" s="101"/>
      <c r="AC50" s="101"/>
      <c r="AD50" s="30"/>
      <c r="AE50" s="30"/>
      <c r="AF50" s="30"/>
      <c r="AG50" s="30"/>
      <c r="AH50" s="30"/>
      <c r="AI50" s="30"/>
      <c r="AJ50" s="30"/>
      <c r="AK50" s="30"/>
      <c r="AL50" s="30"/>
      <c r="AM50" s="30"/>
      <c r="AN50" s="30"/>
      <c r="AO50" s="30"/>
      <c r="AP50" s="30"/>
      <c r="AQ50" s="30"/>
      <c r="AR50" s="30"/>
      <c r="AS50" s="30"/>
      <c r="AT50" s="30"/>
      <c r="AU50" s="30"/>
    </row>
    <row r="51" spans="2:59" x14ac:dyDescent="0.3">
      <c r="B51" s="39"/>
      <c r="C51" s="88"/>
      <c r="D51" s="89"/>
      <c r="E51" s="89"/>
      <c r="F51" s="89"/>
      <c r="G51" s="91"/>
      <c r="H51" s="91"/>
      <c r="I51" s="89"/>
      <c r="J51" s="91"/>
      <c r="K51" s="91"/>
      <c r="L51" s="89"/>
      <c r="M51" s="42"/>
      <c r="N51" s="89"/>
      <c r="O51" s="42"/>
      <c r="P51" s="84"/>
      <c r="Q51" s="89"/>
      <c r="R51" s="42"/>
      <c r="S51" s="84"/>
      <c r="T51" s="89"/>
      <c r="U51" s="91"/>
    </row>
    <row r="52" spans="2:59" x14ac:dyDescent="0.3">
      <c r="B52" s="39"/>
      <c r="C52" s="92"/>
      <c r="D52" s="93"/>
      <c r="E52" s="74"/>
      <c r="F52" s="93"/>
      <c r="G52" s="74"/>
      <c r="H52" s="74"/>
      <c r="I52" s="93"/>
      <c r="J52" s="74"/>
      <c r="K52" s="74"/>
      <c r="L52" s="93"/>
      <c r="M52" s="74"/>
      <c r="N52" s="93"/>
      <c r="O52" s="74"/>
      <c r="P52" s="84"/>
      <c r="Q52" s="93"/>
      <c r="R52" s="74"/>
      <c r="S52" s="84"/>
      <c r="T52" s="338"/>
      <c r="U52" s="339"/>
    </row>
    <row r="53" spans="2:59" x14ac:dyDescent="0.3">
      <c r="B53" s="39"/>
      <c r="C53" s="94"/>
      <c r="D53" s="95"/>
      <c r="E53" s="75"/>
      <c r="F53" s="95"/>
      <c r="G53" s="75"/>
      <c r="H53" s="75"/>
      <c r="I53" s="95"/>
      <c r="J53" s="75"/>
      <c r="K53" s="75"/>
      <c r="L53" s="95"/>
      <c r="M53" s="75"/>
      <c r="N53" s="95"/>
      <c r="O53" s="75"/>
      <c r="P53" s="84"/>
      <c r="Q53" s="95"/>
      <c r="R53" s="75"/>
      <c r="S53" s="84"/>
      <c r="T53" s="340"/>
      <c r="U53" s="341"/>
    </row>
    <row r="54" spans="2:59" ht="15.5" x14ac:dyDescent="0.3">
      <c r="B54" s="38"/>
      <c r="C54" s="38"/>
      <c r="D54" s="83"/>
      <c r="E54" s="83"/>
      <c r="F54" s="83"/>
      <c r="G54" s="83"/>
      <c r="H54" s="83"/>
      <c r="I54" s="83"/>
      <c r="J54" s="83"/>
      <c r="K54" s="83"/>
      <c r="L54" s="83"/>
      <c r="M54" s="83"/>
      <c r="N54" s="83"/>
      <c r="O54" s="83"/>
      <c r="P54" s="84"/>
      <c r="Q54" s="83"/>
      <c r="R54" s="83"/>
      <c r="S54" s="84"/>
      <c r="T54" s="336"/>
      <c r="U54" s="336"/>
    </row>
    <row r="55" spans="2:59" x14ac:dyDescent="0.3">
      <c r="B55" s="43"/>
      <c r="C55" s="85"/>
      <c r="D55" s="45"/>
      <c r="E55" s="45"/>
      <c r="F55" s="86"/>
      <c r="G55" s="86"/>
      <c r="H55" s="86"/>
      <c r="I55" s="86"/>
      <c r="J55" s="86"/>
      <c r="K55" s="86"/>
      <c r="L55" s="45"/>
      <c r="M55" s="45"/>
      <c r="N55" s="45"/>
      <c r="O55" s="45"/>
      <c r="P55" s="87"/>
      <c r="Q55" s="45"/>
      <c r="R55" s="45"/>
      <c r="S55" s="87"/>
      <c r="T55" s="337"/>
      <c r="U55" s="337"/>
    </row>
    <row r="56" spans="2:59" x14ac:dyDescent="0.3">
      <c r="B56" s="43"/>
      <c r="C56" s="85"/>
      <c r="D56" s="42"/>
      <c r="E56" s="42"/>
      <c r="F56" s="86"/>
      <c r="G56" s="86"/>
      <c r="H56" s="86"/>
      <c r="I56" s="86"/>
      <c r="J56" s="86"/>
      <c r="K56" s="86"/>
      <c r="L56" s="42"/>
      <c r="M56" s="42"/>
      <c r="N56" s="42"/>
      <c r="O56" s="42"/>
      <c r="P56" s="84"/>
      <c r="Q56" s="42"/>
      <c r="R56" s="42"/>
      <c r="S56" s="84"/>
      <c r="T56" s="337"/>
      <c r="U56" s="337"/>
    </row>
    <row r="57" spans="2:59" x14ac:dyDescent="0.3">
      <c r="B57" s="43"/>
      <c r="C57" s="88"/>
      <c r="D57" s="89"/>
      <c r="E57" s="90"/>
      <c r="F57" s="89"/>
      <c r="G57" s="91"/>
      <c r="H57" s="91"/>
      <c r="I57" s="89"/>
      <c r="J57" s="91"/>
      <c r="K57" s="91"/>
      <c r="L57" s="89"/>
      <c r="M57" s="42"/>
      <c r="N57" s="89"/>
      <c r="O57" s="42"/>
      <c r="P57" s="84"/>
      <c r="Q57" s="89"/>
      <c r="R57" s="42"/>
      <c r="S57" s="84"/>
      <c r="T57" s="89"/>
      <c r="U57" s="91"/>
    </row>
    <row r="58" spans="2:59" x14ac:dyDescent="0.3">
      <c r="B58" s="43"/>
      <c r="C58" s="92"/>
      <c r="D58" s="93"/>
      <c r="E58" s="74"/>
      <c r="F58" s="93"/>
      <c r="G58" s="74"/>
      <c r="H58" s="74"/>
      <c r="I58" s="93"/>
      <c r="J58" s="74"/>
      <c r="K58" s="74"/>
      <c r="L58" s="93"/>
      <c r="M58" s="74"/>
      <c r="N58" s="93"/>
      <c r="O58" s="74"/>
      <c r="P58" s="84"/>
      <c r="Q58" s="93"/>
      <c r="R58" s="74"/>
      <c r="S58" s="84"/>
      <c r="T58" s="338"/>
      <c r="U58" s="339"/>
    </row>
    <row r="59" spans="2:59" x14ac:dyDescent="0.3">
      <c r="B59" s="43"/>
      <c r="C59" s="94"/>
      <c r="D59" s="95"/>
      <c r="E59" s="75"/>
      <c r="F59" s="95"/>
      <c r="G59" s="75"/>
      <c r="H59" s="75"/>
      <c r="I59" s="95"/>
      <c r="J59" s="75"/>
      <c r="K59" s="75"/>
      <c r="L59" s="95"/>
      <c r="M59" s="75"/>
      <c r="N59" s="95"/>
      <c r="O59" s="75"/>
      <c r="P59" s="84"/>
      <c r="Q59" s="95"/>
      <c r="R59" s="75"/>
      <c r="S59" s="84"/>
      <c r="T59" s="340"/>
      <c r="U59" s="341"/>
    </row>
    <row r="60" spans="2:59" ht="15.5" x14ac:dyDescent="0.3">
      <c r="B60" s="38"/>
      <c r="C60" s="38"/>
      <c r="D60" s="83"/>
      <c r="E60" s="83"/>
      <c r="F60" s="83"/>
      <c r="G60" s="83"/>
      <c r="H60" s="83"/>
      <c r="I60" s="83"/>
      <c r="J60" s="83"/>
      <c r="K60" s="83"/>
      <c r="L60" s="83"/>
      <c r="M60" s="83"/>
      <c r="N60" s="83"/>
      <c r="O60" s="83"/>
      <c r="P60" s="84"/>
      <c r="Q60" s="83"/>
      <c r="R60" s="83"/>
      <c r="S60" s="84"/>
      <c r="T60" s="336"/>
      <c r="U60" s="336"/>
    </row>
    <row r="61" spans="2:59" x14ac:dyDescent="0.3">
      <c r="B61" s="39"/>
      <c r="C61" s="85"/>
      <c r="D61" s="45"/>
      <c r="E61" s="45"/>
      <c r="F61" s="86"/>
      <c r="G61" s="86"/>
      <c r="H61" s="86"/>
      <c r="I61" s="86"/>
      <c r="J61" s="86"/>
      <c r="K61" s="86"/>
      <c r="L61" s="45"/>
      <c r="M61" s="45"/>
      <c r="N61" s="45"/>
      <c r="O61" s="45"/>
      <c r="P61" s="87"/>
      <c r="Q61" s="45"/>
      <c r="R61" s="45"/>
      <c r="S61" s="87"/>
      <c r="T61" s="337"/>
      <c r="U61" s="337"/>
    </row>
    <row r="62" spans="2:59" x14ac:dyDescent="0.3">
      <c r="B62" s="39"/>
      <c r="C62" s="85"/>
      <c r="D62" s="42"/>
      <c r="E62" s="42"/>
      <c r="F62" s="86"/>
      <c r="G62" s="86"/>
      <c r="H62" s="86"/>
      <c r="I62" s="86"/>
      <c r="J62" s="86"/>
      <c r="K62" s="86"/>
      <c r="L62" s="42"/>
      <c r="M62" s="42"/>
      <c r="N62" s="42"/>
      <c r="O62" s="42"/>
      <c r="P62" s="84"/>
      <c r="Q62" s="42"/>
      <c r="R62" s="42"/>
      <c r="S62" s="84"/>
      <c r="T62" s="337"/>
      <c r="U62" s="337"/>
      <c r="AV62" s="66"/>
      <c r="AW62" s="66"/>
      <c r="AX62" s="66"/>
      <c r="AY62" s="66"/>
      <c r="AZ62" s="66"/>
      <c r="BA62" s="66"/>
      <c r="BB62" s="66"/>
      <c r="BC62" s="66"/>
      <c r="BD62" s="66"/>
      <c r="BE62" s="66"/>
      <c r="BF62" s="66"/>
      <c r="BG62" s="66"/>
    </row>
    <row r="63" spans="2:59" ht="15" customHeight="1" x14ac:dyDescent="0.3">
      <c r="B63" s="39"/>
      <c r="C63" s="88"/>
      <c r="D63" s="89"/>
      <c r="E63" s="89"/>
      <c r="F63" s="89"/>
      <c r="G63" s="91"/>
      <c r="H63" s="91"/>
      <c r="I63" s="89"/>
      <c r="J63" s="91"/>
      <c r="K63" s="91"/>
      <c r="L63" s="89"/>
      <c r="M63" s="42"/>
      <c r="N63" s="89"/>
      <c r="O63" s="42"/>
      <c r="P63" s="84"/>
      <c r="Q63" s="89"/>
      <c r="R63" s="42"/>
      <c r="S63" s="84"/>
      <c r="T63" s="89"/>
      <c r="U63" s="91"/>
      <c r="AV63" s="66"/>
      <c r="AW63" s="66"/>
      <c r="AX63" s="66"/>
      <c r="AY63" s="66"/>
      <c r="AZ63" s="66"/>
      <c r="BA63" s="66"/>
      <c r="BB63" s="66"/>
      <c r="BC63" s="66"/>
      <c r="BD63" s="66"/>
      <c r="BE63" s="66"/>
      <c r="BF63" s="66"/>
      <c r="BG63" s="66"/>
    </row>
    <row r="64" spans="2:59" ht="15" customHeight="1" x14ac:dyDescent="0.3">
      <c r="B64" s="39"/>
      <c r="C64" s="92"/>
      <c r="D64" s="93"/>
      <c r="E64" s="74"/>
      <c r="F64" s="93"/>
      <c r="G64" s="96"/>
      <c r="H64" s="96"/>
      <c r="I64" s="93"/>
      <c r="J64" s="96"/>
      <c r="K64" s="96"/>
      <c r="L64" s="93"/>
      <c r="M64" s="74"/>
      <c r="N64" s="93"/>
      <c r="O64" s="74"/>
      <c r="P64" s="84"/>
      <c r="Q64" s="93"/>
      <c r="R64" s="74"/>
      <c r="S64" s="84"/>
      <c r="T64" s="338"/>
      <c r="U64" s="342"/>
      <c r="AV64" s="66"/>
      <c r="AW64" s="66"/>
      <c r="AX64" s="66"/>
      <c r="AY64" s="66"/>
      <c r="AZ64" s="66"/>
      <c r="BA64" s="66"/>
      <c r="BB64" s="66"/>
      <c r="BC64" s="66"/>
      <c r="BD64" s="66"/>
      <c r="BE64" s="66"/>
      <c r="BF64" s="66"/>
      <c r="BG64" s="66"/>
    </row>
    <row r="65" spans="2:59" ht="15" customHeight="1" x14ac:dyDescent="0.3">
      <c r="B65" s="39"/>
      <c r="C65" s="94"/>
      <c r="D65" s="95"/>
      <c r="E65" s="75"/>
      <c r="F65" s="95"/>
      <c r="G65" s="75"/>
      <c r="H65" s="75"/>
      <c r="I65" s="95"/>
      <c r="J65" s="75"/>
      <c r="K65" s="75"/>
      <c r="L65" s="95"/>
      <c r="M65" s="75"/>
      <c r="N65" s="95"/>
      <c r="O65" s="75"/>
      <c r="P65" s="84"/>
      <c r="Q65" s="95"/>
      <c r="R65" s="75"/>
      <c r="S65" s="84"/>
      <c r="T65" s="340"/>
      <c r="U65" s="341"/>
      <c r="AV65" s="66"/>
      <c r="AW65" s="66"/>
      <c r="AX65" s="66"/>
      <c r="AY65" s="66"/>
      <c r="AZ65" s="66"/>
      <c r="BA65" s="66"/>
      <c r="BB65" s="66"/>
      <c r="BC65" s="66"/>
      <c r="BD65" s="66"/>
      <c r="BE65" s="66"/>
      <c r="BF65" s="66"/>
      <c r="BG65" s="66"/>
    </row>
    <row r="66" spans="2:59" ht="15" customHeight="1" x14ac:dyDescent="0.3">
      <c r="B66" s="38"/>
      <c r="C66" s="38"/>
      <c r="D66" s="83"/>
      <c r="E66" s="83"/>
      <c r="F66" s="83"/>
      <c r="G66" s="83"/>
      <c r="H66" s="83"/>
      <c r="I66" s="83"/>
      <c r="J66" s="83"/>
      <c r="K66" s="83"/>
      <c r="L66" s="83"/>
      <c r="M66" s="83"/>
      <c r="N66" s="83"/>
      <c r="O66" s="83"/>
      <c r="P66" s="84"/>
      <c r="Q66" s="83"/>
      <c r="R66" s="83"/>
      <c r="S66" s="84"/>
      <c r="T66" s="336"/>
      <c r="U66" s="336"/>
      <c r="AV66" s="66"/>
      <c r="AW66" s="66"/>
      <c r="AX66" s="66"/>
      <c r="AY66" s="66"/>
      <c r="AZ66" s="66"/>
      <c r="BA66" s="66"/>
      <c r="BB66" s="66"/>
      <c r="BC66" s="66"/>
      <c r="BD66" s="66"/>
      <c r="BE66" s="66"/>
      <c r="BF66" s="66"/>
      <c r="BG66" s="66"/>
    </row>
    <row r="67" spans="2:59" ht="15" customHeight="1" x14ac:dyDescent="0.3">
      <c r="B67" s="43"/>
      <c r="C67" s="85"/>
      <c r="D67" s="45"/>
      <c r="E67" s="45"/>
      <c r="F67" s="86"/>
      <c r="G67" s="86"/>
      <c r="H67" s="86"/>
      <c r="I67" s="86"/>
      <c r="J67" s="86"/>
      <c r="K67" s="86"/>
      <c r="L67" s="45"/>
      <c r="M67" s="45"/>
      <c r="N67" s="45"/>
      <c r="O67" s="45"/>
      <c r="P67" s="87"/>
      <c r="Q67" s="45"/>
      <c r="R67" s="45"/>
      <c r="S67" s="87"/>
      <c r="T67" s="337"/>
      <c r="U67" s="337"/>
      <c r="AV67" s="66"/>
      <c r="AW67" s="66"/>
      <c r="AX67" s="66"/>
      <c r="AY67" s="66"/>
      <c r="AZ67" s="66"/>
      <c r="BA67" s="66"/>
      <c r="BB67" s="66"/>
      <c r="BC67" s="66"/>
      <c r="BD67" s="66"/>
      <c r="BE67" s="66"/>
      <c r="BF67" s="66"/>
      <c r="BG67" s="66"/>
    </row>
    <row r="68" spans="2:59" x14ac:dyDescent="0.3">
      <c r="B68" s="43"/>
      <c r="C68" s="85"/>
      <c r="D68" s="42"/>
      <c r="E68" s="42"/>
      <c r="F68" s="86"/>
      <c r="G68" s="86"/>
      <c r="H68" s="86"/>
      <c r="I68" s="86"/>
      <c r="J68" s="86"/>
      <c r="K68" s="86"/>
      <c r="L68" s="42"/>
      <c r="M68" s="42"/>
      <c r="N68" s="42"/>
      <c r="O68" s="42"/>
      <c r="P68" s="84"/>
      <c r="Q68" s="42"/>
      <c r="R68" s="42"/>
      <c r="S68" s="84"/>
      <c r="T68" s="337"/>
      <c r="U68" s="337"/>
      <c r="AV68" s="66"/>
      <c r="AW68" s="66"/>
      <c r="AX68" s="66"/>
      <c r="AY68" s="66"/>
      <c r="AZ68" s="66"/>
      <c r="BA68" s="66"/>
      <c r="BB68" s="66"/>
      <c r="BC68" s="66"/>
      <c r="BD68" s="66"/>
      <c r="BE68" s="66"/>
      <c r="BF68" s="66"/>
      <c r="BG68" s="66"/>
    </row>
    <row r="69" spans="2:59" ht="15" customHeight="1" x14ac:dyDescent="0.3">
      <c r="B69" s="43"/>
      <c r="C69" s="88"/>
      <c r="D69" s="89"/>
      <c r="E69" s="89"/>
      <c r="F69" s="89"/>
      <c r="G69" s="91"/>
      <c r="H69" s="91"/>
      <c r="I69" s="89"/>
      <c r="J69" s="91"/>
      <c r="K69" s="91"/>
      <c r="L69" s="89"/>
      <c r="M69" s="42"/>
      <c r="N69" s="89"/>
      <c r="O69" s="42"/>
      <c r="P69" s="84"/>
      <c r="Q69" s="89"/>
      <c r="R69" s="42"/>
      <c r="S69" s="84"/>
      <c r="T69" s="89"/>
      <c r="U69" s="91"/>
      <c r="AV69" s="66"/>
      <c r="AW69" s="66"/>
      <c r="AX69" s="66"/>
      <c r="AY69" s="66"/>
      <c r="AZ69" s="66"/>
      <c r="BA69" s="66"/>
      <c r="BB69" s="66"/>
      <c r="BC69" s="66"/>
      <c r="BD69" s="66"/>
      <c r="BE69" s="66"/>
      <c r="BF69" s="66"/>
      <c r="BG69" s="66"/>
    </row>
    <row r="70" spans="2:59" ht="15" customHeight="1" x14ac:dyDescent="0.3">
      <c r="B70" s="43"/>
      <c r="C70" s="92"/>
      <c r="D70" s="93"/>
      <c r="E70" s="74"/>
      <c r="F70" s="93"/>
      <c r="G70" s="97"/>
      <c r="H70" s="97"/>
      <c r="I70" s="93"/>
      <c r="J70" s="97"/>
      <c r="K70" s="97"/>
      <c r="L70" s="93"/>
      <c r="M70" s="97"/>
      <c r="N70" s="93"/>
      <c r="O70" s="97"/>
      <c r="P70" s="84"/>
      <c r="Q70" s="93"/>
      <c r="R70" s="97"/>
      <c r="S70" s="84"/>
      <c r="T70" s="338"/>
      <c r="U70" s="343"/>
    </row>
    <row r="71" spans="2:59" ht="15" customHeight="1" x14ac:dyDescent="0.3">
      <c r="B71" s="43"/>
      <c r="C71" s="94"/>
      <c r="D71" s="95"/>
      <c r="E71" s="75"/>
      <c r="F71" s="95"/>
      <c r="G71" s="75"/>
      <c r="H71" s="75"/>
      <c r="I71" s="95"/>
      <c r="J71" s="75"/>
      <c r="K71" s="75"/>
      <c r="L71" s="95"/>
      <c r="M71" s="75"/>
      <c r="N71" s="95"/>
      <c r="O71" s="75"/>
      <c r="P71" s="84"/>
      <c r="Q71" s="95"/>
      <c r="R71" s="75"/>
      <c r="S71" s="84"/>
      <c r="T71" s="340"/>
      <c r="U71" s="341"/>
    </row>
  </sheetData>
  <sheetProtection algorithmName="SHA-256" hashValue="bFQngysvybUAJjKr8zHCb1ddovHbR7fBjVbZ+XSaPbs=" saltValue="RTncshDLawWctxA/ftcfwg==" spinCount="100000" sheet="1" formatCells="0" formatColumns="0" formatRows="0" sort="0" autoFilter="0" pivotTables="0"/>
  <mergeCells count="123">
    <mergeCell ref="W34:Y34"/>
    <mergeCell ref="W14:Y14"/>
    <mergeCell ref="W22:Y25"/>
    <mergeCell ref="W21:Y21"/>
    <mergeCell ref="W20:Y20"/>
    <mergeCell ref="W28:Y31"/>
    <mergeCell ref="W27:Y27"/>
    <mergeCell ref="W26:Y26"/>
    <mergeCell ref="W32:Y32"/>
    <mergeCell ref="W33:Y33"/>
    <mergeCell ref="Q20:R20"/>
    <mergeCell ref="Q21:R21"/>
    <mergeCell ref="Q26:R26"/>
    <mergeCell ref="Q27:R27"/>
    <mergeCell ref="Q32:R32"/>
    <mergeCell ref="Q33:R33"/>
    <mergeCell ref="AP6:AP7"/>
    <mergeCell ref="T26:U26"/>
    <mergeCell ref="T27:U27"/>
    <mergeCell ref="V6:V7"/>
    <mergeCell ref="T9:U9"/>
    <mergeCell ref="T20:U20"/>
    <mergeCell ref="T21:U21"/>
    <mergeCell ref="T14:U14"/>
    <mergeCell ref="T15:U15"/>
    <mergeCell ref="T6:U6"/>
    <mergeCell ref="T8:U8"/>
    <mergeCell ref="W6:Y7"/>
    <mergeCell ref="W8:Y8"/>
    <mergeCell ref="W9:Y9"/>
    <mergeCell ref="W10:Y13"/>
    <mergeCell ref="W16:Y19"/>
    <mergeCell ref="W15:Y15"/>
    <mergeCell ref="AQ6:AQ7"/>
    <mergeCell ref="AR6:AR7"/>
    <mergeCell ref="AS6:AS7"/>
    <mergeCell ref="AI6:AI7"/>
    <mergeCell ref="AJ6:AJ7"/>
    <mergeCell ref="AM6:AM7"/>
    <mergeCell ref="AN6:AN7"/>
    <mergeCell ref="AO6:AO7"/>
    <mergeCell ref="AD6:AD7"/>
    <mergeCell ref="AE6:AE7"/>
    <mergeCell ref="AF6:AF7"/>
    <mergeCell ref="AG6:AG7"/>
    <mergeCell ref="AH6:AH7"/>
    <mergeCell ref="D20:E20"/>
    <mergeCell ref="F34:G34"/>
    <mergeCell ref="N32:O32"/>
    <mergeCell ref="N33:O33"/>
    <mergeCell ref="F6:G6"/>
    <mergeCell ref="F7:G7"/>
    <mergeCell ref="F8:G8"/>
    <mergeCell ref="F9:G9"/>
    <mergeCell ref="F10:G10"/>
    <mergeCell ref="F14:G14"/>
    <mergeCell ref="F15:G15"/>
    <mergeCell ref="F16:G16"/>
    <mergeCell ref="F20:G20"/>
    <mergeCell ref="F21:G21"/>
    <mergeCell ref="F22:G22"/>
    <mergeCell ref="F26:G26"/>
    <mergeCell ref="N15:O15"/>
    <mergeCell ref="N20:O20"/>
    <mergeCell ref="N21:O21"/>
    <mergeCell ref="N26:O26"/>
    <mergeCell ref="N27:O27"/>
    <mergeCell ref="N6:O6"/>
    <mergeCell ref="N7:O7"/>
    <mergeCell ref="N8:O8"/>
    <mergeCell ref="D33:E33"/>
    <mergeCell ref="D21:E21"/>
    <mergeCell ref="D32:E32"/>
    <mergeCell ref="D27:E27"/>
    <mergeCell ref="L27:M27"/>
    <mergeCell ref="I27:J27"/>
    <mergeCell ref="I22:J22"/>
    <mergeCell ref="I33:J33"/>
    <mergeCell ref="F27:G27"/>
    <mergeCell ref="F28:G28"/>
    <mergeCell ref="D26:E26"/>
    <mergeCell ref="F32:G32"/>
    <mergeCell ref="F33:G33"/>
    <mergeCell ref="I34:J34"/>
    <mergeCell ref="L32:M32"/>
    <mergeCell ref="I20:J20"/>
    <mergeCell ref="L8:M8"/>
    <mergeCell ref="L9:M9"/>
    <mergeCell ref="L20:M20"/>
    <mergeCell ref="I21:J21"/>
    <mergeCell ref="L21:M21"/>
    <mergeCell ref="I26:J26"/>
    <mergeCell ref="L26:M26"/>
    <mergeCell ref="I28:J28"/>
    <mergeCell ref="I32:J32"/>
    <mergeCell ref="L33:M33"/>
    <mergeCell ref="I10:J10"/>
    <mergeCell ref="I15:J15"/>
    <mergeCell ref="I9:J9"/>
    <mergeCell ref="N14:O14"/>
    <mergeCell ref="N9:O9"/>
    <mergeCell ref="Q6:R6"/>
    <mergeCell ref="Q7:R7"/>
    <mergeCell ref="Q8:R8"/>
    <mergeCell ref="Q9:R9"/>
    <mergeCell ref="I6:J7"/>
    <mergeCell ref="I16:J16"/>
    <mergeCell ref="A1:B1"/>
    <mergeCell ref="L15:M15"/>
    <mergeCell ref="D14:E14"/>
    <mergeCell ref="I14:J14"/>
    <mergeCell ref="L14:M14"/>
    <mergeCell ref="L6:M6"/>
    <mergeCell ref="L7:M7"/>
    <mergeCell ref="D9:E9"/>
    <mergeCell ref="D8:E8"/>
    <mergeCell ref="I8:J8"/>
    <mergeCell ref="D15:E15"/>
    <mergeCell ref="B6:B7"/>
    <mergeCell ref="D6:E6"/>
    <mergeCell ref="D7:E7"/>
    <mergeCell ref="Q14:R14"/>
    <mergeCell ref="Q15:R15"/>
  </mergeCells>
  <phoneticPr fontId="13" type="noConversion"/>
  <conditionalFormatting sqref="P42:P71 S42:S71">
    <cfRule type="cellIs" dxfId="1398" priority="11" operator="greaterThan">
      <formula>0</formula>
    </cfRule>
    <cfRule type="cellIs" dxfId="1397" priority="13" operator="lessThan">
      <formula>0</formula>
    </cfRule>
  </conditionalFormatting>
  <conditionalFormatting sqref="AD9:AJ13">
    <cfRule type="expression" dxfId="1396" priority="6">
      <formula>MOD(ROW(),2)=0</formula>
    </cfRule>
  </conditionalFormatting>
  <conditionalFormatting sqref="AD15:AJ19">
    <cfRule type="expression" dxfId="1395" priority="7">
      <formula>MOD(ROW(),2)=0</formula>
    </cfRule>
  </conditionalFormatting>
  <conditionalFormatting sqref="AM9:AS13">
    <cfRule type="expression" dxfId="1394" priority="2">
      <formula>MOD(ROW(),2)=0</formula>
    </cfRule>
  </conditionalFormatting>
  <conditionalFormatting sqref="AM15:AS19">
    <cfRule type="expression" dxfId="1393" priority="1">
      <formula>MOD(ROW(),2)=0</formula>
    </cfRule>
  </conditionalFormatting>
  <hyperlinks>
    <hyperlink ref="A1" location="Index!A1" display="&lt;&lt;Back to Index" xr:uid="{00000000-0004-0000-0500-000000000000}"/>
  </hyperlinks>
  <pageMargins left="0.7" right="0.7" top="0.75" bottom="0.75" header="0.3" footer="0.3"/>
  <pageSetup paperSize="9" orientation="portrait" r:id="rId1"/>
  <headerFooter>
    <oddHeader>&amp;C&amp;"Calibri"&amp;10&amp;KFF0000 OFFICIAL SENSITIVE&amp;1#_x000D_</oddHeader>
  </headerFooter>
  <ignoredErrors>
    <ignoredError sqref="E19:F19 E37 M19:N19 E24:F24 M24:N24 E25 E1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2541-7C4F-4C62-AB35-BAFD87145E4D}">
  <sheetPr>
    <tabColor theme="9" tint="-0.249977111117893"/>
  </sheetPr>
  <dimension ref="A1:BH76"/>
  <sheetViews>
    <sheetView tabSelected="1" zoomScale="85" zoomScaleNormal="85" workbookViewId="0">
      <selection activeCell="W18" sqref="W18"/>
    </sheetView>
  </sheetViews>
  <sheetFormatPr defaultColWidth="8.7265625" defaultRowHeight="14" x14ac:dyDescent="0.3"/>
  <cols>
    <col min="1" max="1" width="1.7265625" style="32" customWidth="1"/>
    <col min="2" max="2" width="18.81640625" style="81" customWidth="1"/>
    <col min="3" max="3" width="20.7265625" style="81" customWidth="1"/>
    <col min="4" max="4" width="8.54296875" style="99" customWidth="1"/>
    <col min="5" max="7" width="9.453125" style="99" customWidth="1"/>
    <col min="8" max="8" width="8.54296875" style="99" customWidth="1"/>
    <col min="9" max="9" width="9.453125" style="99" customWidth="1"/>
    <col min="10" max="15" width="9.54296875" style="99" customWidth="1"/>
    <col min="16" max="16" width="1.7265625" style="32" customWidth="1"/>
    <col min="17" max="17" width="16.1796875" style="81" customWidth="1"/>
    <col min="18" max="18" width="15.81640625" style="81" customWidth="1"/>
    <col min="19" max="19" width="9.453125" style="99" customWidth="1"/>
    <col min="20" max="21" width="8.7265625" style="99" customWidth="1"/>
    <col min="22" max="22" width="9.453125" style="99" customWidth="1"/>
    <col min="23" max="23" width="9" style="99" customWidth="1"/>
    <col min="24" max="24" width="8.7265625" style="99" customWidth="1"/>
    <col min="25" max="26" width="11.54296875" style="99" customWidth="1"/>
    <col min="27" max="30" width="9.54296875" style="99" customWidth="1"/>
    <col min="31" max="31" width="1.7265625" style="32" customWidth="1"/>
    <col min="32" max="32" width="16.26953125" style="81" customWidth="1"/>
    <col min="33" max="33" width="20.7265625" style="81" customWidth="1"/>
    <col min="34" max="34" width="8.54296875" style="99" customWidth="1"/>
    <col min="35" max="37" width="9.453125" style="99" customWidth="1"/>
    <col min="38" max="38" width="8.54296875" style="99" customWidth="1"/>
    <col min="39" max="39" width="9.453125" style="99" customWidth="1"/>
    <col min="40" max="41" width="9.81640625" style="99" customWidth="1"/>
    <col min="42" max="45" width="9.54296875" style="99" customWidth="1"/>
    <col min="46" max="46" width="2" style="81" customWidth="1"/>
    <col min="47" max="47" width="16.26953125" style="81" customWidth="1"/>
    <col min="48" max="48" width="20.7265625" style="81" customWidth="1"/>
    <col min="49" max="49" width="8.54296875" style="99" customWidth="1"/>
    <col min="50" max="52" width="9.453125" style="99" customWidth="1"/>
    <col min="53" max="53" width="8.54296875" style="99" customWidth="1"/>
    <col min="54" max="54" width="9.453125" style="99" customWidth="1"/>
    <col min="55" max="56" width="9.81640625" style="99" customWidth="1"/>
    <col min="57" max="60" width="9.54296875" style="99" customWidth="1"/>
    <col min="61" max="16384" width="8.7265625" style="81"/>
  </cols>
  <sheetData>
    <row r="1" spans="1:60" x14ac:dyDescent="0.3">
      <c r="A1" s="815" t="s">
        <v>18</v>
      </c>
      <c r="B1" s="816"/>
      <c r="C1" s="60"/>
      <c r="D1" s="30"/>
      <c r="E1" s="30"/>
      <c r="F1" s="30"/>
      <c r="G1" s="30"/>
      <c r="H1" s="30"/>
      <c r="I1" s="30"/>
      <c r="J1" s="30"/>
      <c r="K1" s="30"/>
      <c r="L1" s="30"/>
      <c r="M1" s="30"/>
      <c r="N1" s="30"/>
      <c r="O1" s="30"/>
      <c r="Q1" s="60"/>
      <c r="R1" s="60"/>
      <c r="S1" s="30"/>
      <c r="T1" s="30"/>
      <c r="U1" s="30"/>
      <c r="V1" s="30"/>
      <c r="W1" s="30"/>
      <c r="X1" s="30"/>
      <c r="Y1" s="30"/>
      <c r="Z1" s="30"/>
      <c r="AA1" s="30"/>
      <c r="AB1" s="30"/>
      <c r="AC1" s="30"/>
      <c r="AD1" s="30"/>
      <c r="AF1" s="60"/>
      <c r="AG1" s="60"/>
      <c r="AH1" s="30"/>
      <c r="AI1" s="30"/>
      <c r="AJ1" s="30"/>
      <c r="AK1" s="30"/>
      <c r="AL1" s="30"/>
      <c r="AM1" s="30"/>
      <c r="AN1" s="30"/>
      <c r="AO1" s="30"/>
      <c r="AP1" s="30"/>
      <c r="AQ1" s="30"/>
      <c r="AR1" s="30"/>
      <c r="AS1" s="30"/>
      <c r="AU1" s="60"/>
      <c r="AV1" s="60"/>
      <c r="AW1" s="30"/>
      <c r="AX1" s="30"/>
      <c r="AY1" s="30"/>
      <c r="AZ1" s="30"/>
      <c r="BA1" s="30"/>
      <c r="BB1" s="30"/>
      <c r="BC1" s="30"/>
      <c r="BD1" s="30"/>
      <c r="BE1" s="30"/>
      <c r="BF1" s="30"/>
      <c r="BG1" s="30"/>
      <c r="BH1" s="30"/>
    </row>
    <row r="2" spans="1:60" s="493" customFormat="1" ht="18" x14ac:dyDescent="0.3">
      <c r="A2" s="61" t="str">
        <f>"DMO "&amp;FY&amp;" "&amp;'Network Tariff codes'!D8&amp;" Determination Prices and Cost Changes"</f>
        <v>DMO 2026-27 Final Determination Prices and Cost Changes</v>
      </c>
      <c r="B2" s="61"/>
      <c r="C2" s="61"/>
      <c r="D2" s="767"/>
      <c r="E2" s="767"/>
      <c r="F2" s="767"/>
      <c r="G2" s="767"/>
      <c r="H2" s="767"/>
      <c r="I2" s="767"/>
      <c r="J2" s="767"/>
      <c r="K2" s="767"/>
      <c r="L2" s="767"/>
      <c r="M2" s="767"/>
      <c r="N2" s="767"/>
      <c r="O2" s="767"/>
      <c r="P2" s="767"/>
      <c r="Q2" s="61"/>
      <c r="R2" s="61"/>
      <c r="S2" s="767"/>
      <c r="T2" s="767"/>
      <c r="U2" s="767"/>
      <c r="V2" s="767"/>
      <c r="W2" s="767"/>
      <c r="X2" s="767"/>
      <c r="Y2" s="767"/>
      <c r="Z2" s="767"/>
      <c r="AA2" s="767"/>
      <c r="AB2" s="767"/>
      <c r="AC2" s="767"/>
      <c r="AD2" s="767"/>
      <c r="AE2" s="767"/>
      <c r="AF2" s="61"/>
      <c r="AG2" s="61"/>
      <c r="AH2" s="767"/>
      <c r="AI2" s="767"/>
      <c r="AJ2" s="767"/>
      <c r="AK2" s="767"/>
      <c r="AL2" s="767"/>
      <c r="AM2" s="767"/>
      <c r="AN2" s="767"/>
      <c r="AO2" s="767"/>
      <c r="AP2" s="767"/>
      <c r="AQ2" s="767"/>
      <c r="AR2" s="767"/>
      <c r="AS2" s="767"/>
      <c r="AT2" s="767"/>
      <c r="AU2" s="61"/>
      <c r="AV2" s="61"/>
      <c r="AW2" s="767"/>
      <c r="AX2" s="767"/>
      <c r="AY2" s="767"/>
      <c r="AZ2" s="767"/>
      <c r="BA2" s="767"/>
      <c r="BB2" s="767"/>
      <c r="BC2" s="767"/>
      <c r="BD2" s="767"/>
      <c r="BE2" s="767"/>
      <c r="BF2" s="767"/>
      <c r="BG2" s="767"/>
      <c r="BH2" s="767"/>
    </row>
    <row r="3" spans="1:60" ht="14.5" x14ac:dyDescent="0.35">
      <c r="A3" s="289"/>
      <c r="B3" s="128"/>
      <c r="P3" s="81"/>
      <c r="Q3" s="129"/>
      <c r="AE3" s="81"/>
      <c r="AF3" s="129"/>
      <c r="AH3" s="99" t="s">
        <v>172</v>
      </c>
      <c r="AU3" s="129"/>
      <c r="AW3" s="99" t="s">
        <v>172</v>
      </c>
    </row>
    <row r="4" spans="1:60" ht="16" thickBot="1" x14ac:dyDescent="0.4">
      <c r="A4" s="128"/>
      <c r="B4" s="245" t="s">
        <v>293</v>
      </c>
      <c r="P4" s="81"/>
      <c r="Q4" s="245" t="s">
        <v>372</v>
      </c>
      <c r="AE4" s="81"/>
      <c r="AF4" s="525" t="s">
        <v>296</v>
      </c>
      <c r="AH4" s="99" t="s">
        <v>172</v>
      </c>
      <c r="AU4" s="525" t="s">
        <v>374</v>
      </c>
      <c r="AW4" s="99" t="s">
        <v>172</v>
      </c>
    </row>
    <row r="5" spans="1:60" ht="26" x14ac:dyDescent="0.3">
      <c r="A5" s="130"/>
      <c r="B5" s="131" t="s">
        <v>194</v>
      </c>
      <c r="C5" s="132" t="s">
        <v>195</v>
      </c>
      <c r="D5" s="813" t="s">
        <v>294</v>
      </c>
      <c r="E5" s="814"/>
      <c r="F5" s="813" t="s">
        <v>292</v>
      </c>
      <c r="G5" s="814"/>
      <c r="H5" s="813" t="s">
        <v>393</v>
      </c>
      <c r="I5" s="814"/>
      <c r="J5" s="813" t="s">
        <v>295</v>
      </c>
      <c r="K5" s="814"/>
      <c r="L5" s="813" t="s">
        <v>394</v>
      </c>
      <c r="M5" s="814"/>
      <c r="N5" s="813" t="s">
        <v>395</v>
      </c>
      <c r="O5" s="814"/>
      <c r="P5" s="130"/>
      <c r="Q5" s="131" t="s">
        <v>194</v>
      </c>
      <c r="R5" s="132" t="s">
        <v>195</v>
      </c>
      <c r="S5" s="813" t="s">
        <v>294</v>
      </c>
      <c r="T5" s="814"/>
      <c r="U5" s="813" t="s">
        <v>292</v>
      </c>
      <c r="V5" s="814"/>
      <c r="W5" s="813" t="str">
        <f>H5</f>
        <v>Final Determination DMO 8 2026-27</v>
      </c>
      <c r="X5" s="814"/>
      <c r="Y5" s="813" t="str">
        <f>+J5</f>
        <v>Difference from DMO 7 to Draft DMO 8</v>
      </c>
      <c r="Z5" s="814"/>
      <c r="AA5" s="817" t="str">
        <f>L5</f>
        <v>Difference from DMO 8 Draft to Final</v>
      </c>
      <c r="AB5" s="818"/>
      <c r="AC5" s="818" t="str">
        <f>N5</f>
        <v>Difference from DMO 7 to Final DMO 8</v>
      </c>
      <c r="AD5" s="818"/>
      <c r="AE5" s="130"/>
      <c r="AF5" s="131" t="s">
        <v>194</v>
      </c>
      <c r="AG5" s="132" t="s">
        <v>195</v>
      </c>
      <c r="AH5" s="813" t="str">
        <f>+S5</f>
        <v>Final determination DMO 7 2025-26</v>
      </c>
      <c r="AI5" s="814"/>
      <c r="AJ5" s="819" t="str">
        <f>F5</f>
        <v>Draft Determination DMO 8 2026-27</v>
      </c>
      <c r="AK5" s="820"/>
      <c r="AL5" s="813" t="str">
        <f>W5</f>
        <v>Final Determination DMO 8 2026-27</v>
      </c>
      <c r="AM5" s="814"/>
      <c r="AN5" s="813" t="str">
        <f>+Y5</f>
        <v>Difference from DMO 7 to Draft DMO 8</v>
      </c>
      <c r="AO5" s="814"/>
      <c r="AP5" s="817" t="str">
        <f>L5</f>
        <v>Difference from DMO 8 Draft to Final</v>
      </c>
      <c r="AQ5" s="818"/>
      <c r="AR5" s="818" t="str">
        <f>N5</f>
        <v>Difference from DMO 7 to Final DMO 8</v>
      </c>
      <c r="AS5" s="818"/>
      <c r="AU5" s="131" t="s">
        <v>194</v>
      </c>
      <c r="AV5" s="132" t="s">
        <v>195</v>
      </c>
      <c r="AW5" s="813" t="str">
        <f>+AH5</f>
        <v>Final determination DMO 7 2025-26</v>
      </c>
      <c r="AX5" s="814"/>
      <c r="AY5" s="819" t="str">
        <f>F5</f>
        <v>Draft Determination DMO 8 2026-27</v>
      </c>
      <c r="AZ5" s="820"/>
      <c r="BA5" s="813" t="str">
        <f>W5</f>
        <v>Final Determination DMO 8 2026-27</v>
      </c>
      <c r="BB5" s="814"/>
      <c r="BC5" s="813" t="str">
        <f>+AN5</f>
        <v>Difference from DMO 7 to Draft DMO 8</v>
      </c>
      <c r="BD5" s="814"/>
      <c r="BE5" s="817" t="str">
        <f>L5</f>
        <v>Difference from DMO 8 Draft to Final</v>
      </c>
      <c r="BF5" s="818"/>
      <c r="BG5" s="818" t="str">
        <f>N5</f>
        <v>Difference from DMO 7 to Final DMO 8</v>
      </c>
      <c r="BH5" s="818"/>
    </row>
    <row r="6" spans="1:60" ht="15" customHeight="1" thickBot="1" x14ac:dyDescent="0.35">
      <c r="A6" s="133"/>
      <c r="B6" s="134"/>
      <c r="C6" s="135"/>
      <c r="D6" s="136" t="s">
        <v>196</v>
      </c>
      <c r="E6" s="137" t="s">
        <v>197</v>
      </c>
      <c r="F6" s="138" t="s">
        <v>196</v>
      </c>
      <c r="G6" s="137" t="s">
        <v>197</v>
      </c>
      <c r="H6" s="138" t="s">
        <v>196</v>
      </c>
      <c r="I6" s="137" t="s">
        <v>197</v>
      </c>
      <c r="J6" s="138" t="s">
        <v>198</v>
      </c>
      <c r="K6" s="137" t="s">
        <v>199</v>
      </c>
      <c r="L6" s="138" t="s">
        <v>198</v>
      </c>
      <c r="M6" s="137" t="s">
        <v>199</v>
      </c>
      <c r="N6" s="138" t="s">
        <v>198</v>
      </c>
      <c r="O6" s="137" t="s">
        <v>199</v>
      </c>
      <c r="P6" s="133"/>
      <c r="Q6" s="134"/>
      <c r="R6" s="135"/>
      <c r="S6" s="136" t="s">
        <v>196</v>
      </c>
      <c r="T6" s="137" t="s">
        <v>197</v>
      </c>
      <c r="U6" s="136"/>
      <c r="V6" s="136"/>
      <c r="W6" s="138" t="s">
        <v>196</v>
      </c>
      <c r="X6" s="137" t="s">
        <v>197</v>
      </c>
      <c r="Y6" s="138" t="s">
        <v>198</v>
      </c>
      <c r="Z6" s="137" t="s">
        <v>199</v>
      </c>
      <c r="AA6" s="743"/>
      <c r="AB6" s="743"/>
      <c r="AC6" s="743"/>
      <c r="AD6" s="743"/>
      <c r="AE6" s="133"/>
      <c r="AF6" s="134"/>
      <c r="AG6" s="135"/>
      <c r="AH6" s="136" t="s">
        <v>196</v>
      </c>
      <c r="AI6" s="137" t="s">
        <v>197</v>
      </c>
      <c r="AJ6" s="136" t="s">
        <v>196</v>
      </c>
      <c r="AK6" s="137" t="s">
        <v>197</v>
      </c>
      <c r="AL6" s="138" t="s">
        <v>196</v>
      </c>
      <c r="AM6" s="137" t="s">
        <v>197</v>
      </c>
      <c r="AN6" s="138" t="s">
        <v>198</v>
      </c>
      <c r="AO6" s="137" t="s">
        <v>199</v>
      </c>
      <c r="AP6" s="138" t="s">
        <v>198</v>
      </c>
      <c r="AQ6" s="137" t="s">
        <v>199</v>
      </c>
      <c r="AR6" s="138" t="s">
        <v>198</v>
      </c>
      <c r="AS6" s="137" t="s">
        <v>199</v>
      </c>
      <c r="AU6" s="134"/>
      <c r="AV6" s="135"/>
      <c r="AW6" s="136" t="s">
        <v>196</v>
      </c>
      <c r="AX6" s="137" t="s">
        <v>197</v>
      </c>
      <c r="AY6" s="136" t="s">
        <v>196</v>
      </c>
      <c r="AZ6" s="137" t="s">
        <v>197</v>
      </c>
      <c r="BA6" s="138" t="s">
        <v>196</v>
      </c>
      <c r="BB6" s="137" t="s">
        <v>197</v>
      </c>
      <c r="BC6" s="138" t="s">
        <v>198</v>
      </c>
      <c r="BD6" s="137" t="s">
        <v>199</v>
      </c>
      <c r="BE6" s="138" t="s">
        <v>198</v>
      </c>
      <c r="BF6" s="137" t="s">
        <v>199</v>
      </c>
      <c r="BG6" s="138" t="s">
        <v>198</v>
      </c>
      <c r="BH6" s="137" t="s">
        <v>199</v>
      </c>
    </row>
    <row r="7" spans="1:60" ht="15.75" customHeight="1" x14ac:dyDescent="0.3">
      <c r="A7" s="19"/>
      <c r="B7" s="139" t="s">
        <v>2</v>
      </c>
      <c r="C7" s="140" t="s">
        <v>63</v>
      </c>
      <c r="D7" s="141">
        <f>+Ausgrid!L35</f>
        <v>753.97249122143467</v>
      </c>
      <c r="E7" s="142"/>
      <c r="F7" s="157">
        <v>673.48262505627474</v>
      </c>
      <c r="G7" s="157"/>
      <c r="H7" s="143">
        <f>+Ausgrid!Q35</f>
        <v>653.78501504136671</v>
      </c>
      <c r="I7" s="144"/>
      <c r="J7" s="145">
        <f>+F7-D7</f>
        <v>-80.489866165159924</v>
      </c>
      <c r="K7" s="146">
        <f t="shared" ref="K7:K36" si="0">+J7/D7</f>
        <v>-0.10675438043471111</v>
      </c>
      <c r="L7" s="145">
        <f>+H7-F7</f>
        <v>-19.697610014908037</v>
      </c>
      <c r="M7" s="146">
        <f>+L7/F7</f>
        <v>-2.9247391516985532E-2</v>
      </c>
      <c r="N7" s="145">
        <f>+H7-D7</f>
        <v>-100.18747618006796</v>
      </c>
      <c r="O7" s="146">
        <f>+N7/D7</f>
        <v>-0.13287948479096942</v>
      </c>
      <c r="P7" s="19"/>
      <c r="Q7" s="139" t="s">
        <v>2</v>
      </c>
      <c r="R7" s="140" t="s">
        <v>63</v>
      </c>
      <c r="S7" s="141">
        <f>+Ausgrid!L35</f>
        <v>753.97249122143467</v>
      </c>
      <c r="T7" s="142"/>
      <c r="U7" s="141">
        <v>673.48262505627474</v>
      </c>
      <c r="V7" s="157"/>
      <c r="W7" s="143">
        <f>Ausgrid!Z35</f>
        <v>653.78501504136659</v>
      </c>
      <c r="X7" s="142"/>
      <c r="Y7" s="145">
        <f>+U7-S7</f>
        <v>-80.489866165159924</v>
      </c>
      <c r="Z7" s="146">
        <f t="shared" ref="Z7:Z36" si="1">+Y7/S7</f>
        <v>-0.10675438043471111</v>
      </c>
      <c r="AA7" s="145">
        <f>+W7-U7</f>
        <v>-19.69761001490815</v>
      </c>
      <c r="AB7" s="146">
        <f>+AA7/U7</f>
        <v>-2.9247391516985698E-2</v>
      </c>
      <c r="AC7" s="145">
        <f>+W7-S7</f>
        <v>-100.18747618006807</v>
      </c>
      <c r="AD7" s="146">
        <f>+AC7/S7</f>
        <v>-0.13287948479096959</v>
      </c>
      <c r="AE7" s="19"/>
      <c r="AF7" s="139" t="s">
        <v>2</v>
      </c>
      <c r="AG7" s="140" t="s">
        <v>63</v>
      </c>
      <c r="AH7" s="141">
        <f>+Ausgrid!AD35</f>
        <v>1909.4590830953503</v>
      </c>
      <c r="AI7" s="142"/>
      <c r="AJ7" s="141">
        <v>1703.0748108769908</v>
      </c>
      <c r="AK7" s="157"/>
      <c r="AL7" s="143">
        <f>+Ausgrid!AI35</f>
        <v>1653.7894144650429</v>
      </c>
      <c r="AM7" s="144"/>
      <c r="AN7" s="145">
        <f>+AJ7-AH7</f>
        <v>-206.38427221835946</v>
      </c>
      <c r="AO7" s="146">
        <f t="shared" ref="AO7:AO36" si="2">+AN7/AH7</f>
        <v>-0.10808520279146171</v>
      </c>
      <c r="AP7" s="145">
        <f>+AL7-AJ7</f>
        <v>-49.285396411947886</v>
      </c>
      <c r="AQ7" s="146">
        <f>+AP7/AJ7</f>
        <v>-2.893906720783956E-2</v>
      </c>
      <c r="AR7" s="145">
        <f>+AL7-AH7</f>
        <v>-255.66966863030734</v>
      </c>
      <c r="AS7" s="146">
        <f>+AR7/AH7</f>
        <v>-0.13389638505154619</v>
      </c>
      <c r="AU7" s="139" t="s">
        <v>2</v>
      </c>
      <c r="AV7" s="140" t="s">
        <v>63</v>
      </c>
      <c r="AW7" s="141">
        <f>+Ausgrid!AD35</f>
        <v>1909.4590830953503</v>
      </c>
      <c r="AX7" s="142"/>
      <c r="AY7" s="157">
        <v>1703.0748108769908</v>
      </c>
      <c r="AZ7" s="157"/>
      <c r="BA7" s="143">
        <f>+Ausgrid!AR35</f>
        <v>1653.7894144650434</v>
      </c>
      <c r="BB7" s="144"/>
      <c r="BC7" s="145">
        <f>+AY7-AW7</f>
        <v>-206.38427221835946</v>
      </c>
      <c r="BD7" s="146">
        <f t="shared" ref="BD7:BD36" si="3">+BC7/AW7</f>
        <v>-0.10808520279146171</v>
      </c>
      <c r="BE7" s="145">
        <f>+BA7-AY7</f>
        <v>-49.285396411947431</v>
      </c>
      <c r="BF7" s="146">
        <f>+BE7/AY7</f>
        <v>-2.8939067207839293E-2</v>
      </c>
      <c r="BG7" s="145">
        <f>+BA7-AW7</f>
        <v>-255.66966863030689</v>
      </c>
      <c r="BH7" s="146">
        <f>+BG7/AW7</f>
        <v>-0.13389638505154594</v>
      </c>
    </row>
    <row r="8" spans="1:60" x14ac:dyDescent="0.3">
      <c r="A8" s="19"/>
      <c r="B8" s="139"/>
      <c r="C8" s="140" t="s">
        <v>62</v>
      </c>
      <c r="D8" s="141">
        <f>+Ausgrid!L36</f>
        <v>711.92496176013196</v>
      </c>
      <c r="E8" s="142"/>
      <c r="F8" s="157">
        <v>743.09425910509162</v>
      </c>
      <c r="G8" s="157"/>
      <c r="H8" s="143">
        <f>+Ausgrid!Q36</f>
        <v>778.23025938278613</v>
      </c>
      <c r="I8" s="142"/>
      <c r="J8" s="147">
        <f>+F8-D8</f>
        <v>31.169297344959659</v>
      </c>
      <c r="K8" s="148">
        <f t="shared" si="0"/>
        <v>4.3781717202186675E-2</v>
      </c>
      <c r="L8" s="147">
        <f t="shared" ref="L8:L11" si="4">+H8-F8</f>
        <v>35.136000277694507</v>
      </c>
      <c r="M8" s="148">
        <f t="shared" ref="M8:M11" si="5">+L8/F8</f>
        <v>4.7283369299621278E-2</v>
      </c>
      <c r="N8" s="147">
        <f t="shared" ref="N8:N11" si="6">+H8-D8</f>
        <v>66.305297622654166</v>
      </c>
      <c r="O8" s="148">
        <f t="shared" ref="O8:O11" si="7">+N8/D8</f>
        <v>9.3135233604850529E-2</v>
      </c>
      <c r="P8" s="19"/>
      <c r="Q8" s="139"/>
      <c r="R8" s="140" t="s">
        <v>62</v>
      </c>
      <c r="S8" s="141">
        <f>+Ausgrid!L36</f>
        <v>711.92496176013196</v>
      </c>
      <c r="T8" s="142"/>
      <c r="U8" s="141">
        <v>754.24469794304594</v>
      </c>
      <c r="V8" s="157"/>
      <c r="W8" s="143">
        <f>Ausgrid!Z36</f>
        <v>772.78441105381444</v>
      </c>
      <c r="X8" s="142"/>
      <c r="Y8" s="147">
        <f>+U8-S8</f>
        <v>42.319736182913971</v>
      </c>
      <c r="Z8" s="148">
        <f t="shared" si="1"/>
        <v>5.9444096577656889E-2</v>
      </c>
      <c r="AA8" s="147">
        <f t="shared" ref="AA8:AA11" si="8">+W8-U8</f>
        <v>18.539713110768503</v>
      </c>
      <c r="AB8" s="148">
        <f t="shared" ref="AB8:AB11" si="9">+AA8/U8</f>
        <v>2.4580501740787127E-2</v>
      </c>
      <c r="AC8" s="147">
        <f t="shared" ref="AC8:AC11" si="10">+W8-S8</f>
        <v>60.859449293682474</v>
      </c>
      <c r="AD8" s="148">
        <f t="shared" ref="AD8:AD11" si="11">+AC8/S8</f>
        <v>8.5485764037850631E-2</v>
      </c>
      <c r="AE8" s="19"/>
      <c r="AF8" s="139"/>
      <c r="AG8" s="140" t="s">
        <v>62</v>
      </c>
      <c r="AH8" s="141">
        <f>+Ausgrid!AD36</f>
        <v>1923.3380879684253</v>
      </c>
      <c r="AI8" s="142"/>
      <c r="AJ8" s="141">
        <v>1992.837991706901</v>
      </c>
      <c r="AK8" s="157"/>
      <c r="AL8" s="143">
        <f>+Ausgrid!AI36</f>
        <v>2082.2764101941389</v>
      </c>
      <c r="AM8" s="142"/>
      <c r="AN8" s="147">
        <f>+AJ8-AH8</f>
        <v>69.499903738475723</v>
      </c>
      <c r="AO8" s="148">
        <f t="shared" si="2"/>
        <v>3.6135042597678059E-2</v>
      </c>
      <c r="AP8" s="147">
        <f t="shared" ref="AP8:AP11" si="12">+AL8-AJ8</f>
        <v>89.438418487237868</v>
      </c>
      <c r="AQ8" s="148">
        <f t="shared" ref="AQ8:AQ11" si="13">+AP8/AJ8</f>
        <v>4.4879924439132295E-2</v>
      </c>
      <c r="AR8" s="147">
        <f t="shared" ref="AR8:AR11" si="14">+AL8-AH8</f>
        <v>158.93832222571359</v>
      </c>
      <c r="AS8" s="148">
        <f t="shared" ref="AS8:AS11" si="15">+AR8/AH8</f>
        <v>8.2636705018198975E-2</v>
      </c>
      <c r="AU8" s="139"/>
      <c r="AV8" s="140" t="s">
        <v>62</v>
      </c>
      <c r="AW8" s="141">
        <f>+Ausgrid!AD36</f>
        <v>1923.3380879684253</v>
      </c>
      <c r="AX8" s="142"/>
      <c r="AY8" s="157">
        <v>2109.2214537136988</v>
      </c>
      <c r="AZ8" s="157"/>
      <c r="BA8" s="143">
        <f>+Ausgrid!AR36</f>
        <v>2013.6371368368029</v>
      </c>
      <c r="BB8" s="142"/>
      <c r="BC8" s="147">
        <f>+AY8-AW8</f>
        <v>185.88336574527352</v>
      </c>
      <c r="BD8" s="148">
        <f t="shared" si="3"/>
        <v>9.6646225075081596E-2</v>
      </c>
      <c r="BE8" s="147">
        <f t="shared" ref="BE8:BE11" si="16">+BA8-AY8</f>
        <v>-95.584316876895855</v>
      </c>
      <c r="BF8" s="148">
        <f t="shared" ref="BF8:BF11" si="17">+BE8/AY8</f>
        <v>-4.5317345273821717E-2</v>
      </c>
      <c r="BG8" s="147">
        <f t="shared" ref="BG8:BG11" si="18">+BA8-AW8</f>
        <v>90.299048868377668</v>
      </c>
      <c r="BH8" s="148">
        <f t="shared" ref="BH8:BH11" si="19">+BG8/AW8</f>
        <v>4.6949129450120926E-2</v>
      </c>
    </row>
    <row r="9" spans="1:60" ht="15.75" customHeight="1" x14ac:dyDescent="0.3">
      <c r="A9" s="19"/>
      <c r="B9" s="139"/>
      <c r="C9" s="140" t="s">
        <v>64</v>
      </c>
      <c r="D9" s="141">
        <f>+Ausgrid!L37</f>
        <v>68.331519303463324</v>
      </c>
      <c r="E9" s="142"/>
      <c r="F9" s="157">
        <v>48.1715136402225</v>
      </c>
      <c r="G9" s="157"/>
      <c r="H9" s="143">
        <f>+Ausgrid!Q37</f>
        <v>47.573855815382679</v>
      </c>
      <c r="I9" s="142"/>
      <c r="J9" s="147">
        <f>+F9-D9</f>
        <v>-20.160005663240824</v>
      </c>
      <c r="K9" s="148">
        <f t="shared" si="0"/>
        <v>-0.29503230527788121</v>
      </c>
      <c r="L9" s="147">
        <f t="shared" si="4"/>
        <v>-0.59765782483982122</v>
      </c>
      <c r="M9" s="148">
        <f t="shared" si="5"/>
        <v>-1.2406872437173861E-2</v>
      </c>
      <c r="N9" s="147">
        <f t="shared" si="6"/>
        <v>-20.757663488080645</v>
      </c>
      <c r="O9" s="148">
        <f t="shared" si="7"/>
        <v>-0.30377874953862705</v>
      </c>
      <c r="P9" s="19"/>
      <c r="Q9" s="139"/>
      <c r="R9" s="140" t="s">
        <v>64</v>
      </c>
      <c r="S9" s="141">
        <f>+Ausgrid!L37</f>
        <v>68.331519303463324</v>
      </c>
      <c r="T9" s="142"/>
      <c r="U9" s="141">
        <v>48.1715136402225</v>
      </c>
      <c r="V9" s="157"/>
      <c r="W9" s="143">
        <f>Ausgrid!Z37</f>
        <v>47.573855815382686</v>
      </c>
      <c r="X9" s="142"/>
      <c r="Y9" s="147">
        <f>+U9-S9</f>
        <v>-20.160005663240824</v>
      </c>
      <c r="Z9" s="148">
        <f t="shared" si="1"/>
        <v>-0.29503230527788121</v>
      </c>
      <c r="AA9" s="147">
        <f t="shared" si="8"/>
        <v>-0.59765782483981411</v>
      </c>
      <c r="AB9" s="148">
        <f t="shared" si="9"/>
        <v>-1.2406872437173713E-2</v>
      </c>
      <c r="AC9" s="147">
        <f t="shared" si="10"/>
        <v>-20.757663488080638</v>
      </c>
      <c r="AD9" s="148">
        <f t="shared" si="11"/>
        <v>-0.30377874953862694</v>
      </c>
      <c r="AE9" s="19"/>
      <c r="AF9" s="139"/>
      <c r="AG9" s="140" t="s">
        <v>64</v>
      </c>
      <c r="AH9" s="141">
        <f>+Ausgrid!AD37</f>
        <v>175.20902385503413</v>
      </c>
      <c r="AI9" s="142"/>
      <c r="AJ9" s="141">
        <v>123.51670164159614</v>
      </c>
      <c r="AK9" s="157"/>
      <c r="AL9" s="143">
        <f>+Ausgrid!AI37</f>
        <v>121.98424568046842</v>
      </c>
      <c r="AM9" s="142"/>
      <c r="AN9" s="147">
        <f>+AJ9-AH9</f>
        <v>-51.69232221343799</v>
      </c>
      <c r="AO9" s="148">
        <f t="shared" si="2"/>
        <v>-0.29503230527788116</v>
      </c>
      <c r="AP9" s="147">
        <f t="shared" si="12"/>
        <v>-1.5324559611277238</v>
      </c>
      <c r="AQ9" s="148">
        <f t="shared" si="13"/>
        <v>-1.2406872437173677E-2</v>
      </c>
      <c r="AR9" s="147">
        <f t="shared" si="14"/>
        <v>-53.224778174565714</v>
      </c>
      <c r="AS9" s="148">
        <f t="shared" si="15"/>
        <v>-0.30377874953862688</v>
      </c>
      <c r="AU9" s="139"/>
      <c r="AV9" s="140" t="s">
        <v>64</v>
      </c>
      <c r="AW9" s="141">
        <f>+Ausgrid!AD37</f>
        <v>175.20902385503413</v>
      </c>
      <c r="AX9" s="142"/>
      <c r="AY9" s="157">
        <v>123.51670164159614</v>
      </c>
      <c r="AZ9" s="157"/>
      <c r="BA9" s="143">
        <f>+Ausgrid!AR37</f>
        <v>121.98424568046842</v>
      </c>
      <c r="BB9" s="142"/>
      <c r="BC9" s="147">
        <f>+AY9-AW9</f>
        <v>-51.69232221343799</v>
      </c>
      <c r="BD9" s="148">
        <f t="shared" si="3"/>
        <v>-0.29503230527788116</v>
      </c>
      <c r="BE9" s="147">
        <f t="shared" si="16"/>
        <v>-1.5324559611277238</v>
      </c>
      <c r="BF9" s="148">
        <f t="shared" si="17"/>
        <v>-1.2406872437173677E-2</v>
      </c>
      <c r="BG9" s="147">
        <f t="shared" si="18"/>
        <v>-53.224778174565714</v>
      </c>
      <c r="BH9" s="148">
        <f t="shared" si="19"/>
        <v>-0.30377874953862688</v>
      </c>
    </row>
    <row r="10" spans="1:60" x14ac:dyDescent="0.3">
      <c r="A10" s="19"/>
      <c r="B10" s="139"/>
      <c r="C10" s="140" t="s">
        <v>159</v>
      </c>
      <c r="D10" s="141">
        <f>+Ausgrid!L38</f>
        <v>312.51267628903128</v>
      </c>
      <c r="E10" s="142"/>
      <c r="F10" s="157">
        <v>297.30765378057168</v>
      </c>
      <c r="G10" s="157"/>
      <c r="H10" s="143">
        <f>+Ausgrid!Q38</f>
        <v>305.55201525232189</v>
      </c>
      <c r="I10" s="142"/>
      <c r="J10" s="147">
        <f>+F10-D10</f>
        <v>-15.205022508459592</v>
      </c>
      <c r="K10" s="148">
        <f t="shared" si="0"/>
        <v>-4.8654098416145639E-2</v>
      </c>
      <c r="L10" s="147">
        <f t="shared" si="4"/>
        <v>8.2443614717502101</v>
      </c>
      <c r="M10" s="148">
        <f t="shared" si="5"/>
        <v>2.7730068052116048E-2</v>
      </c>
      <c r="N10" s="147">
        <f t="shared" si="6"/>
        <v>-6.9606610367093822</v>
      </c>
      <c r="O10" s="148">
        <f t="shared" si="7"/>
        <v>-2.2273211824123663E-2</v>
      </c>
      <c r="P10" s="19"/>
      <c r="Q10" s="139"/>
      <c r="R10" s="140" t="s">
        <v>159</v>
      </c>
      <c r="S10" s="141">
        <f>+Ausgrid!L38</f>
        <v>312.51267628903128</v>
      </c>
      <c r="T10" s="142"/>
      <c r="U10" s="141">
        <v>297.30765378057168</v>
      </c>
      <c r="V10" s="157"/>
      <c r="W10" s="143">
        <f>Ausgrid!Z38</f>
        <v>305.55201525232189</v>
      </c>
      <c r="X10" s="142"/>
      <c r="Y10" s="147">
        <f>+U10-S10</f>
        <v>-15.205022508459592</v>
      </c>
      <c r="Z10" s="148">
        <f t="shared" si="1"/>
        <v>-4.8654098416145639E-2</v>
      </c>
      <c r="AA10" s="147">
        <f t="shared" si="8"/>
        <v>8.2443614717502101</v>
      </c>
      <c r="AB10" s="148">
        <f t="shared" si="9"/>
        <v>2.7730068052116048E-2</v>
      </c>
      <c r="AC10" s="147">
        <f t="shared" si="10"/>
        <v>-6.9606610367093822</v>
      </c>
      <c r="AD10" s="148">
        <f t="shared" si="11"/>
        <v>-2.2273211824123663E-2</v>
      </c>
      <c r="AE10" s="19"/>
      <c r="AF10" s="139"/>
      <c r="AG10" s="140" t="s">
        <v>159</v>
      </c>
      <c r="AH10" s="141">
        <f>+Ausgrid!AD38</f>
        <v>421.95171106889359</v>
      </c>
      <c r="AI10" s="142"/>
      <c r="AJ10" s="141">
        <v>386.49680072313265</v>
      </c>
      <c r="AK10" s="157"/>
      <c r="AL10" s="143">
        <f>+Ausgrid!AI38</f>
        <v>393.99799115498598</v>
      </c>
      <c r="AM10" s="142"/>
      <c r="AN10" s="147">
        <f>+AJ10-AH10</f>
        <v>-35.454910345760936</v>
      </c>
      <c r="AO10" s="148">
        <f t="shared" si="2"/>
        <v>-8.4025990215672058E-2</v>
      </c>
      <c r="AP10" s="147">
        <f t="shared" si="12"/>
        <v>7.5011904318533311</v>
      </c>
      <c r="AQ10" s="148">
        <f t="shared" si="13"/>
        <v>1.9408156594876488E-2</v>
      </c>
      <c r="AR10" s="147">
        <f t="shared" si="14"/>
        <v>-27.953719913907605</v>
      </c>
      <c r="AS10" s="148">
        <f t="shared" si="15"/>
        <v>-6.6248623196940887E-2</v>
      </c>
      <c r="AU10" s="139"/>
      <c r="AV10" s="140" t="s">
        <v>159</v>
      </c>
      <c r="AW10" s="141">
        <f>+Ausgrid!AD38</f>
        <v>421.95171106889359</v>
      </c>
      <c r="AX10" s="142"/>
      <c r="AY10" s="157">
        <v>386.49680072313265</v>
      </c>
      <c r="AZ10" s="157"/>
      <c r="BA10" s="143">
        <f>+Ausgrid!AR38</f>
        <v>393.99799115498598</v>
      </c>
      <c r="BB10" s="142"/>
      <c r="BC10" s="147">
        <f>+AY10-AW10</f>
        <v>-35.454910345760936</v>
      </c>
      <c r="BD10" s="148">
        <f t="shared" si="3"/>
        <v>-8.4025990215672058E-2</v>
      </c>
      <c r="BE10" s="147">
        <f t="shared" si="16"/>
        <v>7.5011904318533311</v>
      </c>
      <c r="BF10" s="148">
        <f t="shared" si="17"/>
        <v>1.9408156594876488E-2</v>
      </c>
      <c r="BG10" s="147">
        <f t="shared" si="18"/>
        <v>-27.953719913907605</v>
      </c>
      <c r="BH10" s="148">
        <f t="shared" si="19"/>
        <v>-6.6248623196940887E-2</v>
      </c>
    </row>
    <row r="11" spans="1:60" ht="15.75" customHeight="1" x14ac:dyDescent="0.3">
      <c r="A11" s="19"/>
      <c r="B11" s="139"/>
      <c r="C11" s="140" t="s">
        <v>192</v>
      </c>
      <c r="D11" s="141">
        <f>+Ausgrid!L39</f>
        <v>117.87712650472736</v>
      </c>
      <c r="E11" s="149">
        <f>+D11/D12</f>
        <v>5.998835954439051E-2</v>
      </c>
      <c r="F11" s="141">
        <v>112.47166286694642</v>
      </c>
      <c r="G11" s="741">
        <f>+F11/F12</f>
        <v>5.9984886862371425E-2</v>
      </c>
      <c r="H11" s="143">
        <f>+Ausgrid!Q39</f>
        <v>113.94517949948045</v>
      </c>
      <c r="I11" s="149">
        <f>+H11/H12</f>
        <v>6.0002727487878063E-2</v>
      </c>
      <c r="J11" s="147">
        <f>+F11-D11</f>
        <v>-5.4054636377809402</v>
      </c>
      <c r="K11" s="148">
        <f t="shared" si="0"/>
        <v>-4.585676456546605E-2</v>
      </c>
      <c r="L11" s="147">
        <f t="shared" si="4"/>
        <v>1.4735166325340288</v>
      </c>
      <c r="M11" s="148">
        <f t="shared" si="5"/>
        <v>1.3101225632959599E-2</v>
      </c>
      <c r="N11" s="147">
        <f t="shared" si="6"/>
        <v>-3.9319470052469114</v>
      </c>
      <c r="O11" s="148">
        <f t="shared" si="7"/>
        <v>-3.3356318751876127E-2</v>
      </c>
      <c r="P11" s="19"/>
      <c r="Q11" s="139"/>
      <c r="R11" s="140" t="s">
        <v>192</v>
      </c>
      <c r="S11" s="141">
        <f>+Ausgrid!L39</f>
        <v>117.87712650472736</v>
      </c>
      <c r="T11" s="149">
        <f>+S11/S12</f>
        <v>5.998835954439051E-2</v>
      </c>
      <c r="U11" s="141">
        <v>113.1833930055393</v>
      </c>
      <c r="V11" s="741">
        <f>+U11/U12</f>
        <v>6.0012403502406837E-2</v>
      </c>
      <c r="W11" s="143">
        <f>Ausgrid!Z39</f>
        <v>113.59757215933314</v>
      </c>
      <c r="X11" s="149">
        <f>+W11/W12</f>
        <v>6.0009282704349257E-2</v>
      </c>
      <c r="Y11" s="147">
        <f>+U11-S11</f>
        <v>-4.6937334991880562</v>
      </c>
      <c r="Z11" s="148">
        <f t="shared" si="1"/>
        <v>-3.9818865952758173E-2</v>
      </c>
      <c r="AA11" s="147">
        <f t="shared" si="8"/>
        <v>0.41417915379383885</v>
      </c>
      <c r="AB11" s="148">
        <f t="shared" si="9"/>
        <v>3.6593632934609809E-3</v>
      </c>
      <c r="AC11" s="147">
        <f t="shared" si="10"/>
        <v>-4.2795543453942173</v>
      </c>
      <c r="AD11" s="148">
        <f t="shared" si="11"/>
        <v>-3.6305214355751958E-2</v>
      </c>
      <c r="AE11" s="19"/>
      <c r="AF11" s="139"/>
      <c r="AG11" s="140" t="s">
        <v>192</v>
      </c>
      <c r="AH11" s="141">
        <f>+Ausgrid!AD39</f>
        <v>547.52288725690687</v>
      </c>
      <c r="AI11" s="149">
        <f>+AH11/AH12</f>
        <v>0.11001062633251092</v>
      </c>
      <c r="AJ11" s="141">
        <v>268.46338116693369</v>
      </c>
      <c r="AK11" s="741">
        <f>+AJ11/AJ12</f>
        <v>6.0005226009596263E-2</v>
      </c>
      <c r="AL11" s="143">
        <f>+Ausgrid!AI39</f>
        <v>271.407323074126</v>
      </c>
      <c r="AM11" s="149">
        <f>+AL11/AL12</f>
        <v>6.0006040918444838E-2</v>
      </c>
      <c r="AN11" s="147">
        <f>+AJ11-AH11</f>
        <v>-279.05950608997318</v>
      </c>
      <c r="AO11" s="148">
        <f t="shared" si="2"/>
        <v>-0.50967642190824769</v>
      </c>
      <c r="AP11" s="147">
        <f t="shared" si="12"/>
        <v>2.9439419071923112</v>
      </c>
      <c r="AQ11" s="148">
        <f t="shared" si="13"/>
        <v>1.0965897450877048E-2</v>
      </c>
      <c r="AR11" s="147">
        <f t="shared" si="14"/>
        <v>-276.11556418278087</v>
      </c>
      <c r="AS11" s="148">
        <f t="shared" si="15"/>
        <v>-0.50429958383314644</v>
      </c>
      <c r="AU11" s="139"/>
      <c r="AV11" s="140" t="s">
        <v>192</v>
      </c>
      <c r="AW11" s="141">
        <f>+Ausgrid!AD39</f>
        <v>547.52288725690687</v>
      </c>
      <c r="AX11" s="149">
        <f>+AW11/AW12</f>
        <v>0.11001062633251092</v>
      </c>
      <c r="AY11" s="141">
        <v>275.8921127843887</v>
      </c>
      <c r="AZ11" s="741">
        <f>+AY11/AY12</f>
        <v>6.0002634359371185E-2</v>
      </c>
      <c r="BA11" s="143">
        <f>+Ausgrid!AR39</f>
        <v>267.02609285982817</v>
      </c>
      <c r="BB11" s="149">
        <f>+BA11/BA12</f>
        <v>6.0005863564006327E-2</v>
      </c>
      <c r="BC11" s="147">
        <f>+AY11-AW11</f>
        <v>-271.63077447251817</v>
      </c>
      <c r="BD11" s="148">
        <f t="shared" si="3"/>
        <v>-0.4961085295144283</v>
      </c>
      <c r="BE11" s="147">
        <f t="shared" si="16"/>
        <v>-8.8660199245605327</v>
      </c>
      <c r="BF11" s="148">
        <f t="shared" si="17"/>
        <v>-3.2135822351287653E-2</v>
      </c>
      <c r="BG11" s="147">
        <f t="shared" si="18"/>
        <v>-280.4967943970787</v>
      </c>
      <c r="BH11" s="148">
        <f t="shared" si="19"/>
        <v>-0.51230149629428168</v>
      </c>
    </row>
    <row r="12" spans="1:60" ht="14.5" thickBot="1" x14ac:dyDescent="0.35">
      <c r="A12" s="19"/>
      <c r="B12" s="150"/>
      <c r="C12" s="151" t="s">
        <v>55</v>
      </c>
      <c r="D12" s="152">
        <f>Ausgrid!K34</f>
        <v>1965</v>
      </c>
      <c r="E12" s="153"/>
      <c r="F12" s="152">
        <f>ROUND(SUM(F7:F11),0)</f>
        <v>1875</v>
      </c>
      <c r="G12" s="742"/>
      <c r="H12" s="152">
        <f>ROUND(SUM(H7:H11),0)</f>
        <v>1899</v>
      </c>
      <c r="I12" s="153"/>
      <c r="J12" s="154">
        <f>+ROUND(F12,0)-ROUND(D12,0)</f>
        <v>-90</v>
      </c>
      <c r="K12" s="155">
        <f t="shared" si="0"/>
        <v>-4.5801526717557252E-2</v>
      </c>
      <c r="L12" s="154">
        <f>+ROUND(H12,0)-ROUND(F12,0)</f>
        <v>24</v>
      </c>
      <c r="M12" s="155">
        <f>+L12/F12</f>
        <v>1.2800000000000001E-2</v>
      </c>
      <c r="N12" s="154">
        <f>+ROUND(H12,0)-ROUND(D12,0)</f>
        <v>-66</v>
      </c>
      <c r="O12" s="155">
        <f>+N12/D12</f>
        <v>-3.3587786259541987E-2</v>
      </c>
      <c r="P12" s="19"/>
      <c r="Q12" s="150"/>
      <c r="R12" s="151" t="s">
        <v>55</v>
      </c>
      <c r="S12" s="152">
        <f>Ausgrid!K34</f>
        <v>1965</v>
      </c>
      <c r="T12" s="153"/>
      <c r="U12" s="152">
        <f>ROUND(SUM(U7:U11),0)</f>
        <v>1886</v>
      </c>
      <c r="V12" s="744"/>
      <c r="W12" s="152">
        <f>ROUND(SUM(W7:W11),0)</f>
        <v>1893</v>
      </c>
      <c r="X12" s="153"/>
      <c r="Y12" s="154">
        <f>+ROUND(U12,0)-ROUND(S12,0)</f>
        <v>-79</v>
      </c>
      <c r="Z12" s="155">
        <f t="shared" si="1"/>
        <v>-4.020356234096692E-2</v>
      </c>
      <c r="AA12" s="154">
        <f>+ROUND(W12,0)-ROUND(U12,0)</f>
        <v>7</v>
      </c>
      <c r="AB12" s="155">
        <f>+AA12/U12</f>
        <v>3.711558854718982E-3</v>
      </c>
      <c r="AC12" s="154">
        <f>+ROUND(W12,0)-ROUND(S12,0)</f>
        <v>-72</v>
      </c>
      <c r="AD12" s="155">
        <f>+AC12/S12</f>
        <v>-3.6641221374045803E-2</v>
      </c>
      <c r="AE12" s="19"/>
      <c r="AF12" s="150"/>
      <c r="AG12" s="151" t="s">
        <v>55</v>
      </c>
      <c r="AH12" s="152">
        <f>Ausgrid!AC34</f>
        <v>4977</v>
      </c>
      <c r="AI12" s="153"/>
      <c r="AJ12" s="152">
        <f>ROUND(SUM(AJ7:AJ11),0)</f>
        <v>4474</v>
      </c>
      <c r="AK12" s="742"/>
      <c r="AL12" s="152">
        <f>ROUND(SUM(AL7:AL11),0)</f>
        <v>4523</v>
      </c>
      <c r="AM12" s="153"/>
      <c r="AN12" s="154">
        <f>+ROUND(AJ12,0)-ROUND(AH12,0)</f>
        <v>-503</v>
      </c>
      <c r="AO12" s="155">
        <f t="shared" si="2"/>
        <v>-0.10106489853325297</v>
      </c>
      <c r="AP12" s="154">
        <f>+ROUND(AL12,0)-ROUND(AJ12,0)</f>
        <v>49</v>
      </c>
      <c r="AQ12" s="155">
        <f>+AP12/AJ12</f>
        <v>1.0952168082253017E-2</v>
      </c>
      <c r="AR12" s="154">
        <f>+ROUND(AL12,0)-ROUND(AH12,0)</f>
        <v>-454</v>
      </c>
      <c r="AS12" s="155">
        <f>+AR12/AH12</f>
        <v>-9.1219610206951976E-2</v>
      </c>
      <c r="AU12" s="150"/>
      <c r="AV12" s="151" t="s">
        <v>55</v>
      </c>
      <c r="AW12" s="152">
        <f>ROUND(SUM(AW7:AW11),0)</f>
        <v>4977</v>
      </c>
      <c r="AX12" s="153"/>
      <c r="AY12" s="746">
        <f>ROUND(SUM(AY7:AY11),0)</f>
        <v>4598</v>
      </c>
      <c r="AZ12" s="742"/>
      <c r="BA12" s="152">
        <f>ROUND(SUM(BA7:BA11),0)</f>
        <v>4450</v>
      </c>
      <c r="BB12" s="153"/>
      <c r="BC12" s="154">
        <f>+ROUND(AY12,0)-ROUND(AW12,0)</f>
        <v>-379</v>
      </c>
      <c r="BD12" s="155">
        <f t="shared" si="3"/>
        <v>-7.6150291340164752E-2</v>
      </c>
      <c r="BE12" s="154">
        <f>+ROUND(BA12,0)-ROUND(AY12,0)</f>
        <v>-148</v>
      </c>
      <c r="BF12" s="155">
        <f>+BE12/AY12</f>
        <v>-3.2187907785993911E-2</v>
      </c>
      <c r="BG12" s="154">
        <f>+ROUND(BA12,0)-ROUND(AW12,0)</f>
        <v>-527</v>
      </c>
      <c r="BH12" s="155">
        <f>+BG12/AW12</f>
        <v>-0.10588708057062488</v>
      </c>
    </row>
    <row r="13" spans="1:60" ht="15.75" customHeight="1" x14ac:dyDescent="0.3">
      <c r="A13" s="19"/>
      <c r="B13" s="139" t="s">
        <v>4</v>
      </c>
      <c r="C13" s="140" t="s">
        <v>63</v>
      </c>
      <c r="D13" s="141">
        <f>+Endeavour!K35</f>
        <v>998.46091350140671</v>
      </c>
      <c r="E13" s="142"/>
      <c r="F13" s="141">
        <v>902.75924893173124</v>
      </c>
      <c r="G13" s="157"/>
      <c r="H13" s="143">
        <f>+Endeavour!P35</f>
        <v>872.62817008900561</v>
      </c>
      <c r="I13" s="142"/>
      <c r="J13" s="147">
        <f>+F13-D13</f>
        <v>-95.701664569675472</v>
      </c>
      <c r="K13" s="148">
        <f t="shared" si="0"/>
        <v>-9.5849184755834357E-2</v>
      </c>
      <c r="L13" s="147">
        <f>+H13-F13</f>
        <v>-30.131078842725628</v>
      </c>
      <c r="M13" s="148">
        <f>+L13/F13</f>
        <v>-3.3376649287593409E-2</v>
      </c>
      <c r="N13" s="145">
        <f>+H13-D13</f>
        <v>-125.8327434124011</v>
      </c>
      <c r="O13" s="146">
        <f>+N13/D13</f>
        <v>-0.12602670941933053</v>
      </c>
      <c r="P13" s="19"/>
      <c r="Q13" s="139" t="s">
        <v>4</v>
      </c>
      <c r="R13" s="140" t="s">
        <v>63</v>
      </c>
      <c r="S13" s="141">
        <f>+Endeavour!K35</f>
        <v>998.46091350140671</v>
      </c>
      <c r="T13" s="142"/>
      <c r="U13" s="141">
        <v>902.75924893173112</v>
      </c>
      <c r="V13" s="157"/>
      <c r="W13" s="143">
        <f>Endeavour!Y35</f>
        <v>872.62702419664538</v>
      </c>
      <c r="X13" s="142"/>
      <c r="Y13" s="147">
        <f>+U13-S13</f>
        <v>-95.701664569675586</v>
      </c>
      <c r="Z13" s="148">
        <f t="shared" si="1"/>
        <v>-9.5849184755834468E-2</v>
      </c>
      <c r="AA13" s="147">
        <f>+W13-U13</f>
        <v>-30.132224735085742</v>
      </c>
      <c r="AB13" s="148">
        <f>+AA13/U13</f>
        <v>-3.3377918609798052E-2</v>
      </c>
      <c r="AC13" s="145">
        <f>+W13-S13</f>
        <v>-125.83388930476133</v>
      </c>
      <c r="AD13" s="146">
        <f>+AC13/S13</f>
        <v>-0.12602785707803679</v>
      </c>
      <c r="AE13" s="19"/>
      <c r="AF13" s="139" t="s">
        <v>4</v>
      </c>
      <c r="AG13" s="140" t="s">
        <v>63</v>
      </c>
      <c r="AH13" s="141">
        <f>+Endeavour!AC35</f>
        <v>2021.8353909019456</v>
      </c>
      <c r="AI13" s="142"/>
      <c r="AJ13" s="141">
        <v>1826.5258713719954</v>
      </c>
      <c r="AK13" s="157"/>
      <c r="AL13" s="143">
        <f>+Endeavour!AH35</f>
        <v>1765.8465728347048</v>
      </c>
      <c r="AM13" s="142"/>
      <c r="AN13" s="147">
        <f>+AJ13-AH13</f>
        <v>-195.30951952995019</v>
      </c>
      <c r="AO13" s="148">
        <f t="shared" si="2"/>
        <v>-9.6600109192283026E-2</v>
      </c>
      <c r="AP13" s="147">
        <f>+AL13-AJ13</f>
        <v>-60.679298537290606</v>
      </c>
      <c r="AQ13" s="148">
        <f>+AP13/AJ13</f>
        <v>-3.3221154700486852E-2</v>
      </c>
      <c r="AR13" s="145">
        <f>+AL13-AH13</f>
        <v>-255.9888180672408</v>
      </c>
      <c r="AS13" s="146">
        <f>+AR13/AH13</f>
        <v>-0.12661209672120913</v>
      </c>
      <c r="AU13" s="139" t="s">
        <v>4</v>
      </c>
      <c r="AV13" s="140" t="s">
        <v>63</v>
      </c>
      <c r="AW13" s="141">
        <f>+Endeavour!AC35</f>
        <v>2021.8353909019456</v>
      </c>
      <c r="AX13" s="142"/>
      <c r="AY13" s="157">
        <v>1826.525871371995</v>
      </c>
      <c r="AZ13" s="157"/>
      <c r="BA13" s="143">
        <f>+Endeavour!AQ35</f>
        <v>1765.8465728347051</v>
      </c>
      <c r="BB13" s="142"/>
      <c r="BC13" s="147">
        <f>+AY13-AW13</f>
        <v>-195.30951952995065</v>
      </c>
      <c r="BD13" s="148">
        <f>+BC13/AW13</f>
        <v>-9.6600109192283262E-2</v>
      </c>
      <c r="BE13" s="147">
        <f>+BA13-AY13</f>
        <v>-60.679298537289924</v>
      </c>
      <c r="BF13" s="148">
        <f>+BE13/AY13</f>
        <v>-3.3221154700486484E-2</v>
      </c>
      <c r="BG13" s="145">
        <f>+BA13-AW13</f>
        <v>-255.98881806724057</v>
      </c>
      <c r="BH13" s="146">
        <f>+BG13/AW13</f>
        <v>-0.12661209672120902</v>
      </c>
    </row>
    <row r="14" spans="1:60" x14ac:dyDescent="0.3">
      <c r="A14" s="19"/>
      <c r="B14" s="139"/>
      <c r="C14" s="140" t="s">
        <v>62</v>
      </c>
      <c r="D14" s="141">
        <f>+Endeavour!K36</f>
        <v>836.50737499999991</v>
      </c>
      <c r="E14" s="142"/>
      <c r="F14" s="141">
        <v>910.76286950000008</v>
      </c>
      <c r="G14" s="157"/>
      <c r="H14" s="143">
        <f>+Endeavour!P36</f>
        <v>916.585852802521</v>
      </c>
      <c r="I14" s="142"/>
      <c r="J14" s="147">
        <f>+F14-D14</f>
        <v>74.255494500000168</v>
      </c>
      <c r="K14" s="148">
        <f t="shared" si="0"/>
        <v>8.8768487546209834E-2</v>
      </c>
      <c r="L14" s="147">
        <f t="shared" ref="L14:L17" si="20">+H14-F14</f>
        <v>5.8229833025209246</v>
      </c>
      <c r="M14" s="148">
        <f t="shared" ref="M14:M17" si="21">+L14/F14</f>
        <v>6.3935229438126804E-3</v>
      </c>
      <c r="N14" s="147">
        <f t="shared" ref="N14:N17" si="22">+H14-D14</f>
        <v>80.078477802521093</v>
      </c>
      <c r="O14" s="148">
        <f t="shared" ref="O14:O17" si="23">+N14/D14</f>
        <v>9.5729553851836749E-2</v>
      </c>
      <c r="P14" s="19"/>
      <c r="Q14" s="139"/>
      <c r="R14" s="140" t="s">
        <v>62</v>
      </c>
      <c r="S14" s="141">
        <f>+Endeavour!K36</f>
        <v>836.50737499999991</v>
      </c>
      <c r="T14" s="142"/>
      <c r="U14" s="141">
        <v>916.11373028430535</v>
      </c>
      <c r="V14" s="157"/>
      <c r="W14" s="143">
        <f>Endeavour!Y36</f>
        <v>908.48004851317728</v>
      </c>
      <c r="X14" s="142"/>
      <c r="Y14" s="147">
        <f>+U14-S14</f>
        <v>79.606355284305437</v>
      </c>
      <c r="Z14" s="148">
        <f t="shared" si="1"/>
        <v>9.5165156534699341E-2</v>
      </c>
      <c r="AA14" s="147">
        <f t="shared" ref="AA14:AA17" si="24">+W14-U14</f>
        <v>-7.6336817711280673</v>
      </c>
      <c r="AB14" s="148">
        <f t="shared" ref="AB14:AB17" si="25">+AA14/U14</f>
        <v>-8.332679141004733E-3</v>
      </c>
      <c r="AC14" s="147">
        <f t="shared" ref="AC14:AC17" si="26">+W14-S14</f>
        <v>71.972673513177369</v>
      </c>
      <c r="AD14" s="148">
        <f t="shared" ref="AD14:AD17" si="27">+AC14/S14</f>
        <v>8.6039496678887467E-2</v>
      </c>
      <c r="AE14" s="19"/>
      <c r="AF14" s="139"/>
      <c r="AG14" s="140" t="s">
        <v>62</v>
      </c>
      <c r="AH14" s="141">
        <f>+Endeavour!AC36</f>
        <v>1597.5537049999998</v>
      </c>
      <c r="AI14" s="142"/>
      <c r="AJ14" s="141">
        <v>1731.9200195000001</v>
      </c>
      <c r="AK14" s="157"/>
      <c r="AL14" s="143">
        <f>+Endeavour!AH36</f>
        <v>1766.9385761084025</v>
      </c>
      <c r="AM14" s="142"/>
      <c r="AN14" s="147">
        <f>+AJ14-AH14</f>
        <v>134.36631450000027</v>
      </c>
      <c r="AO14" s="148">
        <f t="shared" si="2"/>
        <v>8.4107541473856295E-2</v>
      </c>
      <c r="AP14" s="147">
        <f t="shared" ref="AP14:AP17" si="28">+AL14-AJ14</f>
        <v>35.018556608402378</v>
      </c>
      <c r="AQ14" s="148">
        <f t="shared" ref="AQ14:AQ17" si="29">+AP14/AJ14</f>
        <v>2.0219499869579501E-2</v>
      </c>
      <c r="AR14" s="147">
        <f t="shared" ref="AR14:AR17" si="30">+AL14-AH14</f>
        <v>169.38487110840265</v>
      </c>
      <c r="AS14" s="148">
        <f t="shared" ref="AS14:AS17" si="31">+AR14/AH14</f>
        <v>0.10602765376729709</v>
      </c>
      <c r="AU14" s="139"/>
      <c r="AV14" s="140" t="s">
        <v>62</v>
      </c>
      <c r="AW14" s="141">
        <f>+Endeavour!AC36</f>
        <v>1597.5537049999998</v>
      </c>
      <c r="AX14" s="142"/>
      <c r="AY14" s="157">
        <v>1759.1198764910396</v>
      </c>
      <c r="AZ14" s="157"/>
      <c r="BA14" s="143">
        <f>+Endeavour!AQ36</f>
        <v>1750.8449368341446</v>
      </c>
      <c r="BB14" s="142"/>
      <c r="BC14" s="147">
        <f>+AY14-AW14</f>
        <v>161.56617149103977</v>
      </c>
      <c r="BD14" s="148">
        <f t="shared" si="3"/>
        <v>0.10113348364150286</v>
      </c>
      <c r="BE14" s="147">
        <f t="shared" ref="BE14:BE17" si="32">+BA14-AY14</f>
        <v>-8.2749396568949578</v>
      </c>
      <c r="BF14" s="148">
        <f t="shared" ref="BF14:BF17" si="33">+BE14/AY14</f>
        <v>-4.7040226010072643E-3</v>
      </c>
      <c r="BG14" s="147">
        <f t="shared" ref="BG14:BG17" si="34">+BA14-AW14</f>
        <v>153.29123183414481</v>
      </c>
      <c r="BH14" s="148">
        <f t="shared" ref="BH14:BH17" si="35">+BG14/AW14</f>
        <v>9.5953726847727364E-2</v>
      </c>
    </row>
    <row r="15" spans="1:60" ht="15.75" customHeight="1" x14ac:dyDescent="0.3">
      <c r="A15" s="19"/>
      <c r="B15" s="139"/>
      <c r="C15" s="140" t="s">
        <v>64</v>
      </c>
      <c r="D15" s="141">
        <f>+Endeavour!K37</f>
        <v>87.407325012464099</v>
      </c>
      <c r="E15" s="142"/>
      <c r="F15" s="141">
        <v>61.619340415863817</v>
      </c>
      <c r="G15" s="157"/>
      <c r="H15" s="143">
        <f>+Endeavour!P37</f>
        <v>60.525827228913712</v>
      </c>
      <c r="I15" s="142"/>
      <c r="J15" s="147">
        <f>+F15-D15</f>
        <v>-25.787984596600282</v>
      </c>
      <c r="K15" s="148">
        <f t="shared" si="0"/>
        <v>-0.2950323052778811</v>
      </c>
      <c r="L15" s="147">
        <f t="shared" si="20"/>
        <v>-1.0935131869501049</v>
      </c>
      <c r="M15" s="148">
        <f t="shared" si="21"/>
        <v>-1.7746265694667862E-2</v>
      </c>
      <c r="N15" s="147">
        <f t="shared" si="22"/>
        <v>-26.881497783550387</v>
      </c>
      <c r="O15" s="148">
        <f t="shared" si="23"/>
        <v>-0.30754284929457731</v>
      </c>
      <c r="P15" s="19"/>
      <c r="Q15" s="139"/>
      <c r="R15" s="140" t="s">
        <v>64</v>
      </c>
      <c r="S15" s="141">
        <f>+Endeavour!K37</f>
        <v>87.407325012464099</v>
      </c>
      <c r="T15" s="142"/>
      <c r="U15" s="141">
        <v>61.61934041586381</v>
      </c>
      <c r="V15" s="157"/>
      <c r="W15" s="143">
        <f>Endeavour!Y37</f>
        <v>60.525827228913705</v>
      </c>
      <c r="X15" s="142"/>
      <c r="Y15" s="147">
        <f>+U15-S15</f>
        <v>-25.787984596600289</v>
      </c>
      <c r="Z15" s="148">
        <f t="shared" si="1"/>
        <v>-0.29503230527788121</v>
      </c>
      <c r="AA15" s="147">
        <f t="shared" si="24"/>
        <v>-1.0935131869501049</v>
      </c>
      <c r="AB15" s="148">
        <f t="shared" si="25"/>
        <v>-1.7746265694667862E-2</v>
      </c>
      <c r="AC15" s="147">
        <f t="shared" si="26"/>
        <v>-26.881497783550394</v>
      </c>
      <c r="AD15" s="148">
        <f t="shared" si="27"/>
        <v>-0.30754284929457743</v>
      </c>
      <c r="AE15" s="19"/>
      <c r="AF15" s="139"/>
      <c r="AG15" s="140" t="s">
        <v>64</v>
      </c>
      <c r="AH15" s="141">
        <f>+Endeavour!AC37</f>
        <v>178.38229594380428</v>
      </c>
      <c r="AI15" s="142"/>
      <c r="AJ15" s="141">
        <v>125.75375595074249</v>
      </c>
      <c r="AK15" s="157"/>
      <c r="AL15" s="143">
        <f>+Endeavour!AH37</f>
        <v>123.52209638553818</v>
      </c>
      <c r="AM15" s="142"/>
      <c r="AN15" s="147">
        <f>+AJ15-AH15</f>
        <v>-52.628539993061793</v>
      </c>
      <c r="AO15" s="148">
        <f t="shared" si="2"/>
        <v>-0.2950323052778811</v>
      </c>
      <c r="AP15" s="147">
        <f t="shared" si="28"/>
        <v>-2.2316595652043105</v>
      </c>
      <c r="AQ15" s="148">
        <f t="shared" si="29"/>
        <v>-1.7746265694667977E-2</v>
      </c>
      <c r="AR15" s="147">
        <f t="shared" si="30"/>
        <v>-54.860199558266103</v>
      </c>
      <c r="AS15" s="148">
        <f t="shared" si="31"/>
        <v>-0.30754284929457737</v>
      </c>
      <c r="AU15" s="139"/>
      <c r="AV15" s="140" t="s">
        <v>64</v>
      </c>
      <c r="AW15" s="141">
        <f>+Endeavour!AC37</f>
        <v>178.38229594380428</v>
      </c>
      <c r="AX15" s="142"/>
      <c r="AY15" s="157">
        <v>125.75375595074247</v>
      </c>
      <c r="AZ15" s="157"/>
      <c r="BA15" s="143">
        <f>+Endeavour!AQ37</f>
        <v>123.52209638553818</v>
      </c>
      <c r="BB15" s="142"/>
      <c r="BC15" s="147">
        <f>+AY15-AW15</f>
        <v>-52.628539993061807</v>
      </c>
      <c r="BD15" s="148">
        <f t="shared" si="3"/>
        <v>-0.29503230527788116</v>
      </c>
      <c r="BE15" s="147">
        <f t="shared" si="32"/>
        <v>-2.2316595652042963</v>
      </c>
      <c r="BF15" s="148">
        <f t="shared" si="33"/>
        <v>-1.7746265694667866E-2</v>
      </c>
      <c r="BG15" s="147">
        <f t="shared" si="34"/>
        <v>-54.860199558266103</v>
      </c>
      <c r="BH15" s="148">
        <f t="shared" si="35"/>
        <v>-0.30754284929457737</v>
      </c>
    </row>
    <row r="16" spans="1:60" x14ac:dyDescent="0.3">
      <c r="A16" s="19"/>
      <c r="B16" s="139"/>
      <c r="C16" s="140" t="s">
        <v>159</v>
      </c>
      <c r="D16" s="141">
        <f>+Endeavour!K38</f>
        <v>344.30566121810301</v>
      </c>
      <c r="E16" s="142"/>
      <c r="F16" s="141">
        <v>331.36477311233944</v>
      </c>
      <c r="G16" s="157"/>
      <c r="H16" s="143">
        <f>+Endeavour!P38</f>
        <v>338.9390569950549</v>
      </c>
      <c r="I16" s="142"/>
      <c r="J16" s="147">
        <f>+F16-D16</f>
        <v>-12.940888105763577</v>
      </c>
      <c r="K16" s="148">
        <f t="shared" si="0"/>
        <v>-3.7585464206370031E-2</v>
      </c>
      <c r="L16" s="147">
        <f t="shared" si="20"/>
        <v>7.5742838827154628</v>
      </c>
      <c r="M16" s="148">
        <f t="shared" si="21"/>
        <v>2.2857842768179905E-2</v>
      </c>
      <c r="N16" s="147">
        <f t="shared" si="22"/>
        <v>-5.3666042230481139</v>
      </c>
      <c r="O16" s="148">
        <f t="shared" si="23"/>
        <v>-1.5586744069388385E-2</v>
      </c>
      <c r="P16" s="19"/>
      <c r="Q16" s="139"/>
      <c r="R16" s="140" t="s">
        <v>159</v>
      </c>
      <c r="S16" s="141">
        <f>+Endeavour!K38</f>
        <v>344.30566121810301</v>
      </c>
      <c r="T16" s="142"/>
      <c r="U16" s="141">
        <v>331.36477311233944</v>
      </c>
      <c r="V16" s="157"/>
      <c r="W16" s="143">
        <f>Endeavour!Y38</f>
        <v>338.9390569950549</v>
      </c>
      <c r="X16" s="142"/>
      <c r="Y16" s="147">
        <f>+U16-S16</f>
        <v>-12.940888105763577</v>
      </c>
      <c r="Z16" s="148">
        <f t="shared" si="1"/>
        <v>-3.7585464206370031E-2</v>
      </c>
      <c r="AA16" s="147">
        <f t="shared" si="24"/>
        <v>7.5742838827154628</v>
      </c>
      <c r="AB16" s="148">
        <f t="shared" si="25"/>
        <v>2.2857842768179905E-2</v>
      </c>
      <c r="AC16" s="147">
        <f t="shared" si="26"/>
        <v>-5.3666042230481139</v>
      </c>
      <c r="AD16" s="148">
        <f t="shared" si="27"/>
        <v>-1.5586744069388385E-2</v>
      </c>
      <c r="AE16" s="19"/>
      <c r="AF16" s="139"/>
      <c r="AG16" s="140" t="s">
        <v>159</v>
      </c>
      <c r="AH16" s="141">
        <f>+Endeavour!AC38</f>
        <v>452.18958272305747</v>
      </c>
      <c r="AI16" s="142"/>
      <c r="AJ16" s="141">
        <v>420.71598818549637</v>
      </c>
      <c r="AK16" s="157"/>
      <c r="AL16" s="143">
        <f>+Endeavour!AH38</f>
        <v>426.18613428106448</v>
      </c>
      <c r="AM16" s="142"/>
      <c r="AN16" s="147">
        <f>+AJ16-AH16</f>
        <v>-31.473594537561098</v>
      </c>
      <c r="AO16" s="148">
        <f t="shared" si="2"/>
        <v>-6.960265282545669E-2</v>
      </c>
      <c r="AP16" s="147">
        <f t="shared" si="28"/>
        <v>5.4701460955681114</v>
      </c>
      <c r="AQ16" s="148">
        <f t="shared" si="29"/>
        <v>1.3001992434754557E-2</v>
      </c>
      <c r="AR16" s="147">
        <f t="shared" si="30"/>
        <v>-26.003448441992987</v>
      </c>
      <c r="AS16" s="148">
        <f t="shared" si="31"/>
        <v>-5.750563355617757E-2</v>
      </c>
      <c r="AU16" s="139"/>
      <c r="AV16" s="140" t="s">
        <v>159</v>
      </c>
      <c r="AW16" s="141">
        <f>+Endeavour!AC38</f>
        <v>452.18958272305747</v>
      </c>
      <c r="AX16" s="142"/>
      <c r="AY16" s="157">
        <v>420.71598818549637</v>
      </c>
      <c r="AZ16" s="157"/>
      <c r="BA16" s="143">
        <f>+Endeavour!AQ38</f>
        <v>426.18613428106448</v>
      </c>
      <c r="BB16" s="142"/>
      <c r="BC16" s="147">
        <f>+AY16-AW16</f>
        <v>-31.473594537561098</v>
      </c>
      <c r="BD16" s="148">
        <f t="shared" si="3"/>
        <v>-6.960265282545669E-2</v>
      </c>
      <c r="BE16" s="147">
        <f t="shared" si="32"/>
        <v>5.4701460955681114</v>
      </c>
      <c r="BF16" s="148">
        <f t="shared" si="33"/>
        <v>1.3001992434754557E-2</v>
      </c>
      <c r="BG16" s="147">
        <f t="shared" si="34"/>
        <v>-26.003448441992987</v>
      </c>
      <c r="BH16" s="148">
        <f t="shared" si="35"/>
        <v>-5.750563355617757E-2</v>
      </c>
    </row>
    <row r="17" spans="1:60" ht="15.75" customHeight="1" x14ac:dyDescent="0.3">
      <c r="A17" s="19"/>
      <c r="B17" s="139"/>
      <c r="C17" s="140" t="str">
        <f>+C11</f>
        <v>Retail margin</v>
      </c>
      <c r="D17" s="141">
        <f>+Endeavour!K39</f>
        <v>144.68178349353047</v>
      </c>
      <c r="E17" s="149">
        <f>+D17/D18</f>
        <v>6.0009035045014716E-2</v>
      </c>
      <c r="F17" s="141">
        <v>140.84082331659192</v>
      </c>
      <c r="G17" s="741">
        <f>+F17/F18</f>
        <v>6.0008872312139722E-2</v>
      </c>
      <c r="H17" s="143">
        <f>+Endeavour!P39</f>
        <v>139.70290896481902</v>
      </c>
      <c r="I17" s="149">
        <f>+H17/H18</f>
        <v>6.0009840620626725E-2</v>
      </c>
      <c r="J17" s="147">
        <f>+F17-D17</f>
        <v>-3.8409601769385517</v>
      </c>
      <c r="K17" s="148">
        <f t="shared" si="0"/>
        <v>-2.6547641895154704E-2</v>
      </c>
      <c r="L17" s="147">
        <f t="shared" si="20"/>
        <v>-1.1379143517729062</v>
      </c>
      <c r="M17" s="148">
        <f t="shared" si="21"/>
        <v>-8.0794355285400618E-3</v>
      </c>
      <c r="N17" s="147">
        <f t="shared" si="22"/>
        <v>-4.978874528711458</v>
      </c>
      <c r="O17" s="148">
        <f t="shared" si="23"/>
        <v>-3.4412587462568089E-2</v>
      </c>
      <c r="P17" s="19"/>
      <c r="Q17" s="139"/>
      <c r="R17" s="140" t="str">
        <f>+R11</f>
        <v>Retail margin</v>
      </c>
      <c r="S17" s="141">
        <f>+Endeavour!K39</f>
        <v>144.68178349353047</v>
      </c>
      <c r="T17" s="149">
        <f>+S17/S18</f>
        <v>6.0009035045014716E-2</v>
      </c>
      <c r="U17" s="141">
        <v>141.18236762197284</v>
      </c>
      <c r="V17" s="741">
        <f>+U17/U18</f>
        <v>6.0001006214183104E-2</v>
      </c>
      <c r="W17" s="143">
        <f>Endeavour!Y39</f>
        <v>139.18544405960392</v>
      </c>
      <c r="X17" s="149">
        <f>+W17/W18</f>
        <v>5.9993725887760314E-2</v>
      </c>
      <c r="Y17" s="147">
        <f>+U17-S17</f>
        <v>-3.4994158715576305</v>
      </c>
      <c r="Z17" s="148">
        <f t="shared" si="1"/>
        <v>-2.4186983233546528E-2</v>
      </c>
      <c r="AA17" s="147">
        <f t="shared" si="24"/>
        <v>-1.9969235623689201</v>
      </c>
      <c r="AB17" s="148">
        <f t="shared" si="25"/>
        <v>-1.414428441741283E-2</v>
      </c>
      <c r="AC17" s="147">
        <f t="shared" si="26"/>
        <v>-5.4963394339265506</v>
      </c>
      <c r="AD17" s="148">
        <f t="shared" si="27"/>
        <v>-3.7989160080904881E-2</v>
      </c>
      <c r="AE17" s="19"/>
      <c r="AF17" s="139"/>
      <c r="AG17" s="140" t="str">
        <f>+AG11</f>
        <v>Retail margin</v>
      </c>
      <c r="AH17" s="141">
        <f>+Endeavour!AC39</f>
        <v>525.27607550850462</v>
      </c>
      <c r="AI17" s="149">
        <f>+AH17/AH18</f>
        <v>0.1100054608394774</v>
      </c>
      <c r="AJ17" s="141">
        <v>262.01589159627019</v>
      </c>
      <c r="AK17" s="741">
        <f>+AJ17/AJ18</f>
        <v>5.9999059215999587E-2</v>
      </c>
      <c r="AL17" s="143">
        <f>+Endeavour!AH39</f>
        <v>260.58468380487511</v>
      </c>
      <c r="AM17" s="149">
        <f>+AL17/AL18</f>
        <v>6.0001078472225446E-2</v>
      </c>
      <c r="AN17" s="147">
        <f>+AJ17-AH17</f>
        <v>-263.26018391223442</v>
      </c>
      <c r="AO17" s="148">
        <f t="shared" si="2"/>
        <v>-0.50118441746538678</v>
      </c>
      <c r="AP17" s="147">
        <f t="shared" si="28"/>
        <v>-1.4312077913950816</v>
      </c>
      <c r="AQ17" s="148">
        <f t="shared" si="29"/>
        <v>-5.4622938428497015E-3</v>
      </c>
      <c r="AR17" s="147">
        <f t="shared" si="30"/>
        <v>-264.69139170362951</v>
      </c>
      <c r="AS17" s="148">
        <f t="shared" si="31"/>
        <v>-0.5039090947505831</v>
      </c>
      <c r="AU17" s="139"/>
      <c r="AV17" s="140" t="str">
        <f>+AV11</f>
        <v>Retail margin</v>
      </c>
      <c r="AW17" s="141">
        <f>+Endeavour!AC39</f>
        <v>525.27607550850462</v>
      </c>
      <c r="AX17" s="149">
        <f>+AW17/AW18</f>
        <v>0.1100054608394774</v>
      </c>
      <c r="AY17" s="141">
        <v>263.75205268080481</v>
      </c>
      <c r="AZ17" s="741">
        <f>+AY17/AY18</f>
        <v>5.9998192147589814E-2</v>
      </c>
      <c r="BA17" s="143">
        <f>+Endeavour!AQ39</f>
        <v>259.55743023417836</v>
      </c>
      <c r="BB17" s="149">
        <f>+BA17/BA18</f>
        <v>5.9999405971839656E-2</v>
      </c>
      <c r="BC17" s="147">
        <f>+AY17-AW17</f>
        <v>-261.52402282769981</v>
      </c>
      <c r="BD17" s="148">
        <f t="shared" si="3"/>
        <v>-0.49787918205588544</v>
      </c>
      <c r="BE17" s="147">
        <f t="shared" si="32"/>
        <v>-4.1946224466264539</v>
      </c>
      <c r="BF17" s="148">
        <f t="shared" si="33"/>
        <v>-1.5903658015139033E-2</v>
      </c>
      <c r="BG17" s="147">
        <f t="shared" si="34"/>
        <v>-265.71864527432626</v>
      </c>
      <c r="BH17" s="148">
        <f t="shared" si="35"/>
        <v>-0.50586473982675051</v>
      </c>
    </row>
    <row r="18" spans="1:60" ht="14.5" thickBot="1" x14ac:dyDescent="0.35">
      <c r="A18" s="19"/>
      <c r="B18" s="150"/>
      <c r="C18" s="151" t="s">
        <v>55</v>
      </c>
      <c r="D18" s="152">
        <f>Endeavour!J34</f>
        <v>2411</v>
      </c>
      <c r="E18" s="153"/>
      <c r="F18" s="152">
        <f>ROUND(SUM(F13:F17),0)</f>
        <v>2347</v>
      </c>
      <c r="G18" s="742"/>
      <c r="H18" s="152">
        <f>ROUND(SUM(H13:H17),0)</f>
        <v>2328</v>
      </c>
      <c r="I18" s="153"/>
      <c r="J18" s="154">
        <f>+ROUND(F18,0)-ROUND(D18,0)</f>
        <v>-64</v>
      </c>
      <c r="K18" s="155">
        <f t="shared" si="0"/>
        <v>-2.6545002073828285E-2</v>
      </c>
      <c r="L18" s="154">
        <f>+ROUND(H18,0)-ROUND(F18,0)</f>
        <v>-19</v>
      </c>
      <c r="M18" s="155">
        <f>+L18/F18</f>
        <v>-8.0954409884959524E-3</v>
      </c>
      <c r="N18" s="154">
        <f>+ROUND(H18,0)-ROUND(D18,0)</f>
        <v>-83</v>
      </c>
      <c r="O18" s="155">
        <f>+N18/D18</f>
        <v>-3.4425549564496061E-2</v>
      </c>
      <c r="P18" s="19"/>
      <c r="Q18" s="150"/>
      <c r="R18" s="151" t="s">
        <v>55</v>
      </c>
      <c r="S18" s="152">
        <f>Endeavour!J34</f>
        <v>2411</v>
      </c>
      <c r="T18" s="153"/>
      <c r="U18" s="152">
        <f t="shared" ref="U18" si="36">ROUND(SUM(U13:U17),0)</f>
        <v>2353</v>
      </c>
      <c r="V18" s="744"/>
      <c r="W18" s="152">
        <f>ROUND(SUM(W13:W17),0)</f>
        <v>2320</v>
      </c>
      <c r="X18" s="153"/>
      <c r="Y18" s="154">
        <f>+ROUND(U18,0)-ROUND(S18,0)</f>
        <v>-58</v>
      </c>
      <c r="Z18" s="155">
        <f t="shared" si="1"/>
        <v>-2.4056408129406886E-2</v>
      </c>
      <c r="AA18" s="154">
        <f>+ROUND(W18,0)-ROUND(U18,0)</f>
        <v>-33</v>
      </c>
      <c r="AB18" s="155">
        <f>+AA18/U18</f>
        <v>-1.4024649383765405E-2</v>
      </c>
      <c r="AC18" s="154">
        <f>+ROUND(W18,0)-ROUND(S18,0)</f>
        <v>-91</v>
      </c>
      <c r="AD18" s="155">
        <f>+AC18/S18</f>
        <v>-3.7743674823724593E-2</v>
      </c>
      <c r="AE18" s="19"/>
      <c r="AF18" s="150"/>
      <c r="AG18" s="151" t="s">
        <v>55</v>
      </c>
      <c r="AH18" s="152">
        <f>Endeavour!AB34</f>
        <v>4775</v>
      </c>
      <c r="AI18" s="153"/>
      <c r="AJ18" s="152">
        <f>ROUND(SUM(AJ13:AJ17),0)</f>
        <v>4367</v>
      </c>
      <c r="AK18" s="742"/>
      <c r="AL18" s="152">
        <f>ROUND(SUM(AL13:AL17),0)</f>
        <v>4343</v>
      </c>
      <c r="AM18" s="153"/>
      <c r="AN18" s="154">
        <f>+ROUND(AJ18,0)-ROUND(AH18,0)</f>
        <v>-408</v>
      </c>
      <c r="AO18" s="155">
        <f t="shared" si="2"/>
        <v>-8.5445026178010475E-2</v>
      </c>
      <c r="AP18" s="154">
        <f>+ROUND(AL18,0)-ROUND(AJ18,0)</f>
        <v>-24</v>
      </c>
      <c r="AQ18" s="155">
        <f>+AP18/AJ18</f>
        <v>-5.4957636821616673E-3</v>
      </c>
      <c r="AR18" s="154">
        <f>+ROUND(AL18,0)-ROUND(AH18,0)</f>
        <v>-432</v>
      </c>
      <c r="AS18" s="155">
        <f>+AR18/AH18</f>
        <v>-9.0471204188481674E-2</v>
      </c>
      <c r="AU18" s="150"/>
      <c r="AV18" s="151" t="s">
        <v>55</v>
      </c>
      <c r="AW18" s="152">
        <f>ROUND(SUM(AW13:AW17),0)</f>
        <v>4775</v>
      </c>
      <c r="AX18" s="153"/>
      <c r="AY18" s="746">
        <f>ROUND(SUM(AY13:AY17),0)</f>
        <v>4396</v>
      </c>
      <c r="AZ18" s="742"/>
      <c r="BA18" s="152">
        <f>ROUND(SUM(BA13:BA17),0)</f>
        <v>4326</v>
      </c>
      <c r="BB18" s="153"/>
      <c r="BC18" s="154">
        <f>+ROUND(AY18,0)-ROUND(AW18,0)</f>
        <v>-379</v>
      </c>
      <c r="BD18" s="155">
        <f t="shared" si="3"/>
        <v>-7.9371727748691098E-2</v>
      </c>
      <c r="BE18" s="154">
        <f>+ROUND(BA18,0)-ROUND(AY18,0)</f>
        <v>-70</v>
      </c>
      <c r="BF18" s="155">
        <f>+BE18/AY18</f>
        <v>-1.5923566878980892E-2</v>
      </c>
      <c r="BG18" s="154">
        <f>+ROUND(BA18,0)-ROUND(AW18,0)</f>
        <v>-449</v>
      </c>
      <c r="BH18" s="155">
        <f>+BG18/AW18</f>
        <v>-9.4031413612565451E-2</v>
      </c>
    </row>
    <row r="19" spans="1:60" x14ac:dyDescent="0.3">
      <c r="A19" s="19"/>
      <c r="B19" s="139" t="s">
        <v>3</v>
      </c>
      <c r="C19" s="140" t="s">
        <v>63</v>
      </c>
      <c r="D19" s="141">
        <f>+Essential!K35</f>
        <v>903.45227990993703</v>
      </c>
      <c r="E19" s="142"/>
      <c r="F19" s="141">
        <v>795.51609306521425</v>
      </c>
      <c r="G19" s="157"/>
      <c r="H19" s="143">
        <f>+Essential!P35</f>
        <v>779.32358526104281</v>
      </c>
      <c r="I19" s="142"/>
      <c r="J19" s="147">
        <f>+F19-D19</f>
        <v>-107.93618684472278</v>
      </c>
      <c r="K19" s="148">
        <f t="shared" si="0"/>
        <v>-0.11947082236095821</v>
      </c>
      <c r="L19" s="147">
        <f>+H19-F19</f>
        <v>-16.192507804171441</v>
      </c>
      <c r="M19" s="148">
        <f>+L19/F19</f>
        <v>-2.0354720596260801E-2</v>
      </c>
      <c r="N19" s="145">
        <f>+H19-D19</f>
        <v>-124.12869464889422</v>
      </c>
      <c r="O19" s="146">
        <f>+N19/D19</f>
        <v>-0.1373937477486562</v>
      </c>
      <c r="P19" s="19"/>
      <c r="Q19" s="139" t="s">
        <v>3</v>
      </c>
      <c r="R19" s="140" t="s">
        <v>63</v>
      </c>
      <c r="S19" s="141">
        <f>+Essential!K35</f>
        <v>903.45227990993703</v>
      </c>
      <c r="T19" s="142"/>
      <c r="U19" s="141">
        <v>795.51609306521414</v>
      </c>
      <c r="V19" s="157"/>
      <c r="W19" s="143">
        <f>Essential!Y35</f>
        <v>779.32358526104292</v>
      </c>
      <c r="X19" s="142"/>
      <c r="Y19" s="147">
        <f>+U19-S19</f>
        <v>-107.9361868447229</v>
      </c>
      <c r="Z19" s="148">
        <f t="shared" si="1"/>
        <v>-0.11947082236095834</v>
      </c>
      <c r="AA19" s="147">
        <f>+W19-U19</f>
        <v>-16.192507804171214</v>
      </c>
      <c r="AB19" s="148">
        <f>+AA19/U19</f>
        <v>-2.035472059626052E-2</v>
      </c>
      <c r="AC19" s="145">
        <f>+W19-S19</f>
        <v>-124.12869464889411</v>
      </c>
      <c r="AD19" s="146">
        <f>+AC19/S19</f>
        <v>-0.13739374774865606</v>
      </c>
      <c r="AE19" s="19"/>
      <c r="AF19" s="139" t="s">
        <v>3</v>
      </c>
      <c r="AG19" s="140" t="s">
        <v>63</v>
      </c>
      <c r="AH19" s="141">
        <f>+Essential!AC35</f>
        <v>1946.1611845522723</v>
      </c>
      <c r="AI19" s="142"/>
      <c r="AJ19" s="141">
        <v>1711.5173001072228</v>
      </c>
      <c r="AK19" s="157"/>
      <c r="AL19" s="143">
        <f>+Essential!AH35</f>
        <v>1677.2328210022667</v>
      </c>
      <c r="AM19" s="142"/>
      <c r="AN19" s="147">
        <f>+AJ19-AH19</f>
        <v>-234.64388444504948</v>
      </c>
      <c r="AO19" s="148">
        <f t="shared" si="2"/>
        <v>-0.12056754923874967</v>
      </c>
      <c r="AP19" s="147">
        <f>+AL19-AJ19</f>
        <v>-34.284479104956063</v>
      </c>
      <c r="AQ19" s="148">
        <f>+AP19/AJ19</f>
        <v>-2.003162872078957E-2</v>
      </c>
      <c r="AR19" s="145">
        <f>+AL19-AH19</f>
        <v>-268.92836355000554</v>
      </c>
      <c r="AS19" s="146">
        <f>+AR19/AH19</f>
        <v>-0.13818401357741308</v>
      </c>
      <c r="AU19" s="139" t="s">
        <v>3</v>
      </c>
      <c r="AV19" s="140" t="s">
        <v>63</v>
      </c>
      <c r="AW19" s="141">
        <f>+Essential!AC35</f>
        <v>1946.1611845522723</v>
      </c>
      <c r="AX19" s="142"/>
      <c r="AY19" s="157">
        <v>1711.5173001072228</v>
      </c>
      <c r="AZ19" s="157"/>
      <c r="BA19" s="143">
        <f>+Essential!AQ35</f>
        <v>1677.232821002267</v>
      </c>
      <c r="BB19" s="142"/>
      <c r="BC19" s="147">
        <f>+AY19-AW19</f>
        <v>-234.64388444504948</v>
      </c>
      <c r="BD19" s="148">
        <f t="shared" si="3"/>
        <v>-0.12056754923874967</v>
      </c>
      <c r="BE19" s="147">
        <f>+BA19-AY19</f>
        <v>-34.284479104955835</v>
      </c>
      <c r="BF19" s="148">
        <f>+BE19/AY19</f>
        <v>-2.0031628720789434E-2</v>
      </c>
      <c r="BG19" s="145">
        <f>+BA19-AW19</f>
        <v>-268.92836355000532</v>
      </c>
      <c r="BH19" s="146">
        <f>+BG19/AW19</f>
        <v>-0.13818401357741297</v>
      </c>
    </row>
    <row r="20" spans="1:60" x14ac:dyDescent="0.3">
      <c r="A20" s="19"/>
      <c r="B20" s="139"/>
      <c r="C20" s="140" t="s">
        <v>62</v>
      </c>
      <c r="D20" s="141">
        <f>+Essential!K36</f>
        <v>1248.9808649440904</v>
      </c>
      <c r="E20" s="142"/>
      <c r="F20" s="141">
        <v>1191.3280992987036</v>
      </c>
      <c r="G20" s="157"/>
      <c r="H20" s="143">
        <f>+Essential!P36</f>
        <v>1283.0279552152908</v>
      </c>
      <c r="I20" s="142"/>
      <c r="J20" s="147">
        <f>+F20-D20</f>
        <v>-57.652765645386808</v>
      </c>
      <c r="K20" s="148">
        <f t="shared" si="0"/>
        <v>-4.6159847010920851E-2</v>
      </c>
      <c r="L20" s="147">
        <f t="shared" ref="L20:L23" si="37">+H20-F20</f>
        <v>91.699855916587239</v>
      </c>
      <c r="M20" s="148">
        <f t="shared" ref="M20:M23" si="38">+L20/F20</f>
        <v>7.6972796973871424E-2</v>
      </c>
      <c r="N20" s="147">
        <f t="shared" ref="N20:N23" si="39">+H20-D20</f>
        <v>34.047090271200432</v>
      </c>
      <c r="O20" s="148">
        <f t="shared" ref="O20:O23" si="40">+N20/D20</f>
        <v>2.7259897430633992E-2</v>
      </c>
      <c r="P20" s="19"/>
      <c r="Q20" s="139"/>
      <c r="R20" s="140" t="s">
        <v>62</v>
      </c>
      <c r="S20" s="141">
        <f>+Essential!K36</f>
        <v>1248.9808649440904</v>
      </c>
      <c r="T20" s="142"/>
      <c r="U20" s="141">
        <v>1191.3280992987036</v>
      </c>
      <c r="V20" s="157"/>
      <c r="W20" s="143">
        <f>Essential!Y36</f>
        <v>1213.287998400393</v>
      </c>
      <c r="X20" s="142"/>
      <c r="Y20" s="147">
        <f>+U20-S20</f>
        <v>-57.652765645386808</v>
      </c>
      <c r="Z20" s="148">
        <f t="shared" si="1"/>
        <v>-4.6159847010920851E-2</v>
      </c>
      <c r="AA20" s="147">
        <f t="shared" ref="AA20:AA23" si="41">+W20-U20</f>
        <v>21.959899101689416</v>
      </c>
      <c r="AB20" s="148">
        <f t="shared" ref="AB20:AB23" si="42">+AA20/U20</f>
        <v>1.8433124438697032E-2</v>
      </c>
      <c r="AC20" s="147">
        <f t="shared" ref="AC20:AC23" si="43">+W20-S20</f>
        <v>-35.692866543697392</v>
      </c>
      <c r="AD20" s="148">
        <f t="shared" ref="AD20:AD23" si="44">+AC20/S20</f>
        <v>-2.857759277624734E-2</v>
      </c>
      <c r="AE20" s="19"/>
      <c r="AF20" s="139"/>
      <c r="AG20" s="140" t="s">
        <v>62</v>
      </c>
      <c r="AH20" s="141">
        <f>+Essential!AC36</f>
        <v>2959.1444552068538</v>
      </c>
      <c r="AI20" s="142"/>
      <c r="AJ20" s="141">
        <v>2358.6750373062355</v>
      </c>
      <c r="AK20" s="157"/>
      <c r="AL20" s="143">
        <f>+Essential!AH36</f>
        <v>2964.6714608656716</v>
      </c>
      <c r="AM20" s="142"/>
      <c r="AN20" s="147">
        <f>+AJ20-AH20</f>
        <v>-600.46941790061828</v>
      </c>
      <c r="AO20" s="148">
        <f t="shared" si="2"/>
        <v>-0.20291994087819668</v>
      </c>
      <c r="AP20" s="147">
        <f t="shared" ref="AP20:AP23" si="45">+AL20-AJ20</f>
        <v>605.99642355943615</v>
      </c>
      <c r="AQ20" s="148">
        <f t="shared" ref="AQ20:AQ23" si="46">+AP20/AJ20</f>
        <v>0.25692238819448593</v>
      </c>
      <c r="AR20" s="147">
        <f t="shared" ref="AR20:AR23" si="47">+AL20-AH20</f>
        <v>5.5270056588178704</v>
      </c>
      <c r="AS20" s="148">
        <f t="shared" ref="AS20:AS23" si="48">+AR20/AH20</f>
        <v>1.8677714935790503E-3</v>
      </c>
      <c r="AU20" s="139"/>
      <c r="AV20" s="140" t="s">
        <v>62</v>
      </c>
      <c r="AW20" s="141">
        <f>+Essential!AC36</f>
        <v>2959.1444552068538</v>
      </c>
      <c r="AX20" s="142"/>
      <c r="AY20" s="157">
        <v>2358.6750373062355</v>
      </c>
      <c r="AZ20" s="157"/>
      <c r="BA20" s="143">
        <f>+Essential!AQ36</f>
        <v>2402.0189060190924</v>
      </c>
      <c r="BB20" s="142"/>
      <c r="BC20" s="147">
        <f>+AY20-AW20</f>
        <v>-600.46941790061828</v>
      </c>
      <c r="BD20" s="148">
        <f t="shared" si="3"/>
        <v>-0.20291994087819668</v>
      </c>
      <c r="BE20" s="147">
        <f t="shared" ref="BE20:BE23" si="49">+BA20-AY20</f>
        <v>43.343868712856874</v>
      </c>
      <c r="BF20" s="148">
        <f t="shared" ref="BF20:BF23" si="50">+BE20/AY20</f>
        <v>1.8376363011989336E-2</v>
      </c>
      <c r="BG20" s="147">
        <f t="shared" ref="BG20:BG23" si="51">+BA20-AW20</f>
        <v>-557.12554918776141</v>
      </c>
      <c r="BH20" s="148">
        <f t="shared" ref="BH20:BH23" si="52">+BG20/AW20</f>
        <v>-0.1882725083621565</v>
      </c>
    </row>
    <row r="21" spans="1:60" x14ac:dyDescent="0.3">
      <c r="A21" s="19"/>
      <c r="B21" s="139"/>
      <c r="C21" s="140" t="s">
        <v>64</v>
      </c>
      <c r="D21" s="141">
        <f>+Essential!K37</f>
        <v>80.170406567593488</v>
      </c>
      <c r="E21" s="142"/>
      <c r="F21" s="141">
        <v>56.517546702891401</v>
      </c>
      <c r="G21" s="157"/>
      <c r="H21" s="143">
        <f>+Essential!P37</f>
        <v>56.083191877421427</v>
      </c>
      <c r="I21" s="142"/>
      <c r="J21" s="147">
        <f>+F21-D21</f>
        <v>-23.652859864702087</v>
      </c>
      <c r="K21" s="148">
        <f t="shared" si="0"/>
        <v>-0.2950323052778811</v>
      </c>
      <c r="L21" s="147">
        <f t="shared" si="37"/>
        <v>-0.43435482546997406</v>
      </c>
      <c r="M21" s="148">
        <f t="shared" si="38"/>
        <v>-7.685309267816339E-3</v>
      </c>
      <c r="N21" s="147">
        <f t="shared" si="39"/>
        <v>-24.087214690172061</v>
      </c>
      <c r="O21" s="148">
        <f t="shared" si="40"/>
        <v>-0.30045020003564016</v>
      </c>
      <c r="P21" s="19"/>
      <c r="Q21" s="139"/>
      <c r="R21" s="140" t="s">
        <v>64</v>
      </c>
      <c r="S21" s="141">
        <f>+Essential!K37</f>
        <v>80.170406567593488</v>
      </c>
      <c r="T21" s="142"/>
      <c r="U21" s="141">
        <v>56.517546702891401</v>
      </c>
      <c r="V21" s="157"/>
      <c r="W21" s="143">
        <f>Essential!Y37</f>
        <v>56.083191877421427</v>
      </c>
      <c r="X21" s="142"/>
      <c r="Y21" s="147">
        <f>+U21-S21</f>
        <v>-23.652859864702087</v>
      </c>
      <c r="Z21" s="148">
        <f t="shared" si="1"/>
        <v>-0.2950323052778811</v>
      </c>
      <c r="AA21" s="147">
        <f t="shared" si="41"/>
        <v>-0.43435482546997406</v>
      </c>
      <c r="AB21" s="148">
        <f t="shared" si="42"/>
        <v>-7.685309267816339E-3</v>
      </c>
      <c r="AC21" s="147">
        <f t="shared" si="43"/>
        <v>-24.087214690172061</v>
      </c>
      <c r="AD21" s="148">
        <f t="shared" si="44"/>
        <v>-0.30045020003564016</v>
      </c>
      <c r="AE21" s="19"/>
      <c r="AF21" s="139"/>
      <c r="AG21" s="140" t="s">
        <v>64</v>
      </c>
      <c r="AH21" s="141">
        <f>+Essential!AC37</f>
        <v>174.28349253824669</v>
      </c>
      <c r="AI21" s="142"/>
      <c r="AJ21" s="141">
        <v>122.86423196280739</v>
      </c>
      <c r="AK21" s="157"/>
      <c r="AL21" s="143">
        <f>+Essential!AH37</f>
        <v>121.91998234222049</v>
      </c>
      <c r="AM21" s="142"/>
      <c r="AN21" s="147">
        <f>+AJ21-AH21</f>
        <v>-51.419260575439296</v>
      </c>
      <c r="AO21" s="148">
        <f t="shared" si="2"/>
        <v>-0.29503230527788099</v>
      </c>
      <c r="AP21" s="147">
        <f t="shared" si="45"/>
        <v>-0.94424962058690198</v>
      </c>
      <c r="AQ21" s="148">
        <f t="shared" si="46"/>
        <v>-7.6853092678163537E-3</v>
      </c>
      <c r="AR21" s="147">
        <f t="shared" si="47"/>
        <v>-52.363510196026198</v>
      </c>
      <c r="AS21" s="148">
        <f t="shared" si="48"/>
        <v>-0.30045020003564005</v>
      </c>
      <c r="AU21" s="139"/>
      <c r="AV21" s="140" t="s">
        <v>64</v>
      </c>
      <c r="AW21" s="141">
        <f>+Essential!AC37</f>
        <v>174.28349253824669</v>
      </c>
      <c r="AX21" s="142"/>
      <c r="AY21" s="157">
        <v>122.86423196280741</v>
      </c>
      <c r="AZ21" s="157"/>
      <c r="BA21" s="143">
        <f>+Essential!AQ37</f>
        <v>121.91998234222049</v>
      </c>
      <c r="BB21" s="142"/>
      <c r="BC21" s="147">
        <f>+AY21-AW21</f>
        <v>-51.419260575439282</v>
      </c>
      <c r="BD21" s="148">
        <f t="shared" si="3"/>
        <v>-0.29503230527788094</v>
      </c>
      <c r="BE21" s="147">
        <f t="shared" si="49"/>
        <v>-0.94424962058691619</v>
      </c>
      <c r="BF21" s="148">
        <f t="shared" si="50"/>
        <v>-7.6853092678164691E-3</v>
      </c>
      <c r="BG21" s="147">
        <f t="shared" si="51"/>
        <v>-52.363510196026198</v>
      </c>
      <c r="BH21" s="148">
        <f t="shared" si="52"/>
        <v>-0.30045020003564005</v>
      </c>
    </row>
    <row r="22" spans="1:60" x14ac:dyDescent="0.3">
      <c r="A22" s="19"/>
      <c r="B22" s="139"/>
      <c r="C22" s="140" t="s">
        <v>159</v>
      </c>
      <c r="D22" s="141">
        <f>+Essential!K38</f>
        <v>343.7615024031029</v>
      </c>
      <c r="E22" s="142"/>
      <c r="F22" s="141">
        <v>321.18547558416572</v>
      </c>
      <c r="G22" s="157"/>
      <c r="H22" s="143">
        <f>+Essential!P38</f>
        <v>329.17432040236918</v>
      </c>
      <c r="I22" s="142"/>
      <c r="J22" s="147">
        <f>+F22-D22</f>
        <v>-22.57602681893718</v>
      </c>
      <c r="K22" s="148">
        <f t="shared" si="0"/>
        <v>-6.5673516845594873E-2</v>
      </c>
      <c r="L22" s="147">
        <f t="shared" si="37"/>
        <v>7.9888448182034608</v>
      </c>
      <c r="M22" s="148">
        <f t="shared" si="38"/>
        <v>2.4872995279981169E-2</v>
      </c>
      <c r="N22" s="147">
        <f t="shared" si="39"/>
        <v>-14.587182000733719</v>
      </c>
      <c r="O22" s="148">
        <f t="shared" si="40"/>
        <v>-4.243401864013395E-2</v>
      </c>
      <c r="P22" s="19"/>
      <c r="Q22" s="139"/>
      <c r="R22" s="140" t="s">
        <v>159</v>
      </c>
      <c r="S22" s="141">
        <f>+Essential!K38</f>
        <v>343.7615024031029</v>
      </c>
      <c r="T22" s="142"/>
      <c r="U22" s="141">
        <v>321.18547558416572</v>
      </c>
      <c r="V22" s="157"/>
      <c r="W22" s="143">
        <f>Essential!Y38</f>
        <v>329.17432040236918</v>
      </c>
      <c r="X22" s="142"/>
      <c r="Y22" s="147">
        <f>+U22-S22</f>
        <v>-22.57602681893718</v>
      </c>
      <c r="Z22" s="148">
        <f t="shared" si="1"/>
        <v>-6.5673516845594873E-2</v>
      </c>
      <c r="AA22" s="147">
        <f t="shared" si="41"/>
        <v>7.9888448182034608</v>
      </c>
      <c r="AB22" s="148">
        <f t="shared" si="42"/>
        <v>2.4872995279981169E-2</v>
      </c>
      <c r="AC22" s="147">
        <f t="shared" si="43"/>
        <v>-14.587182000733719</v>
      </c>
      <c r="AD22" s="148">
        <f t="shared" si="44"/>
        <v>-4.243401864013395E-2</v>
      </c>
      <c r="AE22" s="19"/>
      <c r="AF22" s="139"/>
      <c r="AG22" s="140" t="s">
        <v>159</v>
      </c>
      <c r="AH22" s="141">
        <f>+Essential!AC38</f>
        <v>458.04589127551509</v>
      </c>
      <c r="AI22" s="142"/>
      <c r="AJ22" s="141">
        <v>414.6198023469808</v>
      </c>
      <c r="AK22" s="157"/>
      <c r="AL22" s="143">
        <f>+Essential!AH38</f>
        <v>422.44183313301755</v>
      </c>
      <c r="AM22" s="142"/>
      <c r="AN22" s="147">
        <f>+AJ22-AH22</f>
        <v>-43.426088928534284</v>
      </c>
      <c r="AO22" s="148">
        <f t="shared" si="2"/>
        <v>-9.480728843043687E-2</v>
      </c>
      <c r="AP22" s="147">
        <f t="shared" si="45"/>
        <v>7.8220307860367484</v>
      </c>
      <c r="AQ22" s="148">
        <f t="shared" si="46"/>
        <v>1.8865550419347229E-2</v>
      </c>
      <c r="AR22" s="147">
        <f t="shared" si="47"/>
        <v>-35.604058142497536</v>
      </c>
      <c r="AS22" s="148">
        <f t="shared" si="48"/>
        <v>-7.773032969109564E-2</v>
      </c>
      <c r="AU22" s="139"/>
      <c r="AV22" s="140" t="s">
        <v>159</v>
      </c>
      <c r="AW22" s="141">
        <f>+Essential!AC38</f>
        <v>458.04589127551509</v>
      </c>
      <c r="AX22" s="142"/>
      <c r="AY22" s="157">
        <v>414.6198023469808</v>
      </c>
      <c r="AZ22" s="157"/>
      <c r="BA22" s="143">
        <f>+Essential!AQ38</f>
        <v>422.44183313301755</v>
      </c>
      <c r="BB22" s="142"/>
      <c r="BC22" s="147">
        <f>+AY22-AW22</f>
        <v>-43.426088928534284</v>
      </c>
      <c r="BD22" s="148">
        <f t="shared" si="3"/>
        <v>-9.480728843043687E-2</v>
      </c>
      <c r="BE22" s="147">
        <f t="shared" si="49"/>
        <v>7.8220307860367484</v>
      </c>
      <c r="BF22" s="148">
        <f t="shared" si="50"/>
        <v>1.8865550419347229E-2</v>
      </c>
      <c r="BG22" s="147">
        <f t="shared" si="51"/>
        <v>-35.604058142497536</v>
      </c>
      <c r="BH22" s="148">
        <f t="shared" si="52"/>
        <v>-7.773032969109564E-2</v>
      </c>
    </row>
    <row r="23" spans="1:60" x14ac:dyDescent="0.3">
      <c r="A23" s="19"/>
      <c r="B23" s="139"/>
      <c r="C23" s="140" t="str">
        <f>+C17</f>
        <v>Retail margin</v>
      </c>
      <c r="D23" s="141">
        <f>+Essential!K39</f>
        <v>164.44883322285477</v>
      </c>
      <c r="E23" s="149">
        <f>+D23/D24</f>
        <v>5.999592602074235E-2</v>
      </c>
      <c r="F23" s="141">
        <v>150.92854561601962</v>
      </c>
      <c r="G23" s="741">
        <f>+F23/F24</f>
        <v>6.0011350145534638E-2</v>
      </c>
      <c r="H23" s="143">
        <f>+Essential!P39</f>
        <v>156.23036506953986</v>
      </c>
      <c r="I23" s="149">
        <f>+H23/H24</f>
        <v>5.9996299949900099E-2</v>
      </c>
      <c r="J23" s="147">
        <f>+F23-D23</f>
        <v>-13.520287606835154</v>
      </c>
      <c r="K23" s="148">
        <f t="shared" si="0"/>
        <v>-8.2215770959669726E-2</v>
      </c>
      <c r="L23" s="147">
        <f t="shared" si="37"/>
        <v>5.3018194535202383</v>
      </c>
      <c r="M23" s="148">
        <f t="shared" si="38"/>
        <v>3.512800995915448E-2</v>
      </c>
      <c r="N23" s="147">
        <f t="shared" si="39"/>
        <v>-8.218468153314916</v>
      </c>
      <c r="O23" s="148">
        <f t="shared" si="40"/>
        <v>-4.9975837421586095E-2</v>
      </c>
      <c r="P23" s="19"/>
      <c r="Q23" s="139"/>
      <c r="R23" s="140" t="str">
        <f>+R17</f>
        <v>Retail margin</v>
      </c>
      <c r="S23" s="141">
        <f>+Essential!K39</f>
        <v>164.44883322285477</v>
      </c>
      <c r="T23" s="149">
        <f>+S23/S24</f>
        <v>5.999592602074235E-2</v>
      </c>
      <c r="U23" s="141">
        <v>150.92854561601962</v>
      </c>
      <c r="V23" s="741">
        <f>+U23/U24</f>
        <v>6.0011350145534638E-2</v>
      </c>
      <c r="W23" s="143">
        <f>Essential!Y39</f>
        <v>151.77887846433396</v>
      </c>
      <c r="X23" s="149">
        <f>+W23/W24</f>
        <v>5.9991651566930419E-2</v>
      </c>
      <c r="Y23" s="147">
        <f>+U23-S23</f>
        <v>-13.520287606835154</v>
      </c>
      <c r="Z23" s="148">
        <f t="shared" si="1"/>
        <v>-8.2215770959669726E-2</v>
      </c>
      <c r="AA23" s="147">
        <f t="shared" si="41"/>
        <v>0.85033284831433775</v>
      </c>
      <c r="AB23" s="148">
        <f t="shared" si="42"/>
        <v>5.6340094237553101E-3</v>
      </c>
      <c r="AC23" s="147">
        <f t="shared" si="43"/>
        <v>-12.669954758520817</v>
      </c>
      <c r="AD23" s="148">
        <f t="shared" si="44"/>
        <v>-7.7044965964282508E-2</v>
      </c>
      <c r="AE23" s="19"/>
      <c r="AF23" s="139"/>
      <c r="AG23" s="140" t="str">
        <f>+AG17</f>
        <v>Retail margin</v>
      </c>
      <c r="AH23" s="141">
        <f>+Essential!AC39</f>
        <v>684.42680066631146</v>
      </c>
      <c r="AI23" s="149">
        <f>+AH23/AH24</f>
        <v>0.11000109300326445</v>
      </c>
      <c r="AJ23" s="141">
        <v>294.10700245042062</v>
      </c>
      <c r="AK23" s="741">
        <f>+AJ23/AJ24</f>
        <v>5.9997348521097636E-2</v>
      </c>
      <c r="AL23" s="143">
        <f>+Essential!AH39</f>
        <v>331.0382615325434</v>
      </c>
      <c r="AM23" s="149">
        <f>+AL23/AL24</f>
        <v>6.0003310047588077E-2</v>
      </c>
      <c r="AN23" s="147">
        <f>+AJ23-AH23</f>
        <v>-390.31979821589084</v>
      </c>
      <c r="AO23" s="148">
        <f t="shared" si="2"/>
        <v>-0.57028713346102455</v>
      </c>
      <c r="AP23" s="147">
        <f t="shared" si="45"/>
        <v>36.931259082122779</v>
      </c>
      <c r="AQ23" s="148">
        <f t="shared" si="46"/>
        <v>0.12557082549691587</v>
      </c>
      <c r="AR23" s="147">
        <f t="shared" si="47"/>
        <v>-353.38853913376806</v>
      </c>
      <c r="AS23" s="148">
        <f t="shared" si="48"/>
        <v>-0.51632773408307941</v>
      </c>
      <c r="AU23" s="139"/>
      <c r="AV23" s="140" t="str">
        <f>+AV17</f>
        <v>Retail margin</v>
      </c>
      <c r="AW23" s="141">
        <f>+Essential!AC39</f>
        <v>684.42680066631146</v>
      </c>
      <c r="AX23" s="149">
        <f>+AW23/AW24</f>
        <v>0.11000109300326445</v>
      </c>
      <c r="AY23" s="141">
        <v>294.10700245042062</v>
      </c>
      <c r="AZ23" s="741">
        <f>+AY23/AY24</f>
        <v>5.9997348521097636E-2</v>
      </c>
      <c r="BA23" s="143">
        <f>+Essential!AQ39</f>
        <v>295.12426866999613</v>
      </c>
      <c r="BB23" s="149">
        <f>+BA23/BA24</f>
        <v>5.9996801925187256E-2</v>
      </c>
      <c r="BC23" s="147">
        <f>+AY23-AW23</f>
        <v>-390.31979821589084</v>
      </c>
      <c r="BD23" s="148">
        <f t="shared" si="3"/>
        <v>-0.57028713346102455</v>
      </c>
      <c r="BE23" s="147">
        <f t="shared" si="49"/>
        <v>1.0172662195755038</v>
      </c>
      <c r="BF23" s="148">
        <f t="shared" si="50"/>
        <v>3.4588303273975613E-3</v>
      </c>
      <c r="BG23" s="147">
        <f t="shared" si="51"/>
        <v>-389.30253199631534</v>
      </c>
      <c r="BH23" s="148">
        <f t="shared" si="52"/>
        <v>-0.56880082956616662</v>
      </c>
    </row>
    <row r="24" spans="1:60" ht="14.5" thickBot="1" x14ac:dyDescent="0.35">
      <c r="A24" s="19"/>
      <c r="B24" s="150"/>
      <c r="C24" s="151" t="s">
        <v>55</v>
      </c>
      <c r="D24" s="152">
        <f>Essential!J34</f>
        <v>2741</v>
      </c>
      <c r="E24" s="153"/>
      <c r="F24" s="152">
        <f>ROUND(SUM(F19:F23),0)</f>
        <v>2515</v>
      </c>
      <c r="G24" s="742"/>
      <c r="H24" s="152">
        <f>ROUND(SUM(H19:H23),0)</f>
        <v>2604</v>
      </c>
      <c r="I24" s="153"/>
      <c r="J24" s="154">
        <f>+ROUND(F24,0)-ROUND(D24,0)</f>
        <v>-226</v>
      </c>
      <c r="K24" s="155">
        <f t="shared" si="0"/>
        <v>-8.2451659978110173E-2</v>
      </c>
      <c r="L24" s="154">
        <f>+ROUND(H24,0)-ROUND(F24,0)</f>
        <v>89</v>
      </c>
      <c r="M24" s="155">
        <f>+L24/F24</f>
        <v>3.5387673956262425E-2</v>
      </c>
      <c r="N24" s="154">
        <f>+ROUND(H24,0)-ROUND(D24,0)</f>
        <v>-137</v>
      </c>
      <c r="O24" s="155">
        <f>+N24/D24</f>
        <v>-4.9981758482305731E-2</v>
      </c>
      <c r="P24" s="19"/>
      <c r="Q24" s="150"/>
      <c r="R24" s="151" t="s">
        <v>55</v>
      </c>
      <c r="S24" s="152">
        <f>Essential!J34</f>
        <v>2741</v>
      </c>
      <c r="T24" s="153"/>
      <c r="U24" s="152">
        <f t="shared" ref="U24" si="53">ROUND(SUM(U19:U23),0)</f>
        <v>2515</v>
      </c>
      <c r="V24" s="744"/>
      <c r="W24" s="152">
        <f>ROUND(SUM(W19:W23),0)</f>
        <v>2530</v>
      </c>
      <c r="X24" s="153"/>
      <c r="Y24" s="154">
        <f>+ROUND(U24,0)-ROUND(S24,0)</f>
        <v>-226</v>
      </c>
      <c r="Z24" s="155">
        <f t="shared" si="1"/>
        <v>-8.2451659978110173E-2</v>
      </c>
      <c r="AA24" s="154">
        <f>+ROUND(W24,0)-ROUND(U24,0)</f>
        <v>15</v>
      </c>
      <c r="AB24" s="155">
        <f>+AA24/U24</f>
        <v>5.9642147117296221E-3</v>
      </c>
      <c r="AC24" s="154">
        <f>+ROUND(W24,0)-ROUND(S24,0)</f>
        <v>-211</v>
      </c>
      <c r="AD24" s="155">
        <f>+AC24/S24</f>
        <v>-7.6979204669828535E-2</v>
      </c>
      <c r="AE24" s="19"/>
      <c r="AF24" s="150"/>
      <c r="AG24" s="151" t="s">
        <v>55</v>
      </c>
      <c r="AH24" s="152">
        <f>ROUND(SUM(AH19:AH23),0)</f>
        <v>6222</v>
      </c>
      <c r="AI24" s="153"/>
      <c r="AJ24" s="152">
        <f>ROUND(SUM(AJ19:AJ23),0)</f>
        <v>4902</v>
      </c>
      <c r="AK24" s="742"/>
      <c r="AL24" s="152">
        <f>ROUND(SUM(AL19:AL23),0)</f>
        <v>5517</v>
      </c>
      <c r="AM24" s="153"/>
      <c r="AN24" s="154">
        <f>+ROUND(AJ24,0)-ROUND(AH24,0)</f>
        <v>-1320</v>
      </c>
      <c r="AO24" s="155">
        <f t="shared" si="2"/>
        <v>-0.21215043394406943</v>
      </c>
      <c r="AP24" s="154">
        <f>+ROUND(AL24,0)-ROUND(AJ24,0)</f>
        <v>615</v>
      </c>
      <c r="AQ24" s="155">
        <f>+AP24/AJ24</f>
        <v>0.12545899632802937</v>
      </c>
      <c r="AR24" s="154">
        <f>+ROUND(AL24,0)-ROUND(AH24,0)</f>
        <v>-705</v>
      </c>
      <c r="AS24" s="155">
        <f>+AR24/AH24</f>
        <v>-0.1133076181292189</v>
      </c>
      <c r="AU24" s="150"/>
      <c r="AV24" s="151" t="s">
        <v>55</v>
      </c>
      <c r="AW24" s="152">
        <f>ROUND(SUM(AW19:AW23),0)</f>
        <v>6222</v>
      </c>
      <c r="AX24" s="153"/>
      <c r="AY24" s="746">
        <f>ROUND(SUM(AY19:AY23),0)</f>
        <v>4902</v>
      </c>
      <c r="AZ24" s="742"/>
      <c r="BA24" s="152">
        <f>ROUND(SUM(BA19:BA23),0)</f>
        <v>4919</v>
      </c>
      <c r="BB24" s="153"/>
      <c r="BC24" s="154">
        <f>+ROUND(AY24,0)-ROUND(AW24,0)</f>
        <v>-1320</v>
      </c>
      <c r="BD24" s="155">
        <f t="shared" si="3"/>
        <v>-0.21215043394406943</v>
      </c>
      <c r="BE24" s="154">
        <f>+ROUND(BA24,0)-ROUND(AY24,0)</f>
        <v>17</v>
      </c>
      <c r="BF24" s="155">
        <f>+BE24/AY24</f>
        <v>3.4679722562219501E-3</v>
      </c>
      <c r="BG24" s="154">
        <f>+ROUND(BA24,0)-ROUND(AW24,0)</f>
        <v>-1303</v>
      </c>
      <c r="BH24" s="155">
        <f>+BG24/AW24</f>
        <v>-0.20941819350691096</v>
      </c>
    </row>
    <row r="25" spans="1:60" x14ac:dyDescent="0.3">
      <c r="A25" s="19"/>
      <c r="B25" s="139" t="s">
        <v>0</v>
      </c>
      <c r="C25" s="140" t="s">
        <v>63</v>
      </c>
      <c r="D25" s="141">
        <f>+Energex!K35</f>
        <v>847.00695816791358</v>
      </c>
      <c r="E25" s="142"/>
      <c r="F25" s="141">
        <v>745.69047702915236</v>
      </c>
      <c r="G25" s="157"/>
      <c r="H25" s="143">
        <f>+Energex!P35</f>
        <v>725.05399440277358</v>
      </c>
      <c r="I25" s="142"/>
      <c r="J25" s="147">
        <f>+F25-D25</f>
        <v>-101.31648113876122</v>
      </c>
      <c r="K25" s="148">
        <f t="shared" si="0"/>
        <v>-0.11961705882311759</v>
      </c>
      <c r="L25" s="147">
        <f>+H25-F25</f>
        <v>-20.636482626378779</v>
      </c>
      <c r="M25" s="148">
        <f>+L25/F25</f>
        <v>-2.7674327703090685E-2</v>
      </c>
      <c r="N25" s="145">
        <f>+H25-D25</f>
        <v>-121.95296376514</v>
      </c>
      <c r="O25" s="146">
        <f>+N25/D25</f>
        <v>-0.14398106484145745</v>
      </c>
      <c r="P25" s="19"/>
      <c r="Q25" s="139" t="s">
        <v>0</v>
      </c>
      <c r="R25" s="140" t="s">
        <v>63</v>
      </c>
      <c r="S25" s="141">
        <f>+Energex!K35</f>
        <v>847.00695816791358</v>
      </c>
      <c r="T25" s="142"/>
      <c r="U25" s="141">
        <v>745.69047702915248</v>
      </c>
      <c r="V25" s="157"/>
      <c r="W25" s="143">
        <f>Energex!Y35</f>
        <v>725.05399440277358</v>
      </c>
      <c r="X25" s="142"/>
      <c r="Y25" s="147">
        <f>+U25-S25</f>
        <v>-101.31648113876111</v>
      </c>
      <c r="Z25" s="148">
        <f t="shared" si="1"/>
        <v>-0.11961705882311746</v>
      </c>
      <c r="AA25" s="147">
        <f>+W25-U25</f>
        <v>-20.636482626378893</v>
      </c>
      <c r="AB25" s="148">
        <f>+AA25/U25</f>
        <v>-2.7674327703090834E-2</v>
      </c>
      <c r="AC25" s="145">
        <f>+W25-S25</f>
        <v>-121.95296376514</v>
      </c>
      <c r="AD25" s="146">
        <f>+AC25/S25</f>
        <v>-0.14398106484145745</v>
      </c>
      <c r="AE25" s="19"/>
      <c r="AF25" s="139" t="s">
        <v>0</v>
      </c>
      <c r="AG25" s="140" t="s">
        <v>63</v>
      </c>
      <c r="AH25" s="141">
        <f>+Energex!AC35</f>
        <v>1823.4539633739607</v>
      </c>
      <c r="AI25" s="142"/>
      <c r="AJ25" s="141">
        <v>1603.2007435070886</v>
      </c>
      <c r="AK25" s="157"/>
      <c r="AL25" s="143">
        <f>+Energex!AH35</f>
        <v>1559.2554495712473</v>
      </c>
      <c r="AM25" s="142"/>
      <c r="AN25" s="147">
        <f>+AJ25-AH25</f>
        <v>-220.25321986687209</v>
      </c>
      <c r="AO25" s="148">
        <f t="shared" si="2"/>
        <v>-0.1207890214345388</v>
      </c>
      <c r="AP25" s="147">
        <f>+AL25-AJ25</f>
        <v>-43.945293935841391</v>
      </c>
      <c r="AQ25" s="148">
        <f>+AP25/AJ25</f>
        <v>-2.7410974024194047E-2</v>
      </c>
      <c r="AR25" s="145">
        <f>+AL25-AH25</f>
        <v>-264.19851380271348</v>
      </c>
      <c r="AS25" s="146">
        <f>+AR25/AH25</f>
        <v>-0.14488905072978289</v>
      </c>
      <c r="AU25" s="139" t="s">
        <v>0</v>
      </c>
      <c r="AV25" s="140" t="s">
        <v>63</v>
      </c>
      <c r="AW25" s="141">
        <f>+Energex!AC35</f>
        <v>1823.4539633739607</v>
      </c>
      <c r="AX25" s="142"/>
      <c r="AY25" s="157">
        <v>1603.2007435070893</v>
      </c>
      <c r="AZ25" s="157"/>
      <c r="BA25" s="143">
        <f>+Energex!AQ35</f>
        <v>1559.2554495712473</v>
      </c>
      <c r="BB25" s="142"/>
      <c r="BC25" s="147">
        <f>+AY25-AW25</f>
        <v>-220.2532198668714</v>
      </c>
      <c r="BD25" s="148">
        <f t="shared" si="3"/>
        <v>-0.12078902143453843</v>
      </c>
      <c r="BE25" s="147">
        <f>+BA25-AY25</f>
        <v>-43.945293935842074</v>
      </c>
      <c r="BF25" s="148">
        <f>+BE25/AY25</f>
        <v>-2.741097402419446E-2</v>
      </c>
      <c r="BG25" s="145">
        <f>+BA25-AW25</f>
        <v>-264.19851380271348</v>
      </c>
      <c r="BH25" s="146">
        <f>+BG25/AW25</f>
        <v>-0.14488905072978289</v>
      </c>
    </row>
    <row r="26" spans="1:60" x14ac:dyDescent="0.3">
      <c r="A26" s="19"/>
      <c r="B26" s="156"/>
      <c r="C26" s="140" t="s">
        <v>62</v>
      </c>
      <c r="D26" s="141">
        <f>+Energex!K36</f>
        <v>778.44943700626834</v>
      </c>
      <c r="E26" s="142"/>
      <c r="F26" s="141">
        <v>746.35254099459291</v>
      </c>
      <c r="G26" s="157"/>
      <c r="H26" s="143">
        <f>+Energex!P36</f>
        <v>817.46337155923118</v>
      </c>
      <c r="I26" s="142"/>
      <c r="J26" s="147">
        <f>+F26-D26</f>
        <v>-32.096896011675426</v>
      </c>
      <c r="K26" s="148">
        <f t="shared" si="0"/>
        <v>-4.1231831491988051E-2</v>
      </c>
      <c r="L26" s="147">
        <f t="shared" ref="L26:L29" si="54">+H26-F26</f>
        <v>71.110830564638263</v>
      </c>
      <c r="M26" s="148">
        <f t="shared" ref="M26:M29" si="55">+L26/F26</f>
        <v>9.5277803261546667E-2</v>
      </c>
      <c r="N26" s="147">
        <f t="shared" ref="N26:N29" si="56">+H26-D26</f>
        <v>39.013934552962837</v>
      </c>
      <c r="O26" s="148">
        <f t="shared" ref="O26:O29" si="57">+N26/D26</f>
        <v>5.0117493440551726E-2</v>
      </c>
      <c r="P26" s="19"/>
      <c r="Q26" s="156"/>
      <c r="R26" s="140" t="s">
        <v>62</v>
      </c>
      <c r="S26" s="141">
        <f>+Energex!K36</f>
        <v>778.44943700626834</v>
      </c>
      <c r="T26" s="142"/>
      <c r="U26" s="141">
        <v>746.35254099459291</v>
      </c>
      <c r="V26" s="157"/>
      <c r="W26" s="143">
        <f>Energex!Y36</f>
        <v>747.99035100319395</v>
      </c>
      <c r="X26" s="142"/>
      <c r="Y26" s="147">
        <f>+U26-S26</f>
        <v>-32.096896011675426</v>
      </c>
      <c r="Z26" s="148">
        <f t="shared" si="1"/>
        <v>-4.1231831491988051E-2</v>
      </c>
      <c r="AA26" s="147">
        <f t="shared" ref="AA26:AA29" si="58">+W26-U26</f>
        <v>1.6378100086010363</v>
      </c>
      <c r="AB26" s="148">
        <f t="shared" ref="AB26:AB29" si="59">+AA26/U26</f>
        <v>2.1944187480335809E-3</v>
      </c>
      <c r="AC26" s="147">
        <f t="shared" ref="AC26:AC29" si="60">+W26-S26</f>
        <v>-30.45908600307439</v>
      </c>
      <c r="AD26" s="148">
        <f t="shared" ref="AD26:AD29" si="61">+AC26/S26</f>
        <v>-3.9127892647996251E-2</v>
      </c>
      <c r="AE26" s="19"/>
      <c r="AF26" s="156"/>
      <c r="AG26" s="140" t="s">
        <v>62</v>
      </c>
      <c r="AH26" s="141">
        <f>+Energex!AC36</f>
        <v>1506.3711370062686</v>
      </c>
      <c r="AI26" s="142"/>
      <c r="AJ26" s="141">
        <v>1486.1650020464078</v>
      </c>
      <c r="AK26" s="157"/>
      <c r="AL26" s="143">
        <f>+Energex!AH36</f>
        <v>1626.6103642871676</v>
      </c>
      <c r="AM26" s="142"/>
      <c r="AN26" s="147">
        <f>+AJ26-AH26</f>
        <v>-20.206134959860719</v>
      </c>
      <c r="AO26" s="148">
        <f t="shared" si="2"/>
        <v>-1.3413782608725484E-2</v>
      </c>
      <c r="AP26" s="147">
        <f t="shared" ref="AP26:AP29" si="62">+AL26-AJ26</f>
        <v>140.44536224075978</v>
      </c>
      <c r="AQ26" s="148">
        <f t="shared" ref="AQ26:AQ29" si="63">+AP26/AJ26</f>
        <v>9.4501863553084903E-2</v>
      </c>
      <c r="AR26" s="147">
        <f t="shared" ref="AR26:AR29" si="64">+AL26-AH26</f>
        <v>120.23922728089906</v>
      </c>
      <c r="AS26" s="148">
        <f t="shared" ref="AS26:AS29" si="65">+AR26/AH26</f>
        <v>7.9820453490538901E-2</v>
      </c>
      <c r="AU26" s="156"/>
      <c r="AV26" s="140" t="s">
        <v>62</v>
      </c>
      <c r="AW26" s="141">
        <f>+Energex!AC36</f>
        <v>1506.3711370062686</v>
      </c>
      <c r="AX26" s="142"/>
      <c r="AY26" s="157">
        <v>1486.1650020464078</v>
      </c>
      <c r="AZ26" s="157"/>
      <c r="BA26" s="143">
        <f>+Energex!AQ36</f>
        <v>1480.1228349402083</v>
      </c>
      <c r="BB26" s="142"/>
      <c r="BC26" s="147">
        <f>+AY26-AW26</f>
        <v>-20.206134959860719</v>
      </c>
      <c r="BD26" s="148">
        <f t="shared" si="3"/>
        <v>-1.3413782608725484E-2</v>
      </c>
      <c r="BE26" s="147">
        <f t="shared" ref="BE26:BE29" si="66">+BA26-AY26</f>
        <v>-6.0421671061994857</v>
      </c>
      <c r="BF26" s="148">
        <f t="shared" ref="BF26:BF29" si="67">+BE26/AY26</f>
        <v>-4.0656098736543992E-3</v>
      </c>
      <c r="BG26" s="147">
        <f t="shared" ref="BG26:BG29" si="68">+BA26-AW26</f>
        <v>-26.248302066060205</v>
      </c>
      <c r="BH26" s="148">
        <f t="shared" ref="BH26:BH29" si="69">+BG26/AW26</f>
        <v>-1.7424857275362797E-2</v>
      </c>
    </row>
    <row r="27" spans="1:60" x14ac:dyDescent="0.3">
      <c r="A27" s="19"/>
      <c r="B27" s="139"/>
      <c r="C27" s="140" t="s">
        <v>64</v>
      </c>
      <c r="D27" s="141">
        <f>+Energex!K37</f>
        <v>60.305218339699209</v>
      </c>
      <c r="E27" s="142"/>
      <c r="F27" s="141">
        <v>42.486021228415773</v>
      </c>
      <c r="G27" s="157"/>
      <c r="H27" s="143">
        <f>+Energex!P37</f>
        <v>40.888288542467514</v>
      </c>
      <c r="I27" s="142"/>
      <c r="J27" s="147">
        <f>+F27-D27</f>
        <v>-17.819197111283437</v>
      </c>
      <c r="K27" s="148">
        <f t="shared" si="0"/>
        <v>-0.2954835021226177</v>
      </c>
      <c r="L27" s="147">
        <f t="shared" si="54"/>
        <v>-1.5977326859482588</v>
      </c>
      <c r="M27" s="148">
        <f t="shared" si="55"/>
        <v>-3.7606079358630383E-2</v>
      </c>
      <c r="N27" s="147">
        <f t="shared" si="56"/>
        <v>-19.416929797231695</v>
      </c>
      <c r="O27" s="148">
        <f t="shared" si="57"/>
        <v>-0.32197760545125892</v>
      </c>
      <c r="P27" s="19"/>
      <c r="Q27" s="139"/>
      <c r="R27" s="140" t="s">
        <v>64</v>
      </c>
      <c r="S27" s="141">
        <f>+Energex!K37</f>
        <v>60.305218339699209</v>
      </c>
      <c r="T27" s="142"/>
      <c r="U27" s="141">
        <v>42.486021228415773</v>
      </c>
      <c r="V27" s="157"/>
      <c r="W27" s="143">
        <f>Energex!Y37</f>
        <v>40.888288542467521</v>
      </c>
      <c r="X27" s="142"/>
      <c r="Y27" s="147">
        <f>+U27-S27</f>
        <v>-17.819197111283437</v>
      </c>
      <c r="Z27" s="148">
        <f t="shared" si="1"/>
        <v>-0.2954835021226177</v>
      </c>
      <c r="AA27" s="147">
        <f t="shared" si="58"/>
        <v>-1.5977326859482517</v>
      </c>
      <c r="AB27" s="148">
        <f t="shared" si="59"/>
        <v>-3.7606079358630216E-2</v>
      </c>
      <c r="AC27" s="147">
        <f t="shared" si="60"/>
        <v>-19.416929797231688</v>
      </c>
      <c r="AD27" s="148">
        <f t="shared" si="61"/>
        <v>-0.32197760545125881</v>
      </c>
      <c r="AE27" s="19"/>
      <c r="AF27" s="139"/>
      <c r="AG27" s="140" t="s">
        <v>64</v>
      </c>
      <c r="AH27" s="141">
        <f>+Energex!AC37</f>
        <v>131.09830073847655</v>
      </c>
      <c r="AI27" s="142"/>
      <c r="AJ27" s="141">
        <v>92.360915713947321</v>
      </c>
      <c r="AK27" s="157"/>
      <c r="AL27" s="143">
        <f>+Energex!AH37</f>
        <v>88.887583787972858</v>
      </c>
      <c r="AM27" s="142"/>
      <c r="AN27" s="147">
        <f>+AJ27-AH27</f>
        <v>-38.737385024529232</v>
      </c>
      <c r="AO27" s="148">
        <f t="shared" si="2"/>
        <v>-0.29548350212261787</v>
      </c>
      <c r="AP27" s="147">
        <f t="shared" si="62"/>
        <v>-3.4733319259744633</v>
      </c>
      <c r="AQ27" s="148">
        <f t="shared" si="63"/>
        <v>-3.7606079358630258E-2</v>
      </c>
      <c r="AR27" s="147">
        <f t="shared" si="64"/>
        <v>-42.210716950503695</v>
      </c>
      <c r="AS27" s="148">
        <f t="shared" si="65"/>
        <v>-0.32197760545125897</v>
      </c>
      <c r="AU27" s="139"/>
      <c r="AV27" s="140" t="s">
        <v>64</v>
      </c>
      <c r="AW27" s="141">
        <f>+Energex!AC37</f>
        <v>131.09830073847655</v>
      </c>
      <c r="AX27" s="142"/>
      <c r="AY27" s="157">
        <v>92.360915713947321</v>
      </c>
      <c r="AZ27" s="157"/>
      <c r="BA27" s="143">
        <f>+Energex!AQ37</f>
        <v>88.887583787972872</v>
      </c>
      <c r="BB27" s="142"/>
      <c r="BC27" s="147">
        <f>+AY27-AW27</f>
        <v>-38.737385024529232</v>
      </c>
      <c r="BD27" s="148">
        <f t="shared" si="3"/>
        <v>-0.29548350212261787</v>
      </c>
      <c r="BE27" s="147">
        <f t="shared" si="66"/>
        <v>-3.4733319259744491</v>
      </c>
      <c r="BF27" s="148">
        <f t="shared" si="67"/>
        <v>-3.7606079358630105E-2</v>
      </c>
      <c r="BG27" s="147">
        <f t="shared" si="68"/>
        <v>-42.210716950503681</v>
      </c>
      <c r="BH27" s="148">
        <f t="shared" si="69"/>
        <v>-0.32197760545125886</v>
      </c>
    </row>
    <row r="28" spans="1:60" x14ac:dyDescent="0.3">
      <c r="A28" s="19"/>
      <c r="B28" s="139"/>
      <c r="C28" s="140" t="s">
        <v>159</v>
      </c>
      <c r="D28" s="141">
        <f>+Energex!K38</f>
        <v>328.20341084841237</v>
      </c>
      <c r="E28" s="142"/>
      <c r="F28" s="141">
        <v>277.30741315591183</v>
      </c>
      <c r="G28" s="157"/>
      <c r="H28" s="143">
        <f>+Energex!P38</f>
        <v>285.0149914661813</v>
      </c>
      <c r="I28" s="142"/>
      <c r="J28" s="147">
        <f>+F28-D28</f>
        <v>-50.895997692500544</v>
      </c>
      <c r="K28" s="148">
        <f t="shared" si="0"/>
        <v>-0.15507455440799159</v>
      </c>
      <c r="L28" s="147">
        <f t="shared" si="54"/>
        <v>7.7075783102694686</v>
      </c>
      <c r="M28" s="148">
        <f t="shared" si="55"/>
        <v>2.7794346435073489E-2</v>
      </c>
      <c r="N28" s="147">
        <f t="shared" si="56"/>
        <v>-43.188419382231075</v>
      </c>
      <c r="O28" s="148">
        <f t="shared" si="57"/>
        <v>-0.13159040386139848</v>
      </c>
      <c r="P28" s="19"/>
      <c r="Q28" s="139"/>
      <c r="R28" s="140" t="s">
        <v>159</v>
      </c>
      <c r="S28" s="141">
        <f>+Energex!K38</f>
        <v>328.20341084841237</v>
      </c>
      <c r="T28" s="142"/>
      <c r="U28" s="141">
        <v>277.30741315591183</v>
      </c>
      <c r="V28" s="157"/>
      <c r="W28" s="143">
        <f>Energex!Y38</f>
        <v>285.0149914661813</v>
      </c>
      <c r="X28" s="142"/>
      <c r="Y28" s="147">
        <f>+U28-S28</f>
        <v>-50.895997692500544</v>
      </c>
      <c r="Z28" s="148">
        <f t="shared" si="1"/>
        <v>-0.15507455440799159</v>
      </c>
      <c r="AA28" s="147">
        <f t="shared" si="58"/>
        <v>7.7075783102694686</v>
      </c>
      <c r="AB28" s="148">
        <f t="shared" si="59"/>
        <v>2.7794346435073489E-2</v>
      </c>
      <c r="AC28" s="147">
        <f t="shared" si="60"/>
        <v>-43.188419382231075</v>
      </c>
      <c r="AD28" s="148">
        <f t="shared" si="61"/>
        <v>-0.13159040386139848</v>
      </c>
      <c r="AE28" s="19"/>
      <c r="AF28" s="139"/>
      <c r="AG28" s="140" t="s">
        <v>159</v>
      </c>
      <c r="AH28" s="141">
        <f>+Energex!AC38</f>
        <v>360.65874430137626</v>
      </c>
      <c r="AI28" s="142"/>
      <c r="AJ28" s="141">
        <v>337.91012019156528</v>
      </c>
      <c r="AK28" s="157"/>
      <c r="AL28" s="143">
        <f>+Energex!AH38</f>
        <v>342.86168869753675</v>
      </c>
      <c r="AM28" s="142"/>
      <c r="AN28" s="147">
        <f>+AJ28-AH28</f>
        <v>-22.748624109810976</v>
      </c>
      <c r="AO28" s="148">
        <f t="shared" si="2"/>
        <v>-6.3075204661616646E-2</v>
      </c>
      <c r="AP28" s="147">
        <f t="shared" si="62"/>
        <v>4.9515685059714656</v>
      </c>
      <c r="AQ28" s="148">
        <f t="shared" si="63"/>
        <v>1.4653507575222553E-2</v>
      </c>
      <c r="AR28" s="147">
        <f t="shared" si="64"/>
        <v>-17.79705560383951</v>
      </c>
      <c r="AS28" s="148">
        <f t="shared" si="65"/>
        <v>-4.9345970075711808E-2</v>
      </c>
      <c r="AU28" s="139"/>
      <c r="AV28" s="140" t="s">
        <v>159</v>
      </c>
      <c r="AW28" s="141">
        <f>+Energex!AC38</f>
        <v>360.65874430137626</v>
      </c>
      <c r="AX28" s="142"/>
      <c r="AY28" s="157">
        <v>337.91012019156528</v>
      </c>
      <c r="AZ28" s="157"/>
      <c r="BA28" s="143">
        <f>+Energex!AQ38</f>
        <v>342.86168869753675</v>
      </c>
      <c r="BB28" s="142"/>
      <c r="BC28" s="147">
        <f>+AY28-AW28</f>
        <v>-22.748624109810976</v>
      </c>
      <c r="BD28" s="148">
        <f t="shared" si="3"/>
        <v>-6.3075204661616646E-2</v>
      </c>
      <c r="BE28" s="147">
        <f t="shared" si="66"/>
        <v>4.9515685059714656</v>
      </c>
      <c r="BF28" s="148">
        <f t="shared" si="67"/>
        <v>1.4653507575222553E-2</v>
      </c>
      <c r="BG28" s="147">
        <f t="shared" si="68"/>
        <v>-17.79705560383951</v>
      </c>
      <c r="BH28" s="148">
        <f t="shared" si="69"/>
        <v>-4.9345970075711808E-2</v>
      </c>
    </row>
    <row r="29" spans="1:60" x14ac:dyDescent="0.3">
      <c r="A29" s="19"/>
      <c r="B29" s="139"/>
      <c r="C29" s="140" t="str">
        <f>+C23</f>
        <v>Retail margin</v>
      </c>
      <c r="D29" s="141">
        <f>+Energex!K39</f>
        <v>128.5509590018487</v>
      </c>
      <c r="E29" s="149">
        <f>+D29/D30</f>
        <v>5.9986448437633552E-2</v>
      </c>
      <c r="F29" s="141">
        <v>115.64913526008991</v>
      </c>
      <c r="G29" s="741">
        <f>+F29/F30</f>
        <v>6.0015119491484123E-2</v>
      </c>
      <c r="H29" s="143">
        <f>+Energex!P39</f>
        <v>119.26089229599938</v>
      </c>
      <c r="I29" s="149">
        <f>+H29/H30</f>
        <v>5.9990388478872926E-2</v>
      </c>
      <c r="J29" s="147">
        <f>+F29-D29</f>
        <v>-12.90182374175879</v>
      </c>
      <c r="K29" s="148">
        <f t="shared" si="0"/>
        <v>-0.10036349663928409</v>
      </c>
      <c r="L29" s="147">
        <f t="shared" si="54"/>
        <v>3.6117570359094771</v>
      </c>
      <c r="M29" s="148">
        <f t="shared" si="55"/>
        <v>3.1230298677000841E-2</v>
      </c>
      <c r="N29" s="147">
        <f t="shared" si="56"/>
        <v>-9.2900667058493127</v>
      </c>
      <c r="O29" s="148">
        <f t="shared" si="57"/>
        <v>-7.2267579938596269E-2</v>
      </c>
      <c r="P29" s="19"/>
      <c r="Q29" s="139"/>
      <c r="R29" s="140" t="str">
        <f>+R23</f>
        <v>Retail margin</v>
      </c>
      <c r="S29" s="141">
        <f>+Energex!K39</f>
        <v>128.5509590018487</v>
      </c>
      <c r="T29" s="149">
        <f>+S29/S30</f>
        <v>5.9986448437633552E-2</v>
      </c>
      <c r="U29" s="141">
        <v>115.64913526008991</v>
      </c>
      <c r="V29" s="741">
        <f>+U29/U30</f>
        <v>6.0015119491484123E-2</v>
      </c>
      <c r="W29" s="143">
        <f>Energex!Y39</f>
        <v>114.82644417540109</v>
      </c>
      <c r="X29" s="149">
        <f>+W29/W30</f>
        <v>5.9992917542006842E-2</v>
      </c>
      <c r="Y29" s="147">
        <f>+U29-S29</f>
        <v>-12.90182374175879</v>
      </c>
      <c r="Z29" s="148">
        <f t="shared" si="1"/>
        <v>-0.10036349663928409</v>
      </c>
      <c r="AA29" s="147">
        <f t="shared" si="58"/>
        <v>-0.82269108468881313</v>
      </c>
      <c r="AB29" s="148">
        <f t="shared" si="59"/>
        <v>-7.1136812466311697E-3</v>
      </c>
      <c r="AC29" s="147">
        <f t="shared" si="60"/>
        <v>-13.724514826447603</v>
      </c>
      <c r="AD29" s="148">
        <f t="shared" si="61"/>
        <v>-0.10676322396202606</v>
      </c>
      <c r="AE29" s="19"/>
      <c r="AF29" s="139"/>
      <c r="AG29" s="140" t="str">
        <f>+AG23</f>
        <v>Retail margin</v>
      </c>
      <c r="AH29" s="141">
        <f>+Energex!AC39</f>
        <v>472.33037752383007</v>
      </c>
      <c r="AI29" s="149">
        <f>+AH29/AH30</f>
        <v>0.10999775908799024</v>
      </c>
      <c r="AJ29" s="141">
        <v>224.657666901639</v>
      </c>
      <c r="AK29" s="741">
        <f>+AJ29/AJ30</f>
        <v>6.0004718723728367E-2</v>
      </c>
      <c r="AL29" s="143">
        <f>+Energex!AH39</f>
        <v>230.91160125599527</v>
      </c>
      <c r="AM29" s="149">
        <f>+AL29/AL30</f>
        <v>5.9992621786436807E-2</v>
      </c>
      <c r="AN29" s="147">
        <f>+AJ29-AH29</f>
        <v>-247.67271062219106</v>
      </c>
      <c r="AO29" s="148">
        <f t="shared" si="2"/>
        <v>-0.52436328978162206</v>
      </c>
      <c r="AP29" s="147">
        <f t="shared" si="62"/>
        <v>6.2539343543562609</v>
      </c>
      <c r="AQ29" s="148">
        <f t="shared" si="63"/>
        <v>2.7837618188630068E-2</v>
      </c>
      <c r="AR29" s="147">
        <f t="shared" si="64"/>
        <v>-241.4187762678348</v>
      </c>
      <c r="AS29" s="148">
        <f t="shared" si="65"/>
        <v>-0.5111226966460668</v>
      </c>
      <c r="AU29" s="139"/>
      <c r="AV29" s="140" t="str">
        <f>+AV23</f>
        <v>Retail margin</v>
      </c>
      <c r="AW29" s="141">
        <f>+Energex!AC39</f>
        <v>472.33037752383007</v>
      </c>
      <c r="AX29" s="149">
        <f>+AW29/AW30</f>
        <v>0.10999775908799024</v>
      </c>
      <c r="AY29" s="141">
        <v>224.657666901639</v>
      </c>
      <c r="AZ29" s="741">
        <f>+AY29/AY30</f>
        <v>6.0004718723728367E-2</v>
      </c>
      <c r="BA29" s="143">
        <f>+Energex!AQ39</f>
        <v>221.56133342533849</v>
      </c>
      <c r="BB29" s="149">
        <f>+BA29/BA30</f>
        <v>5.9994945417096802E-2</v>
      </c>
      <c r="BC29" s="147">
        <f>+AY29-AW29</f>
        <v>-247.67271062219106</v>
      </c>
      <c r="BD29" s="148">
        <f t="shared" si="3"/>
        <v>-0.52436328978162206</v>
      </c>
      <c r="BE29" s="147">
        <f t="shared" si="66"/>
        <v>-3.096333476300515</v>
      </c>
      <c r="BF29" s="148">
        <f t="shared" si="67"/>
        <v>-1.3782451847753634E-2</v>
      </c>
      <c r="BG29" s="147">
        <f t="shared" si="68"/>
        <v>-250.76904409849158</v>
      </c>
      <c r="BH29" s="148">
        <f t="shared" si="69"/>
        <v>-0.53091872983723087</v>
      </c>
    </row>
    <row r="30" spans="1:60" ht="14.5" thickBot="1" x14ac:dyDescent="0.35">
      <c r="A30" s="19"/>
      <c r="B30" s="150"/>
      <c r="C30" s="151" t="s">
        <v>55</v>
      </c>
      <c r="D30" s="152">
        <f>Energex!J34</f>
        <v>2143</v>
      </c>
      <c r="E30" s="153"/>
      <c r="F30" s="152">
        <f>ROUND(SUM(F25:F29),0)</f>
        <v>1927</v>
      </c>
      <c r="G30" s="742"/>
      <c r="H30" s="152">
        <f>ROUND(SUM(H25:H29),0)</f>
        <v>1988</v>
      </c>
      <c r="I30" s="153"/>
      <c r="J30" s="154">
        <f>+ROUND(F30,0)-ROUND(D30,0)</f>
        <v>-216</v>
      </c>
      <c r="K30" s="155">
        <f t="shared" si="0"/>
        <v>-0.10079328044797013</v>
      </c>
      <c r="L30" s="154">
        <f>+ROUND(H30,0)-ROUND(F30,0)</f>
        <v>61</v>
      </c>
      <c r="M30" s="155">
        <f>+L30/F30</f>
        <v>3.1655422937208098E-2</v>
      </c>
      <c r="N30" s="154">
        <f>+ROUND(H30,0)-ROUND(D30,0)</f>
        <v>-155</v>
      </c>
      <c r="O30" s="155">
        <f>+N30/D30</f>
        <v>-7.2328511432571158E-2</v>
      </c>
      <c r="P30" s="19"/>
      <c r="Q30" s="150"/>
      <c r="R30" s="151" t="s">
        <v>55</v>
      </c>
      <c r="S30" s="152">
        <f>Energex!J34</f>
        <v>2143</v>
      </c>
      <c r="T30" s="153"/>
      <c r="U30" s="152">
        <f t="shared" ref="U30" si="70">ROUND(SUM(U25:U29),0)</f>
        <v>1927</v>
      </c>
      <c r="V30" s="744"/>
      <c r="W30" s="152">
        <f>ROUND(SUM(W25:W29),0)</f>
        <v>1914</v>
      </c>
      <c r="X30" s="153"/>
      <c r="Y30" s="154">
        <f>+ROUND(U30,0)-ROUND(S30,0)</f>
        <v>-216</v>
      </c>
      <c r="Z30" s="155">
        <f t="shared" si="1"/>
        <v>-0.10079328044797013</v>
      </c>
      <c r="AA30" s="154">
        <f>+ROUND(W30,0)-ROUND(U30,0)</f>
        <v>-13</v>
      </c>
      <c r="AB30" s="155">
        <f>+AA30/U30</f>
        <v>-6.7462376751427086E-3</v>
      </c>
      <c r="AC30" s="154">
        <f>+ROUND(W30,0)-ROUND(S30,0)</f>
        <v>-229</v>
      </c>
      <c r="AD30" s="155">
        <f>+AC30/S30</f>
        <v>-0.10685954269715352</v>
      </c>
      <c r="AE30" s="19"/>
      <c r="AF30" s="150"/>
      <c r="AG30" s="151" t="s">
        <v>55</v>
      </c>
      <c r="AH30" s="152">
        <f>ROUND(SUM(AH25:AH29),0)</f>
        <v>4294</v>
      </c>
      <c r="AI30" s="153"/>
      <c r="AJ30" s="152">
        <f>ROUND(SUM(AJ25:AJ29),0)</f>
        <v>3744</v>
      </c>
      <c r="AK30" s="742"/>
      <c r="AL30" s="152">
        <f>ROUND(SUM(AL25:AL29),0)</f>
        <v>3849</v>
      </c>
      <c r="AM30" s="153"/>
      <c r="AN30" s="154">
        <f>+ROUND(AJ30,0)-ROUND(AH30,0)</f>
        <v>-550</v>
      </c>
      <c r="AO30" s="155">
        <f t="shared" si="2"/>
        <v>-0.12808570097810898</v>
      </c>
      <c r="AP30" s="154">
        <f>+ROUND(AL30,0)-ROUND(AJ30,0)</f>
        <v>105</v>
      </c>
      <c r="AQ30" s="155">
        <f>+AP30/AJ30</f>
        <v>2.8044871794871796E-2</v>
      </c>
      <c r="AR30" s="154">
        <f>+ROUND(AL30,0)-ROUND(AH30,0)</f>
        <v>-445</v>
      </c>
      <c r="AS30" s="155">
        <f>+AR30/AH30</f>
        <v>-0.10363297624592455</v>
      </c>
      <c r="AU30" s="150"/>
      <c r="AV30" s="151" t="s">
        <v>55</v>
      </c>
      <c r="AW30" s="152">
        <f>ROUND(SUM(AW25:AW29),0)</f>
        <v>4294</v>
      </c>
      <c r="AX30" s="153"/>
      <c r="AY30" s="746">
        <f>ROUND(SUM(AY25:AY29),0)</f>
        <v>3744</v>
      </c>
      <c r="AZ30" s="742"/>
      <c r="BA30" s="152">
        <f>ROUND(SUM(BA25:BA29),0)</f>
        <v>3693</v>
      </c>
      <c r="BB30" s="153"/>
      <c r="BC30" s="154">
        <f>+ROUND(AY30,0)-ROUND(AW30,0)</f>
        <v>-550</v>
      </c>
      <c r="BD30" s="155">
        <f t="shared" si="3"/>
        <v>-0.12808570097810898</v>
      </c>
      <c r="BE30" s="154">
        <f>+ROUND(BA30,0)-ROUND(AY30,0)</f>
        <v>-51</v>
      </c>
      <c r="BF30" s="155">
        <f>+BE30/AY30</f>
        <v>-1.3621794871794872E-2</v>
      </c>
      <c r="BG30" s="154">
        <f>+ROUND(BA30,0)-ROUND(AW30,0)</f>
        <v>-601</v>
      </c>
      <c r="BH30" s="155">
        <f>+BG30/AW30</f>
        <v>-0.13996273870517001</v>
      </c>
    </row>
    <row r="31" spans="1:60" x14ac:dyDescent="0.3">
      <c r="A31" s="19"/>
      <c r="B31" s="139" t="s">
        <v>5</v>
      </c>
      <c r="C31" s="140" t="s">
        <v>63</v>
      </c>
      <c r="D31" s="157">
        <f>+SAPN!K35</f>
        <v>858.79927885285167</v>
      </c>
      <c r="E31" s="142"/>
      <c r="F31" s="157">
        <v>834.55496109262162</v>
      </c>
      <c r="G31" s="157"/>
      <c r="H31" s="143">
        <f>+SAPN!P35</f>
        <v>842.80447029760967</v>
      </c>
      <c r="I31" s="142"/>
      <c r="J31" s="147">
        <f>+F31-D31</f>
        <v>-24.244317760230047</v>
      </c>
      <c r="K31" s="148">
        <f t="shared" si="0"/>
        <v>-2.8230482206057041E-2</v>
      </c>
      <c r="L31" s="147">
        <f>+H31-F31</f>
        <v>8.2495092049880441</v>
      </c>
      <c r="M31" s="148">
        <f>+L31/F31</f>
        <v>9.884920214466842E-3</v>
      </c>
      <c r="N31" s="145">
        <f>+H31-D31</f>
        <v>-15.994808555242003</v>
      </c>
      <c r="O31" s="146">
        <f>+N31/D31</f>
        <v>-1.8624618055812999E-2</v>
      </c>
      <c r="P31" s="19"/>
      <c r="Q31" s="139" t="s">
        <v>5</v>
      </c>
      <c r="R31" s="140" t="s">
        <v>63</v>
      </c>
      <c r="S31" s="157">
        <f>+SAPN!K35</f>
        <v>858.79927885285167</v>
      </c>
      <c r="T31" s="142"/>
      <c r="U31" s="157">
        <v>834.55496109262162</v>
      </c>
      <c r="V31" s="157"/>
      <c r="W31" s="143">
        <f>SAPN!Y35</f>
        <v>842.80447029760956</v>
      </c>
      <c r="X31" s="142"/>
      <c r="Y31" s="147">
        <f>+U31-S31</f>
        <v>-24.244317760230047</v>
      </c>
      <c r="Z31" s="148">
        <f t="shared" si="1"/>
        <v>-2.8230482206057041E-2</v>
      </c>
      <c r="AA31" s="147">
        <f>+W31-U31</f>
        <v>8.2495092049879304</v>
      </c>
      <c r="AB31" s="148">
        <f>+AA31/U31</f>
        <v>9.884920214466705E-3</v>
      </c>
      <c r="AC31" s="145">
        <f>+W31-S31</f>
        <v>-15.994808555242116</v>
      </c>
      <c r="AD31" s="146">
        <f>+AC31/S31</f>
        <v>-1.8624618055813131E-2</v>
      </c>
      <c r="AE31" s="19"/>
      <c r="AF31" s="139" t="s">
        <v>5</v>
      </c>
      <c r="AG31" s="140" t="s">
        <v>63</v>
      </c>
      <c r="AH31" s="157">
        <f>+SAPN!AC35</f>
        <v>2124.1700443102077</v>
      </c>
      <c r="AI31" s="142"/>
      <c r="AJ31" s="157">
        <v>2063.5592499096329</v>
      </c>
      <c r="AK31" s="157"/>
      <c r="AL31" s="143">
        <f>+SAPN!AH35</f>
        <v>2085.3542657440239</v>
      </c>
      <c r="AM31" s="142"/>
      <c r="AN31" s="147">
        <f>+AJ31-AH31</f>
        <v>-60.610794400574832</v>
      </c>
      <c r="AO31" s="148">
        <f t="shared" si="2"/>
        <v>-2.8533871176145541E-2</v>
      </c>
      <c r="AP31" s="147">
        <f>+AL31-AJ31</f>
        <v>21.795015834391052</v>
      </c>
      <c r="AQ31" s="148">
        <f>+AP31/AJ31</f>
        <v>1.056185609177226E-2</v>
      </c>
      <c r="AR31" s="145">
        <f>+AL31-AH31</f>
        <v>-38.815778566183781</v>
      </c>
      <c r="AS31" s="146">
        <f>+AR31/AH31</f>
        <v>-1.82733857254769E-2</v>
      </c>
      <c r="AU31" s="139" t="s">
        <v>5</v>
      </c>
      <c r="AV31" s="140" t="s">
        <v>63</v>
      </c>
      <c r="AW31" s="157">
        <f>+SAPN!AC35</f>
        <v>2124.1700443102077</v>
      </c>
      <c r="AX31" s="142"/>
      <c r="AY31" s="157">
        <v>2063.5592499096329</v>
      </c>
      <c r="AZ31" s="157"/>
      <c r="BA31" s="143">
        <f>+SAPN!AQ35</f>
        <v>2085.3542657440239</v>
      </c>
      <c r="BB31" s="142"/>
      <c r="BC31" s="147">
        <f>+AY31-AW31</f>
        <v>-60.610794400574832</v>
      </c>
      <c r="BD31" s="148">
        <f t="shared" si="3"/>
        <v>-2.8533871176145541E-2</v>
      </c>
      <c r="BE31" s="147">
        <f>+BA31-AY31</f>
        <v>21.795015834391052</v>
      </c>
      <c r="BF31" s="148">
        <f>+BE31/AY31</f>
        <v>1.056185609177226E-2</v>
      </c>
      <c r="BG31" s="145">
        <f>+BA31-AW31</f>
        <v>-38.815778566183781</v>
      </c>
      <c r="BH31" s="146">
        <f>+BG31/AW31</f>
        <v>-1.82733857254769E-2</v>
      </c>
    </row>
    <row r="32" spans="1:60" x14ac:dyDescent="0.3">
      <c r="A32" s="19"/>
      <c r="B32" s="156"/>
      <c r="C32" s="140" t="s">
        <v>62</v>
      </c>
      <c r="D32" s="157">
        <f>+SAPN!K36</f>
        <v>896.99139399817057</v>
      </c>
      <c r="E32" s="142"/>
      <c r="F32" s="157">
        <v>930.66592352225587</v>
      </c>
      <c r="G32" s="157"/>
      <c r="H32" s="143">
        <f>+SAPN!P36</f>
        <v>974.34236902420878</v>
      </c>
      <c r="I32" s="142"/>
      <c r="J32" s="147">
        <f>+F32-D32</f>
        <v>33.674529524085301</v>
      </c>
      <c r="K32" s="148">
        <f t="shared" si="0"/>
        <v>3.7541641702923609E-2</v>
      </c>
      <c r="L32" s="147">
        <f t="shared" ref="L32:L35" si="71">+H32-F32</f>
        <v>43.676445501952912</v>
      </c>
      <c r="M32" s="148">
        <f t="shared" ref="M32:M35" si="72">+L32/F32</f>
        <v>4.6930315592358142E-2</v>
      </c>
      <c r="N32" s="147">
        <f t="shared" ref="N32:N35" si="73">+H32-D32</f>
        <v>77.350975026038213</v>
      </c>
      <c r="O32" s="148">
        <f t="shared" ref="O32:O35" si="74">+N32/D32</f>
        <v>8.6233798388255192E-2</v>
      </c>
      <c r="P32" s="19"/>
      <c r="Q32" s="156"/>
      <c r="R32" s="140" t="s">
        <v>62</v>
      </c>
      <c r="S32" s="157">
        <f>+SAPN!K36</f>
        <v>896.99139399817057</v>
      </c>
      <c r="T32" s="142"/>
      <c r="U32" s="157">
        <v>930.66592352225587</v>
      </c>
      <c r="V32" s="157"/>
      <c r="W32" s="143">
        <f>SAPN!Y36</f>
        <v>919.90042697875083</v>
      </c>
      <c r="X32" s="142"/>
      <c r="Y32" s="147">
        <f>+U32-S32</f>
        <v>33.674529524085301</v>
      </c>
      <c r="Z32" s="148">
        <f t="shared" si="1"/>
        <v>3.7541641702923609E-2</v>
      </c>
      <c r="AA32" s="147">
        <f t="shared" ref="AA32:AA35" si="75">+W32-U32</f>
        <v>-10.765496543505037</v>
      </c>
      <c r="AB32" s="148">
        <f t="shared" ref="AB32:AB35" si="76">+AA32/U32</f>
        <v>-1.1567519849401247E-2</v>
      </c>
      <c r="AC32" s="147">
        <f t="shared" ref="AC32:AC35" si="77">+W32-S32</f>
        <v>22.909032980580264</v>
      </c>
      <c r="AD32" s="148">
        <f t="shared" ref="AD32:AD35" si="78">+AC32/S32</f>
        <v>2.5539858167944685E-2</v>
      </c>
      <c r="AE32" s="19"/>
      <c r="AF32" s="156"/>
      <c r="AG32" s="140" t="s">
        <v>62</v>
      </c>
      <c r="AH32" s="157">
        <f>+SAPN!AC36</f>
        <v>2281.9764034447339</v>
      </c>
      <c r="AI32" s="142"/>
      <c r="AJ32" s="157">
        <v>1897.9853774994567</v>
      </c>
      <c r="AK32" s="157"/>
      <c r="AL32" s="143">
        <f>+SAPN!AH36</f>
        <v>2305.0250266391299</v>
      </c>
      <c r="AM32" s="142"/>
      <c r="AN32" s="147">
        <f>+AJ32-AH32</f>
        <v>-383.99102594527722</v>
      </c>
      <c r="AO32" s="148">
        <f t="shared" si="2"/>
        <v>-0.16827125178228292</v>
      </c>
      <c r="AP32" s="147">
        <f t="shared" ref="AP32:AP35" si="79">+AL32-AJ32</f>
        <v>407.0396491396732</v>
      </c>
      <c r="AQ32" s="148">
        <f t="shared" ref="AQ32:AQ35" si="80">+AP32/AJ32</f>
        <v>0.21445879086588995</v>
      </c>
      <c r="AR32" s="147">
        <f t="shared" ref="AR32:AR35" si="81">+AL32-AH32</f>
        <v>23.048623194395987</v>
      </c>
      <c r="AS32" s="148">
        <f t="shared" ref="AS32:AS35" si="82">+AR32/AH32</f>
        <v>1.0100289888888937E-2</v>
      </c>
      <c r="AU32" s="156"/>
      <c r="AV32" s="140" t="s">
        <v>62</v>
      </c>
      <c r="AW32" s="157">
        <f>+SAPN!AC36</f>
        <v>2281.9764034447339</v>
      </c>
      <c r="AX32" s="142"/>
      <c r="AY32" s="157">
        <v>1897.9853774994567</v>
      </c>
      <c r="AZ32" s="157"/>
      <c r="BA32" s="143">
        <f>+SAPN!AQ36</f>
        <v>2028.4250922011354</v>
      </c>
      <c r="BB32" s="142"/>
      <c r="BC32" s="147">
        <f>+AY32-AW32</f>
        <v>-383.99102594527722</v>
      </c>
      <c r="BD32" s="148">
        <f t="shared" si="3"/>
        <v>-0.16827125178228292</v>
      </c>
      <c r="BE32" s="147">
        <f t="shared" ref="BE32:BE35" si="83">+BA32-AY32</f>
        <v>130.43971470167867</v>
      </c>
      <c r="BF32" s="148">
        <f t="shared" ref="BF32:BF35" si="84">+BE32/AY32</f>
        <v>6.8725352812532933E-2</v>
      </c>
      <c r="BG32" s="147">
        <f t="shared" ref="BG32:BG35" si="85">+BA32-AW32</f>
        <v>-253.55131124359855</v>
      </c>
      <c r="BH32" s="148">
        <f t="shared" ref="BH32:BH35" si="86">+BG32/AW32</f>
        <v>-0.11111040011669393</v>
      </c>
    </row>
    <row r="33" spans="1:60" x14ac:dyDescent="0.3">
      <c r="A33" s="19"/>
      <c r="B33" s="139"/>
      <c r="C33" s="140" t="s">
        <v>64</v>
      </c>
      <c r="D33" s="157">
        <f>+SAPN!K37</f>
        <v>72.246775704569899</v>
      </c>
      <c r="E33" s="142"/>
      <c r="F33" s="157">
        <v>46.335914190742251</v>
      </c>
      <c r="G33" s="157"/>
      <c r="H33" s="143">
        <f>+SAPN!P37</f>
        <v>46.721661594593286</v>
      </c>
      <c r="I33" s="142"/>
      <c r="J33" s="147">
        <f>+F33-D33</f>
        <v>-25.910861513827648</v>
      </c>
      <c r="K33" s="148">
        <f t="shared" si="0"/>
        <v>-0.35864384619435247</v>
      </c>
      <c r="L33" s="147">
        <f t="shared" si="71"/>
        <v>0.38574740385103468</v>
      </c>
      <c r="M33" s="148">
        <f t="shared" si="72"/>
        <v>8.3250198164452234E-3</v>
      </c>
      <c r="N33" s="147">
        <f t="shared" si="73"/>
        <v>-25.525114109976613</v>
      </c>
      <c r="O33" s="148">
        <f t="shared" si="74"/>
        <v>-0.35330454350452134</v>
      </c>
      <c r="P33" s="19"/>
      <c r="Q33" s="139"/>
      <c r="R33" s="140" t="s">
        <v>64</v>
      </c>
      <c r="S33" s="157">
        <f>+SAPN!K37</f>
        <v>72.246775704569899</v>
      </c>
      <c r="T33" s="142"/>
      <c r="U33" s="157">
        <v>46.335914190742251</v>
      </c>
      <c r="V33" s="157"/>
      <c r="W33" s="143">
        <f>SAPN!Y37</f>
        <v>46.721661594593286</v>
      </c>
      <c r="X33" s="142"/>
      <c r="Y33" s="147">
        <f>+U33-S33</f>
        <v>-25.910861513827648</v>
      </c>
      <c r="Z33" s="148">
        <f t="shared" si="1"/>
        <v>-0.35864384619435247</v>
      </c>
      <c r="AA33" s="147">
        <f t="shared" si="75"/>
        <v>0.38574740385103468</v>
      </c>
      <c r="AB33" s="148">
        <f t="shared" si="76"/>
        <v>8.3250198164452234E-3</v>
      </c>
      <c r="AC33" s="147">
        <f t="shared" si="77"/>
        <v>-25.525114109976613</v>
      </c>
      <c r="AD33" s="148">
        <f t="shared" si="78"/>
        <v>-0.35330454350452134</v>
      </c>
      <c r="AE33" s="19"/>
      <c r="AF33" s="139"/>
      <c r="AG33" s="140" t="s">
        <v>64</v>
      </c>
      <c r="AH33" s="157">
        <f>+SAPN!AC37</f>
        <v>180.61693926142473</v>
      </c>
      <c r="AI33" s="142"/>
      <c r="AJ33" s="157">
        <v>115.83978547685562</v>
      </c>
      <c r="AK33" s="157"/>
      <c r="AL33" s="143">
        <f>+SAPN!AH37</f>
        <v>116.80415398648321</v>
      </c>
      <c r="AM33" s="142"/>
      <c r="AN33" s="147">
        <f>+AJ33-AH33</f>
        <v>-64.777153784569109</v>
      </c>
      <c r="AO33" s="148">
        <f t="shared" si="2"/>
        <v>-0.35864384619435247</v>
      </c>
      <c r="AP33" s="147">
        <f t="shared" si="79"/>
        <v>0.96436850962759024</v>
      </c>
      <c r="AQ33" s="148">
        <f t="shared" si="80"/>
        <v>8.3250198164452546E-3</v>
      </c>
      <c r="AR33" s="147">
        <f t="shared" si="81"/>
        <v>-63.812785274941518</v>
      </c>
      <c r="AS33" s="148">
        <f t="shared" si="82"/>
        <v>-0.35330454350452134</v>
      </c>
      <c r="AU33" s="139"/>
      <c r="AV33" s="140" t="s">
        <v>64</v>
      </c>
      <c r="AW33" s="157">
        <f>+SAPN!AC37</f>
        <v>180.61693926142473</v>
      </c>
      <c r="AX33" s="142"/>
      <c r="AY33" s="157">
        <v>115.83978547685561</v>
      </c>
      <c r="AZ33" s="157"/>
      <c r="BA33" s="143">
        <f>+SAPN!AQ37</f>
        <v>116.80415398648321</v>
      </c>
      <c r="BB33" s="142"/>
      <c r="BC33" s="147">
        <f>+AY33-AW33</f>
        <v>-64.777153784569123</v>
      </c>
      <c r="BD33" s="148">
        <f t="shared" si="3"/>
        <v>-0.35864384619435252</v>
      </c>
      <c r="BE33" s="147">
        <f t="shared" si="83"/>
        <v>0.96436850962760445</v>
      </c>
      <c r="BF33" s="148">
        <f t="shared" si="84"/>
        <v>8.3250198164453778E-3</v>
      </c>
      <c r="BG33" s="147">
        <f t="shared" si="85"/>
        <v>-63.812785274941518</v>
      </c>
      <c r="BH33" s="148">
        <f t="shared" si="86"/>
        <v>-0.35330454350452134</v>
      </c>
    </row>
    <row r="34" spans="1:60" x14ac:dyDescent="0.3">
      <c r="A34" s="19"/>
      <c r="B34" s="139"/>
      <c r="C34" s="140" t="s">
        <v>159</v>
      </c>
      <c r="D34" s="157">
        <f>+SAPN!K38</f>
        <v>334.4739968776168</v>
      </c>
      <c r="E34" s="149"/>
      <c r="F34" s="157">
        <v>321.89081589225287</v>
      </c>
      <c r="G34" s="741"/>
      <c r="H34" s="143">
        <f>+SAPN!P38</f>
        <v>329.71517444537096</v>
      </c>
      <c r="I34" s="149"/>
      <c r="J34" s="147">
        <f>+F34-D34</f>
        <v>-12.583180985363924</v>
      </c>
      <c r="K34" s="148">
        <f t="shared" si="0"/>
        <v>-3.7620804914075517E-2</v>
      </c>
      <c r="L34" s="147">
        <f t="shared" si="71"/>
        <v>7.8243585531180884</v>
      </c>
      <c r="M34" s="148">
        <f t="shared" si="72"/>
        <v>2.4307492375728889E-2</v>
      </c>
      <c r="N34" s="147">
        <f t="shared" si="73"/>
        <v>-4.7588224322458359</v>
      </c>
      <c r="O34" s="148">
        <f t="shared" si="74"/>
        <v>-1.42277799669643E-2</v>
      </c>
      <c r="P34" s="19"/>
      <c r="Q34" s="139"/>
      <c r="R34" s="140" t="s">
        <v>159</v>
      </c>
      <c r="S34" s="157">
        <f>+SAPN!K38</f>
        <v>334.4739968776168</v>
      </c>
      <c r="T34" s="149"/>
      <c r="U34" s="157">
        <v>321.89081589225287</v>
      </c>
      <c r="V34" s="741"/>
      <c r="W34" s="143">
        <f>SAPN!Y38</f>
        <v>329.71517444537096</v>
      </c>
      <c r="X34" s="149"/>
      <c r="Y34" s="147">
        <f>+U34-S34</f>
        <v>-12.583180985363924</v>
      </c>
      <c r="Z34" s="148">
        <f t="shared" si="1"/>
        <v>-3.7620804914075517E-2</v>
      </c>
      <c r="AA34" s="147">
        <f t="shared" si="75"/>
        <v>7.8243585531180884</v>
      </c>
      <c r="AB34" s="148">
        <f t="shared" si="76"/>
        <v>2.4307492375728889E-2</v>
      </c>
      <c r="AC34" s="147">
        <f t="shared" si="77"/>
        <v>-4.7588224322458359</v>
      </c>
      <c r="AD34" s="148">
        <f t="shared" si="78"/>
        <v>-1.42277799669643E-2</v>
      </c>
      <c r="AE34" s="19"/>
      <c r="AF34" s="139"/>
      <c r="AG34" s="140" t="s">
        <v>159</v>
      </c>
      <c r="AH34" s="157">
        <f>+SAPN!AC38</f>
        <v>344.72810660251821</v>
      </c>
      <c r="AI34" s="149"/>
      <c r="AJ34" s="157">
        <v>336.61104977058636</v>
      </c>
      <c r="AK34" s="741"/>
      <c r="AL34" s="143">
        <f>+SAPN!AH38</f>
        <v>344.96804065276632</v>
      </c>
      <c r="AM34" s="149"/>
      <c r="AN34" s="147">
        <f>+AJ34-AH34</f>
        <v>-8.1170568319318477</v>
      </c>
      <c r="AO34" s="148">
        <f t="shared" si="2"/>
        <v>-2.3546257692561912E-2</v>
      </c>
      <c r="AP34" s="147">
        <f t="shared" si="79"/>
        <v>8.3569908821799572</v>
      </c>
      <c r="AQ34" s="148">
        <f t="shared" si="80"/>
        <v>2.4826846557400816E-2</v>
      </c>
      <c r="AR34" s="147">
        <f t="shared" si="81"/>
        <v>0.23993405024810954</v>
      </c>
      <c r="AS34" s="148">
        <f t="shared" si="82"/>
        <v>6.9600953810465083E-4</v>
      </c>
      <c r="AU34" s="139"/>
      <c r="AV34" s="140" t="s">
        <v>159</v>
      </c>
      <c r="AW34" s="157">
        <f>+SAPN!AC38</f>
        <v>344.72810660251821</v>
      </c>
      <c r="AX34" s="149"/>
      <c r="AY34" s="157">
        <v>336.61104977058636</v>
      </c>
      <c r="AZ34" s="741"/>
      <c r="BA34" s="143">
        <f>+SAPN!AQ38</f>
        <v>344.96804065276632</v>
      </c>
      <c r="BB34" s="149"/>
      <c r="BC34" s="147">
        <f>+AY34-AW34</f>
        <v>-8.1170568319318477</v>
      </c>
      <c r="BD34" s="148">
        <f t="shared" si="3"/>
        <v>-2.3546257692561912E-2</v>
      </c>
      <c r="BE34" s="147">
        <f t="shared" si="83"/>
        <v>8.3569908821799572</v>
      </c>
      <c r="BF34" s="148">
        <f t="shared" si="84"/>
        <v>2.4826846557400816E-2</v>
      </c>
      <c r="BG34" s="147">
        <f t="shared" si="85"/>
        <v>0.23993405024810954</v>
      </c>
      <c r="BH34" s="148">
        <f t="shared" si="86"/>
        <v>6.9600953810465083E-4</v>
      </c>
    </row>
    <row r="35" spans="1:60" x14ac:dyDescent="0.3">
      <c r="A35" s="19"/>
      <c r="B35" s="139"/>
      <c r="C35" s="140" t="str">
        <f>+C29</f>
        <v>Retail margin</v>
      </c>
      <c r="D35" s="141">
        <f>+SAPN!K39</f>
        <v>138.0326454531837</v>
      </c>
      <c r="E35" s="149">
        <f>+D35/D36</f>
        <v>5.9988111887520082E-2</v>
      </c>
      <c r="F35" s="141">
        <v>136.17750732114109</v>
      </c>
      <c r="G35" s="741">
        <f>+F35/F36</f>
        <v>5.9990091330899158E-2</v>
      </c>
      <c r="H35" s="143">
        <f>+SAPN!P39</f>
        <v>140.01597927841158</v>
      </c>
      <c r="I35" s="149">
        <f>+H35/H36</f>
        <v>5.9989708345506244E-2</v>
      </c>
      <c r="J35" s="147">
        <f>+F35-D35</f>
        <v>-1.8551381320426117</v>
      </c>
      <c r="K35" s="148">
        <f t="shared" si="0"/>
        <v>-1.3439850594414752E-2</v>
      </c>
      <c r="L35" s="147">
        <f t="shared" si="71"/>
        <v>3.8384719572704853</v>
      </c>
      <c r="M35" s="148">
        <f t="shared" si="72"/>
        <v>2.8187268461438313E-2</v>
      </c>
      <c r="N35" s="147">
        <f t="shared" si="73"/>
        <v>1.9833338252278736</v>
      </c>
      <c r="O35" s="148">
        <f t="shared" si="74"/>
        <v>1.4368585190237171E-2</v>
      </c>
      <c r="P35" s="19"/>
      <c r="Q35" s="139"/>
      <c r="R35" s="140" t="str">
        <f>+R29</f>
        <v>Retail margin</v>
      </c>
      <c r="S35" s="141">
        <f>+SAPN!K39</f>
        <v>138.0326454531837</v>
      </c>
      <c r="T35" s="149">
        <f>+S35/S36</f>
        <v>5.9988111887520082E-2</v>
      </c>
      <c r="U35" s="141">
        <v>136.17750732114109</v>
      </c>
      <c r="V35" s="741">
        <f>+U35/U36</f>
        <v>5.9990091330899158E-2</v>
      </c>
      <c r="W35" s="143">
        <f>SAPN!Y39</f>
        <v>136.54096170104231</v>
      </c>
      <c r="X35" s="149">
        <f>+W35/W36</f>
        <v>5.999163519377957E-2</v>
      </c>
      <c r="Y35" s="147">
        <f>+U35-S35</f>
        <v>-1.8551381320426117</v>
      </c>
      <c r="Z35" s="148">
        <f t="shared" si="1"/>
        <v>-1.3439850594414752E-2</v>
      </c>
      <c r="AA35" s="147">
        <f t="shared" si="75"/>
        <v>0.36345437990121354</v>
      </c>
      <c r="AB35" s="148">
        <f t="shared" si="76"/>
        <v>2.6689751270310446E-3</v>
      </c>
      <c r="AC35" s="147">
        <f t="shared" si="77"/>
        <v>-1.4916837521413981</v>
      </c>
      <c r="AD35" s="148">
        <f t="shared" si="78"/>
        <v>-1.0806746094331214E-2</v>
      </c>
      <c r="AE35" s="19"/>
      <c r="AF35" s="139"/>
      <c r="AG35" s="140" t="str">
        <f>+AG29</f>
        <v>Retail margin</v>
      </c>
      <c r="AH35" s="141">
        <f>+SAPN!AC39</f>
        <v>609.5101846045809</v>
      </c>
      <c r="AI35" s="149">
        <f>+AH35/AH36</f>
        <v>0.11000003331611277</v>
      </c>
      <c r="AJ35" s="141">
        <v>281.74439123339562</v>
      </c>
      <c r="AK35" s="741">
        <f>+AJ35/AJ36</f>
        <v>5.9996676157026321E-2</v>
      </c>
      <c r="AL35" s="143">
        <f>+SAPN!AH39</f>
        <v>309.7117970439831</v>
      </c>
      <c r="AM35" s="149">
        <f>+AL35/AL36</f>
        <v>5.9998410895773555E-2</v>
      </c>
      <c r="AN35" s="147">
        <f>+AJ35-AH35</f>
        <v>-327.76579337118528</v>
      </c>
      <c r="AO35" s="148">
        <f t="shared" si="2"/>
        <v>-0.53775277534340626</v>
      </c>
      <c r="AP35" s="147">
        <f t="shared" si="79"/>
        <v>27.967405810587479</v>
      </c>
      <c r="AQ35" s="148">
        <f t="shared" si="80"/>
        <v>9.9265173259188058E-2</v>
      </c>
      <c r="AR35" s="147">
        <f t="shared" si="81"/>
        <v>-299.7983875605978</v>
      </c>
      <c r="AS35" s="148">
        <f t="shared" si="82"/>
        <v>-0.49186772449929067</v>
      </c>
      <c r="AU35" s="139"/>
      <c r="AV35" s="140" t="str">
        <f>+AV29</f>
        <v>Retail margin</v>
      </c>
      <c r="AW35" s="141">
        <f>+SAPN!AC39</f>
        <v>609.5101846045809</v>
      </c>
      <c r="AX35" s="149">
        <f>+AW35/AW36</f>
        <v>0.11000003331611277</v>
      </c>
      <c r="AY35" s="141">
        <v>281.74439123339562</v>
      </c>
      <c r="AZ35" s="741">
        <f>+AY35/AY36</f>
        <v>5.9996676157026321E-2</v>
      </c>
      <c r="BA35" s="143">
        <f>+SAPN!AQ39</f>
        <v>292.05648207985632</v>
      </c>
      <c r="BB35" s="149">
        <f>+BA35/BA36</f>
        <v>5.9995168874251506E-2</v>
      </c>
      <c r="BC35" s="147">
        <f>+AY35-AW35</f>
        <v>-327.76579337118528</v>
      </c>
      <c r="BD35" s="148">
        <f t="shared" si="3"/>
        <v>-0.53775277534340626</v>
      </c>
      <c r="BE35" s="147">
        <f t="shared" si="83"/>
        <v>10.312090846460706</v>
      </c>
      <c r="BF35" s="148">
        <f t="shared" si="84"/>
        <v>3.6600873583737897E-2</v>
      </c>
      <c r="BG35" s="147">
        <f t="shared" si="85"/>
        <v>-317.45370252472458</v>
      </c>
      <c r="BH35" s="148">
        <f t="shared" si="86"/>
        <v>-0.52083412310931665</v>
      </c>
    </row>
    <row r="36" spans="1:60" ht="14.5" thickBot="1" x14ac:dyDescent="0.35">
      <c r="A36" s="19"/>
      <c r="B36" s="150"/>
      <c r="C36" s="151" t="s">
        <v>55</v>
      </c>
      <c r="D36" s="152">
        <f>SAPN!J34</f>
        <v>2301</v>
      </c>
      <c r="E36" s="153"/>
      <c r="F36" s="152">
        <f>ROUND(SUM(F31:F35),0)</f>
        <v>2270</v>
      </c>
      <c r="G36" s="742"/>
      <c r="H36" s="152">
        <f>ROUND(SUM(H31:H35),0)</f>
        <v>2334</v>
      </c>
      <c r="I36" s="153"/>
      <c r="J36" s="154">
        <f>+ROUND(F36,0)-ROUND(D36,0)</f>
        <v>-31</v>
      </c>
      <c r="K36" s="155">
        <f t="shared" si="0"/>
        <v>-1.3472403302911778E-2</v>
      </c>
      <c r="L36" s="154">
        <f>+ROUND(H36,0)-ROUND(F36,0)</f>
        <v>64</v>
      </c>
      <c r="M36" s="155">
        <f>+L36/F36</f>
        <v>2.8193832599118944E-2</v>
      </c>
      <c r="N36" s="154">
        <f>+ROUND(H36,0)-ROUND(D36,0)</f>
        <v>33</v>
      </c>
      <c r="O36" s="155">
        <f>+N36/D36</f>
        <v>1.4341590612777053E-2</v>
      </c>
      <c r="P36" s="19"/>
      <c r="Q36" s="150"/>
      <c r="R36" s="151" t="s">
        <v>55</v>
      </c>
      <c r="S36" s="152">
        <f>SAPN!J34</f>
        <v>2301</v>
      </c>
      <c r="T36" s="153"/>
      <c r="U36" s="152">
        <f t="shared" ref="U36" si="87">ROUND(SUM(U31:U35),0)</f>
        <v>2270</v>
      </c>
      <c r="V36" s="744"/>
      <c r="W36" s="152">
        <f>ROUND(SUM(W31:W35),0)</f>
        <v>2276</v>
      </c>
      <c r="X36" s="153"/>
      <c r="Y36" s="154">
        <f>+ROUND(U36,0)-ROUND(S36,0)</f>
        <v>-31</v>
      </c>
      <c r="Z36" s="155">
        <f t="shared" si="1"/>
        <v>-1.3472403302911778E-2</v>
      </c>
      <c r="AA36" s="154">
        <f>+ROUND(W36,0)-ROUND(U36,0)</f>
        <v>6</v>
      </c>
      <c r="AB36" s="155">
        <f>+AA36/U36</f>
        <v>2.6431718061674008E-3</v>
      </c>
      <c r="AC36" s="154">
        <f>+ROUND(W36,0)-ROUND(S36,0)</f>
        <v>-25</v>
      </c>
      <c r="AD36" s="155">
        <f>+AC36/S36</f>
        <v>-1.0864841373315949E-2</v>
      </c>
      <c r="AE36" s="19"/>
      <c r="AF36" s="150"/>
      <c r="AG36" s="151" t="s">
        <v>55</v>
      </c>
      <c r="AH36" s="152">
        <f>ROUND(SUM(AH31:AH35),0)</f>
        <v>5541</v>
      </c>
      <c r="AI36" s="153"/>
      <c r="AJ36" s="152">
        <f>ROUND(SUM(AJ31:AJ35),0)</f>
        <v>4696</v>
      </c>
      <c r="AK36" s="742"/>
      <c r="AL36" s="152">
        <f>ROUND(SUM(AL31:AL35),0)</f>
        <v>5162</v>
      </c>
      <c r="AM36" s="153"/>
      <c r="AN36" s="154">
        <f>+ROUND(AJ36,0)-ROUND(AH36,0)</f>
        <v>-845</v>
      </c>
      <c r="AO36" s="155">
        <f t="shared" si="2"/>
        <v>-0.1524995488179029</v>
      </c>
      <c r="AP36" s="154">
        <f>+ROUND(AL36,0)-ROUND(AJ36,0)</f>
        <v>466</v>
      </c>
      <c r="AQ36" s="155">
        <f>+AP36/AJ36</f>
        <v>9.923339011925042E-2</v>
      </c>
      <c r="AR36" s="154">
        <f>+ROUND(AL36,0)-ROUND(AH36,0)</f>
        <v>-379</v>
      </c>
      <c r="AS36" s="155">
        <f>+AR36/AH36</f>
        <v>-6.8399205919509112E-2</v>
      </c>
      <c r="AU36" s="150"/>
      <c r="AV36" s="151" t="s">
        <v>55</v>
      </c>
      <c r="AW36" s="152">
        <f>ROUND(SUM(AW31:AW35),0)</f>
        <v>5541</v>
      </c>
      <c r="AX36" s="153"/>
      <c r="AY36" s="746">
        <f>ROUND(SUM(AY31:AY35),0)</f>
        <v>4696</v>
      </c>
      <c r="AZ36" s="742"/>
      <c r="BA36" s="152">
        <f>ROUND(SUM(BA31:BA35),0)</f>
        <v>4868</v>
      </c>
      <c r="BB36" s="153"/>
      <c r="BC36" s="154">
        <f>+ROUND(AY36,0)-ROUND(AW36,0)</f>
        <v>-845</v>
      </c>
      <c r="BD36" s="155">
        <f t="shared" si="3"/>
        <v>-0.1524995488179029</v>
      </c>
      <c r="BE36" s="154">
        <f>+ROUND(BA36,0)-ROUND(AY36,0)</f>
        <v>172</v>
      </c>
      <c r="BF36" s="155">
        <f>+BE36/AY36</f>
        <v>3.6626916524701875E-2</v>
      </c>
      <c r="BG36" s="154">
        <f>+ROUND(BA36,0)-ROUND(AW36,0)</f>
        <v>-673</v>
      </c>
      <c r="BH36" s="155">
        <f>+BG36/AW36</f>
        <v>-0.12145822053780905</v>
      </c>
    </row>
    <row r="37" spans="1:60" x14ac:dyDescent="0.3">
      <c r="A37" s="81"/>
      <c r="B37" s="158" t="s">
        <v>200</v>
      </c>
      <c r="P37" s="81"/>
      <c r="Q37" s="158" t="s">
        <v>200</v>
      </c>
      <c r="AE37" s="81"/>
      <c r="AF37" s="158" t="s">
        <v>200</v>
      </c>
      <c r="AL37" s="159"/>
      <c r="AU37" s="158" t="s">
        <v>200</v>
      </c>
      <c r="BA37" s="159"/>
    </row>
    <row r="38" spans="1:60" x14ac:dyDescent="0.3">
      <c r="A38" s="81"/>
      <c r="B38" s="514" t="s">
        <v>120</v>
      </c>
      <c r="P38" s="81"/>
      <c r="AE38" s="81"/>
    </row>
    <row r="39" spans="1:60" x14ac:dyDescent="0.3">
      <c r="A39" s="81"/>
      <c r="P39" s="81"/>
      <c r="AE39" s="81"/>
    </row>
    <row r="40" spans="1:60" x14ac:dyDescent="0.3">
      <c r="A40" s="81"/>
      <c r="P40" s="81"/>
      <c r="AE40" s="81"/>
    </row>
    <row r="41" spans="1:60" x14ac:dyDescent="0.3">
      <c r="A41" s="81"/>
      <c r="P41" s="81"/>
      <c r="AE41" s="81"/>
    </row>
    <row r="42" spans="1:60" x14ac:dyDescent="0.3">
      <c r="A42" s="81"/>
      <c r="P42" s="81"/>
      <c r="AE42" s="81"/>
    </row>
    <row r="43" spans="1:60" x14ac:dyDescent="0.3">
      <c r="A43" s="81"/>
      <c r="P43" s="81"/>
      <c r="AE43" s="81"/>
    </row>
    <row r="44" spans="1:60" x14ac:dyDescent="0.3">
      <c r="A44" s="81"/>
      <c r="P44" s="81"/>
      <c r="AE44" s="81"/>
    </row>
    <row r="45" spans="1:60" x14ac:dyDescent="0.3">
      <c r="A45" s="81"/>
      <c r="P45" s="81"/>
      <c r="AE45" s="81"/>
    </row>
    <row r="46" spans="1:60" x14ac:dyDescent="0.3">
      <c r="A46" s="81"/>
      <c r="P46" s="81"/>
      <c r="AE46" s="81"/>
    </row>
    <row r="47" spans="1:60" x14ac:dyDescent="0.3">
      <c r="A47" s="81"/>
      <c r="P47" s="81"/>
      <c r="AE47" s="81"/>
    </row>
    <row r="48" spans="1:60" x14ac:dyDescent="0.3">
      <c r="A48" s="81"/>
      <c r="P48" s="81"/>
      <c r="AE48" s="81"/>
    </row>
    <row r="49" spans="1:31" x14ac:dyDescent="0.3">
      <c r="A49" s="81"/>
      <c r="P49" s="81"/>
      <c r="AE49" s="81"/>
    </row>
    <row r="50" spans="1:31" x14ac:dyDescent="0.3">
      <c r="A50" s="81"/>
      <c r="P50" s="81"/>
      <c r="AE50" s="81"/>
    </row>
    <row r="51" spans="1:31" x14ac:dyDescent="0.3">
      <c r="A51" s="81"/>
      <c r="P51" s="81"/>
      <c r="AE51" s="81"/>
    </row>
    <row r="52" spans="1:31" x14ac:dyDescent="0.3">
      <c r="A52" s="81"/>
      <c r="P52" s="81"/>
      <c r="AE52" s="81"/>
    </row>
    <row r="53" spans="1:31" x14ac:dyDescent="0.3">
      <c r="A53" s="81"/>
      <c r="P53" s="81"/>
      <c r="AE53" s="81"/>
    </row>
    <row r="54" spans="1:31" x14ac:dyDescent="0.3">
      <c r="A54" s="81"/>
      <c r="P54" s="81"/>
      <c r="AE54" s="81"/>
    </row>
    <row r="55" spans="1:31" x14ac:dyDescent="0.3">
      <c r="A55" s="81"/>
      <c r="P55" s="81"/>
      <c r="AE55" s="81"/>
    </row>
    <row r="56" spans="1:31" x14ac:dyDescent="0.3">
      <c r="A56" s="81"/>
      <c r="P56" s="81"/>
      <c r="AE56" s="81"/>
    </row>
    <row r="57" spans="1:31" x14ac:dyDescent="0.3">
      <c r="A57" s="81"/>
      <c r="P57" s="81"/>
      <c r="AE57" s="81"/>
    </row>
    <row r="58" spans="1:31" x14ac:dyDescent="0.3">
      <c r="A58" s="81"/>
      <c r="P58" s="81"/>
      <c r="AE58" s="81"/>
    </row>
    <row r="59" spans="1:31" x14ac:dyDescent="0.3">
      <c r="A59" s="81"/>
      <c r="P59" s="81"/>
      <c r="AE59" s="81"/>
    </row>
    <row r="60" spans="1:31" x14ac:dyDescent="0.3">
      <c r="A60" s="81"/>
      <c r="P60" s="81"/>
      <c r="AE60" s="81"/>
    </row>
    <row r="61" spans="1:31" x14ac:dyDescent="0.3">
      <c r="A61" s="81"/>
      <c r="P61" s="81"/>
      <c r="AE61" s="81"/>
    </row>
    <row r="62" spans="1:31" x14ac:dyDescent="0.3">
      <c r="A62" s="81"/>
      <c r="P62" s="81"/>
      <c r="AE62" s="81"/>
    </row>
    <row r="63" spans="1:31" x14ac:dyDescent="0.3">
      <c r="A63" s="81"/>
      <c r="P63" s="81"/>
      <c r="AE63" s="81"/>
    </row>
    <row r="64" spans="1:31" x14ac:dyDescent="0.3">
      <c r="A64" s="81"/>
      <c r="P64" s="81"/>
      <c r="AE64" s="81"/>
    </row>
    <row r="65" spans="1:31" x14ac:dyDescent="0.3">
      <c r="A65" s="81"/>
      <c r="P65" s="81"/>
      <c r="AE65" s="81"/>
    </row>
    <row r="66" spans="1:31" x14ac:dyDescent="0.3">
      <c r="A66" s="81"/>
      <c r="P66" s="81"/>
      <c r="AE66" s="81"/>
    </row>
    <row r="67" spans="1:31" x14ac:dyDescent="0.3">
      <c r="A67" s="81"/>
      <c r="P67" s="81"/>
      <c r="AE67" s="81"/>
    </row>
    <row r="68" spans="1:31" x14ac:dyDescent="0.3">
      <c r="A68" s="81"/>
      <c r="P68" s="81"/>
      <c r="AE68" s="81"/>
    </row>
    <row r="69" spans="1:31" x14ac:dyDescent="0.3">
      <c r="A69" s="81"/>
      <c r="P69" s="81"/>
      <c r="AE69" s="81"/>
    </row>
    <row r="70" spans="1:31" x14ac:dyDescent="0.3">
      <c r="A70" s="81"/>
      <c r="P70" s="81"/>
      <c r="AE70" s="81"/>
    </row>
    <row r="71" spans="1:31" x14ac:dyDescent="0.3">
      <c r="A71" s="81"/>
      <c r="P71" s="81"/>
      <c r="AE71" s="81"/>
    </row>
    <row r="72" spans="1:31" x14ac:dyDescent="0.3">
      <c r="A72" s="81"/>
      <c r="P72" s="81"/>
      <c r="AE72" s="81"/>
    </row>
    <row r="73" spans="1:31" x14ac:dyDescent="0.3">
      <c r="A73" s="81"/>
      <c r="P73" s="81"/>
      <c r="AE73" s="81"/>
    </row>
    <row r="74" spans="1:31" x14ac:dyDescent="0.3">
      <c r="A74" s="81"/>
      <c r="P74" s="81"/>
      <c r="AE74" s="81"/>
    </row>
    <row r="75" spans="1:31" x14ac:dyDescent="0.3">
      <c r="A75" s="81"/>
      <c r="P75" s="81"/>
      <c r="AE75" s="81"/>
    </row>
    <row r="76" spans="1:31" x14ac:dyDescent="0.3">
      <c r="A76" s="81"/>
      <c r="P76" s="81"/>
      <c r="AE76" s="81"/>
    </row>
  </sheetData>
  <sheetProtection algorithmName="SHA-256" hashValue="/mklU0fWt9BbRJTfPaG/zWB0+4JoxAZv4PWkZQyREF0=" saltValue="S3tXxG0xeQkViG2uX0m3rA==" spinCount="100000" sheet="1" formatCells="0" formatColumns="0" formatRows="0" sort="0" autoFilter="0" pivotTables="0"/>
  <mergeCells count="25">
    <mergeCell ref="BE5:BF5"/>
    <mergeCell ref="BG5:BH5"/>
    <mergeCell ref="AA5:AB5"/>
    <mergeCell ref="AC5:AD5"/>
    <mergeCell ref="AJ5:AK5"/>
    <mergeCell ref="AP5:AQ5"/>
    <mergeCell ref="AR5:AS5"/>
    <mergeCell ref="AW5:AX5"/>
    <mergeCell ref="BA5:BB5"/>
    <mergeCell ref="BC5:BD5"/>
    <mergeCell ref="AH5:AI5"/>
    <mergeCell ref="AL5:AM5"/>
    <mergeCell ref="AN5:AO5"/>
    <mergeCell ref="AY5:AZ5"/>
    <mergeCell ref="Y5:Z5"/>
    <mergeCell ref="W5:X5"/>
    <mergeCell ref="A1:B1"/>
    <mergeCell ref="D5:E5"/>
    <mergeCell ref="J5:K5"/>
    <mergeCell ref="S5:T5"/>
    <mergeCell ref="H5:I5"/>
    <mergeCell ref="F5:G5"/>
    <mergeCell ref="L5:M5"/>
    <mergeCell ref="N5:O5"/>
    <mergeCell ref="U5:V5"/>
  </mergeCells>
  <conditionalFormatting sqref="B7:O36 Q7:AD36 AF7:AS36">
    <cfRule type="expression" dxfId="1392" priority="106">
      <formula>MOD(ROW(),2)=0</formula>
    </cfRule>
    <cfRule type="expression" dxfId="1391" priority="107">
      <formula>AND(MOD(ROW(),2)=0,B$29="Proportion",$C7="Overall change in costs (%)")</formula>
    </cfRule>
    <cfRule type="expression" dxfId="1390" priority="108">
      <formula>AND(MOD(ROW(),1)=0,B$29="Proportion",$C7="Overall change in costs (%)")</formula>
    </cfRule>
  </conditionalFormatting>
  <conditionalFormatting sqref="AU7:BH36">
    <cfRule type="expression" dxfId="1389" priority="1">
      <formula>MOD(ROW(),2)=0</formula>
    </cfRule>
    <cfRule type="expression" dxfId="1388" priority="2">
      <formula>AND(MOD(ROW(),2)=0,AU$29="Proportion",$C7="Overall change in costs (%)")</formula>
    </cfRule>
    <cfRule type="expression" dxfId="1387" priority="3">
      <formula>AND(MOD(ROW(),1)=0,AU$29="Proportion",$C7="Overall change in costs (%)")</formula>
    </cfRule>
  </conditionalFormatting>
  <hyperlinks>
    <hyperlink ref="A1" location="Index!A1" display="&lt;&lt;Back to Index" xr:uid="{65854905-3A15-401E-97D2-C4E67CDFF3A7}"/>
  </hyperlinks>
  <pageMargins left="0.7" right="0.7" top="0.75" bottom="0.75" header="0.3" footer="0.3"/>
  <pageSetup paperSize="9" orientation="portrait" r:id="rId1"/>
  <headerFooter>
    <oddHeader>&amp;C&amp;"Calibri"&amp;10&amp;KFF0000 OFFICIAL SENSITIVE&amp;1#_x000D_</oddHeader>
  </headerFooter>
  <ignoredErrors>
    <ignoredError sqref="K8:K11 K13:K17 K19:K23 K25:K29 K31:K35 AL5 BA5 AL11 BA11 AL35 BA35 AL17 BA17 AL23 BA23 AL29 BA2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1C693-B499-4DC1-B421-E8A54456F105}">
  <sheetPr>
    <tabColor theme="9" tint="-0.249977111117893"/>
  </sheetPr>
  <dimension ref="A1:V18"/>
  <sheetViews>
    <sheetView zoomScaleNormal="100" workbookViewId="0">
      <selection activeCell="D8" sqref="D8"/>
    </sheetView>
  </sheetViews>
  <sheetFormatPr defaultColWidth="8.7265625" defaultRowHeight="12.5" x14ac:dyDescent="0.25"/>
  <cols>
    <col min="1" max="1" width="8.7265625" style="19"/>
    <col min="2" max="2" width="16.453125" style="19" bestFit="1" customWidth="1"/>
    <col min="3" max="4" width="12" style="19" customWidth="1"/>
    <col min="5" max="5" width="10.1796875" style="19" customWidth="1"/>
    <col min="6" max="6" width="11.7265625" style="19" customWidth="1"/>
    <col min="7" max="7" width="11.1796875" style="19" customWidth="1"/>
    <col min="8" max="8" width="10.1796875" style="19" customWidth="1"/>
    <col min="9" max="9" width="10.81640625" style="19" customWidth="1"/>
    <col min="10" max="10" width="11.54296875" style="19" customWidth="1"/>
    <col min="11" max="11" width="10.1796875" style="19" customWidth="1"/>
    <col min="12" max="12" width="12.453125" style="19" customWidth="1"/>
    <col min="13" max="13" width="12.26953125" style="19" customWidth="1"/>
    <col min="14" max="14" width="10.1796875" style="19" customWidth="1"/>
    <col min="15" max="15" width="12.453125" style="19" customWidth="1"/>
    <col min="16" max="16" width="12" style="19" customWidth="1"/>
    <col min="17" max="16384" width="8.7265625" style="19"/>
  </cols>
  <sheetData>
    <row r="1" spans="1:22" ht="14.5" x14ac:dyDescent="0.25">
      <c r="A1" s="888" t="s">
        <v>18</v>
      </c>
      <c r="B1" s="889"/>
      <c r="C1" s="510" t="str">
        <f>PY</f>
        <v>2025-26</v>
      </c>
      <c r="D1" s="510" t="str">
        <f>FY</f>
        <v>2026-27</v>
      </c>
    </row>
    <row r="2" spans="1:22" ht="13" x14ac:dyDescent="0.3">
      <c r="B2" s="17" t="s">
        <v>267</v>
      </c>
      <c r="C2" s="887" t="s">
        <v>2</v>
      </c>
      <c r="D2" s="887"/>
      <c r="E2" s="18" t="s">
        <v>172</v>
      </c>
      <c r="F2" s="887" t="s">
        <v>201</v>
      </c>
      <c r="G2" s="887"/>
      <c r="H2" s="18" t="s">
        <v>172</v>
      </c>
      <c r="I2" s="887" t="s">
        <v>202</v>
      </c>
      <c r="J2" s="887"/>
      <c r="K2" s="18" t="s">
        <v>172</v>
      </c>
      <c r="L2" s="887" t="s">
        <v>0</v>
      </c>
      <c r="M2" s="887"/>
      <c r="N2" s="18" t="s">
        <v>172</v>
      </c>
      <c r="O2" s="887" t="s">
        <v>203</v>
      </c>
      <c r="P2" s="887"/>
    </row>
    <row r="3" spans="1:22" ht="39" customHeight="1" x14ac:dyDescent="0.25">
      <c r="C3" s="20" t="str">
        <f>CONCATENATE("DMO 7","  "," (",$C$1,")")</f>
        <v>DMO 7   (2025-26)</v>
      </c>
      <c r="D3" s="20" t="str">
        <f>CONCATENATE("DMO 8","  "," (",$D$1,")")</f>
        <v>DMO 8   (2026-27)</v>
      </c>
      <c r="E3" s="20"/>
      <c r="F3" s="20" t="str">
        <f>CONCATENATE("DMO 7","  "," (",$C$1,")")</f>
        <v>DMO 7   (2025-26)</v>
      </c>
      <c r="G3" s="20" t="str">
        <f>CONCATENATE("DMO 8","  "," (",$D$1,")")</f>
        <v>DMO 8   (2026-27)</v>
      </c>
      <c r="H3" s="20"/>
      <c r="I3" s="20" t="str">
        <f>CONCATENATE("DMO 7","  "," (",$C$1,")")</f>
        <v>DMO 7   (2025-26)</v>
      </c>
      <c r="J3" s="20" t="str">
        <f>CONCATENATE("DMO 8","  "," (",$D$1,")")</f>
        <v>DMO 8   (2026-27)</v>
      </c>
      <c r="K3" s="20"/>
      <c r="L3" s="20" t="str">
        <f>CONCATENATE("DMO 7","  "," (",$C$1,")")</f>
        <v>DMO 7   (2025-26)</v>
      </c>
      <c r="M3" s="20" t="str">
        <f>CONCATENATE("DMO 8","  "," (",$D$1,")")</f>
        <v>DMO 8   (2026-27)</v>
      </c>
      <c r="N3" s="20"/>
      <c r="O3" s="20" t="str">
        <f>CONCATENATE("DMO 7","  "," (",$C$1,")")</f>
        <v>DMO 7   (2025-26)</v>
      </c>
      <c r="P3" s="20" t="str">
        <f>CONCATENATE("DMO 8","  "," (",$D$1,")")</f>
        <v>DMO 8   (2026-27)</v>
      </c>
      <c r="Q3" s="21"/>
    </row>
    <row r="4" spans="1:22" x14ac:dyDescent="0.25">
      <c r="B4" s="19" t="s">
        <v>207</v>
      </c>
      <c r="C4" s="22">
        <f>ROUND(SUM(C5:C9),0)</f>
        <v>1965</v>
      </c>
      <c r="D4" s="22">
        <f>ROUND(SUM(D5:D9),0)</f>
        <v>1899</v>
      </c>
      <c r="E4" s="22"/>
      <c r="F4" s="22">
        <f>ROUND(SUM(F5:F9),0)</f>
        <v>2411</v>
      </c>
      <c r="G4" s="22">
        <f>ROUND(SUM(G5:G9),0)</f>
        <v>2328</v>
      </c>
      <c r="H4" s="22"/>
      <c r="I4" s="22">
        <f>ROUND(SUM(I5:I9),0)</f>
        <v>2741</v>
      </c>
      <c r="J4" s="22">
        <f>ROUND(SUM(J5:J9),0)</f>
        <v>2604</v>
      </c>
      <c r="K4" s="22"/>
      <c r="L4" s="22">
        <f>ROUND(SUM(L5:L9),0)</f>
        <v>2143</v>
      </c>
      <c r="M4" s="22">
        <f>ROUND(SUM(M5:M9),0)</f>
        <v>1988</v>
      </c>
      <c r="N4" s="22"/>
      <c r="O4" s="22">
        <f>ROUND(SUM(O5:O9),0)</f>
        <v>2301</v>
      </c>
      <c r="P4" s="22">
        <f>ROUND(SUM(P5:P9),0)</f>
        <v>2334</v>
      </c>
      <c r="R4" s="22"/>
      <c r="S4" s="22"/>
      <c r="T4" s="22"/>
      <c r="U4" s="22"/>
      <c r="V4" s="22"/>
    </row>
    <row r="5" spans="1:22" x14ac:dyDescent="0.25">
      <c r="B5" s="19" t="s">
        <v>208</v>
      </c>
      <c r="C5" s="22">
        <f>+'Summary Detailed'!D7</f>
        <v>753.97249122143467</v>
      </c>
      <c r="D5" s="22">
        <f>+'Summary Detailed'!H7</f>
        <v>653.78501504136671</v>
      </c>
      <c r="E5" s="22"/>
      <c r="F5" s="22">
        <f>+'Summary Detailed'!D13</f>
        <v>998.46091350140671</v>
      </c>
      <c r="G5" s="22">
        <f>+'Summary Detailed'!H13</f>
        <v>872.62817008900561</v>
      </c>
      <c r="H5" s="22"/>
      <c r="I5" s="22">
        <f>+'Summary Detailed'!D19</f>
        <v>903.45227990993703</v>
      </c>
      <c r="J5" s="22">
        <f>+'Summary Detailed'!H19</f>
        <v>779.32358526104281</v>
      </c>
      <c r="K5" s="22"/>
      <c r="L5" s="22">
        <f>+'Summary Detailed'!D25</f>
        <v>847.00695816791358</v>
      </c>
      <c r="M5" s="22">
        <f>+'Summary Detailed'!H25</f>
        <v>725.05399440277358</v>
      </c>
      <c r="N5" s="22"/>
      <c r="O5" s="22">
        <f>+'Summary Detailed'!D31</f>
        <v>858.79927885285167</v>
      </c>
      <c r="P5" s="22">
        <f>+'Summary Detailed'!H31</f>
        <v>842.80447029760967</v>
      </c>
      <c r="R5" s="22"/>
      <c r="S5" s="22"/>
      <c r="T5" s="22"/>
      <c r="U5" s="22"/>
      <c r="V5" s="22"/>
    </row>
    <row r="6" spans="1:22" x14ac:dyDescent="0.25">
      <c r="B6" s="19" t="s">
        <v>209</v>
      </c>
      <c r="C6" s="22">
        <f>+'Summary Detailed'!D8</f>
        <v>711.92496176013196</v>
      </c>
      <c r="D6" s="22">
        <f>+'Summary Detailed'!H8</f>
        <v>778.23025938278613</v>
      </c>
      <c r="E6" s="22"/>
      <c r="F6" s="22">
        <f>+'Summary Detailed'!D14</f>
        <v>836.50737499999991</v>
      </c>
      <c r="G6" s="22">
        <f>+'Summary Detailed'!H14</f>
        <v>916.585852802521</v>
      </c>
      <c r="H6" s="22"/>
      <c r="I6" s="22">
        <f>+'Summary Detailed'!D20</f>
        <v>1248.9808649440904</v>
      </c>
      <c r="J6" s="22">
        <f>+'Summary Detailed'!H20</f>
        <v>1283.0279552152908</v>
      </c>
      <c r="K6" s="22"/>
      <c r="L6" s="22">
        <f>+'Summary Detailed'!D26</f>
        <v>778.44943700626834</v>
      </c>
      <c r="M6" s="22">
        <f>+'Summary Detailed'!H26</f>
        <v>817.46337155923118</v>
      </c>
      <c r="N6" s="22"/>
      <c r="O6" s="22">
        <f>+'Summary Detailed'!D32</f>
        <v>896.99139399817057</v>
      </c>
      <c r="P6" s="22">
        <f>+'Summary Detailed'!H32</f>
        <v>974.34236902420878</v>
      </c>
      <c r="R6" s="22"/>
      <c r="S6" s="22"/>
      <c r="T6" s="22"/>
      <c r="U6" s="22"/>
      <c r="V6" s="22"/>
    </row>
    <row r="7" spans="1:22" x14ac:dyDescent="0.25">
      <c r="B7" s="19" t="s">
        <v>210</v>
      </c>
      <c r="C7" s="22">
        <f>+'Summary Detailed'!D9</f>
        <v>68.331519303463324</v>
      </c>
      <c r="D7" s="22">
        <f>+'Summary Detailed'!H9</f>
        <v>47.573855815382679</v>
      </c>
      <c r="E7" s="22"/>
      <c r="F7" s="22">
        <f>+'Summary Detailed'!D15</f>
        <v>87.407325012464099</v>
      </c>
      <c r="G7" s="22">
        <f>+'Summary Detailed'!H15</f>
        <v>60.525827228913712</v>
      </c>
      <c r="H7" s="22"/>
      <c r="I7" s="22">
        <f>+'Summary Detailed'!D21</f>
        <v>80.170406567593488</v>
      </c>
      <c r="J7" s="22">
        <f>+'Summary Detailed'!H21</f>
        <v>56.083191877421427</v>
      </c>
      <c r="K7" s="22"/>
      <c r="L7" s="22">
        <f>+'Summary Detailed'!D27</f>
        <v>60.305218339699209</v>
      </c>
      <c r="M7" s="22">
        <f>+'Summary Detailed'!H27</f>
        <v>40.888288542467514</v>
      </c>
      <c r="N7" s="22"/>
      <c r="O7" s="22">
        <f>+'Summary Detailed'!D33</f>
        <v>72.246775704569899</v>
      </c>
      <c r="P7" s="22">
        <f>+'Summary Detailed'!H33</f>
        <v>46.721661594593286</v>
      </c>
      <c r="R7" s="22"/>
      <c r="S7" s="22"/>
      <c r="T7" s="22"/>
      <c r="U7" s="22"/>
      <c r="V7" s="22"/>
    </row>
    <row r="8" spans="1:22" x14ac:dyDescent="0.25">
      <c r="B8" s="19" t="s">
        <v>211</v>
      </c>
      <c r="C8" s="22">
        <f>+'Summary Detailed'!D10</f>
        <v>312.51267628903128</v>
      </c>
      <c r="D8" s="774">
        <f>+'Summary Detailed'!H10</f>
        <v>305.55201525232189</v>
      </c>
      <c r="E8" s="22"/>
      <c r="F8" s="22">
        <f>+'Summary Detailed'!D16</f>
        <v>344.30566121810301</v>
      </c>
      <c r="G8" s="22">
        <f>+'Summary Detailed'!H16</f>
        <v>338.9390569950549</v>
      </c>
      <c r="H8" s="22"/>
      <c r="I8" s="22">
        <f>+'Summary Detailed'!D22</f>
        <v>343.7615024031029</v>
      </c>
      <c r="J8" s="22">
        <f>+'Summary Detailed'!H22</f>
        <v>329.17432040236918</v>
      </c>
      <c r="K8" s="22"/>
      <c r="L8" s="22">
        <f>+'Summary Detailed'!D28</f>
        <v>328.20341084841237</v>
      </c>
      <c r="M8" s="22">
        <f>+'Summary Detailed'!H28</f>
        <v>285.0149914661813</v>
      </c>
      <c r="N8" s="22"/>
      <c r="O8" s="22">
        <f>+'Summary Detailed'!D34</f>
        <v>334.4739968776168</v>
      </c>
      <c r="P8" s="22">
        <f>+'Summary Detailed'!H34</f>
        <v>329.71517444537096</v>
      </c>
      <c r="R8" s="22"/>
      <c r="S8" s="22"/>
      <c r="T8" s="22"/>
      <c r="U8" s="22"/>
      <c r="V8" s="22"/>
    </row>
    <row r="9" spans="1:22" x14ac:dyDescent="0.25">
      <c r="B9" s="19" t="s">
        <v>212</v>
      </c>
      <c r="C9" s="22">
        <f>+'Summary Detailed'!D11</f>
        <v>117.87712650472736</v>
      </c>
      <c r="D9" s="22">
        <f>+'Summary Detailed'!H11</f>
        <v>113.94517949948045</v>
      </c>
      <c r="E9" s="22"/>
      <c r="F9" s="22">
        <f>+'Summary Detailed'!D17</f>
        <v>144.68178349353047</v>
      </c>
      <c r="G9" s="22">
        <f>+'Summary Detailed'!H17</f>
        <v>139.70290896481902</v>
      </c>
      <c r="H9" s="22"/>
      <c r="I9" s="22">
        <f>+'Summary Detailed'!D23</f>
        <v>164.44883322285477</v>
      </c>
      <c r="J9" s="22">
        <f>+'Summary Detailed'!H23</f>
        <v>156.23036506953986</v>
      </c>
      <c r="K9" s="22"/>
      <c r="L9" s="22">
        <f>+'Summary Detailed'!D29</f>
        <v>128.5509590018487</v>
      </c>
      <c r="M9" s="22">
        <f>+'Summary Detailed'!H29</f>
        <v>119.26089229599938</v>
      </c>
      <c r="N9" s="22"/>
      <c r="O9" s="22">
        <f>+'Summary Detailed'!D35</f>
        <v>138.0326454531837</v>
      </c>
      <c r="P9" s="22">
        <f>+'Summary Detailed'!H35</f>
        <v>140.01597927841158</v>
      </c>
      <c r="R9" s="22"/>
      <c r="S9" s="22"/>
      <c r="T9" s="22"/>
      <c r="U9" s="22"/>
      <c r="V9" s="22"/>
    </row>
    <row r="10" spans="1:22" ht="13" x14ac:dyDescent="0.3">
      <c r="B10" s="19" t="str">
        <f>+B4</f>
        <v>Default market offer (DMO)</v>
      </c>
      <c r="C10" s="22"/>
      <c r="D10" s="23" t="str">
        <f>CONCATENATE("$",TEXT(D4,"#,##0;;@"),IF((+D4/C4-1)&lt;0,+D16,+D15),ROUND((+'Summary Detailed'!O12)*100,1),"%")</f>
        <v>$1,899▼-3.4%</v>
      </c>
      <c r="E10" s="23" t="s">
        <v>172</v>
      </c>
      <c r="F10" s="22"/>
      <c r="G10" s="23" t="str">
        <f>CONCATENATE("$",+TEXT(G4,"#,##0;;@"),IF((+G4/F4-1)&lt;0,+G16,+G15),ROUND((+'Summary Detailed'!O18)*100,1),"%")</f>
        <v>$2,328▼-3.4%</v>
      </c>
      <c r="H10" s="23" t="s">
        <v>172</v>
      </c>
      <c r="I10" s="22"/>
      <c r="J10" s="23" t="str">
        <f>CONCATENATE("$",+TEXT(J4,"#,##0;;@"),IF((+J4/I4-1)&lt;0,+J16,+J15),ROUND((+'Summary Detailed'!O24)*100,1),"%")</f>
        <v>$2,604▼-5%</v>
      </c>
      <c r="K10" s="23" t="s">
        <v>172</v>
      </c>
      <c r="L10" s="22"/>
      <c r="M10" s="23" t="str">
        <f>CONCATENATE("$",+TEXT(M4,"#,##0;;@"),IF((+M4/L4-1)&lt;0,+M16,+M15),ROUND((+'Summary Detailed'!O30)*100,1),"%")</f>
        <v>$1,988▼-7.2%</v>
      </c>
      <c r="N10" s="23" t="s">
        <v>172</v>
      </c>
      <c r="O10" s="22"/>
      <c r="P10" s="23" t="str">
        <f>CONCATENATE("$",+TEXT(P4,"#,##0;;@"),IF((+P4/O4-1)&lt;0,+P16,+P15),ROUND((+'Summary Detailed'!O36)*100,1),"%")</f>
        <v>$2,334▲1.4%</v>
      </c>
    </row>
    <row r="11" spans="1:22" x14ac:dyDescent="0.25">
      <c r="B11" s="19" t="str">
        <f>+B5</f>
        <v>Wholesale cost component</v>
      </c>
      <c r="C11" s="19" t="s">
        <v>172</v>
      </c>
      <c r="D11" s="26" t="str">
        <f>CONCATENATE(IF(D5&lt;C5,+D16,+D15),"$",ABS(ROUND((D5-C5),0)))</f>
        <v>▼$100</v>
      </c>
      <c r="E11" s="27" t="s">
        <v>172</v>
      </c>
      <c r="F11" s="19" t="s">
        <v>172</v>
      </c>
      <c r="G11" s="26" t="str">
        <f>CONCATENATE(IF(G5&lt;F5,+G16,+G15),"$",ABS(ROUND((G5-F5),0)))</f>
        <v>▼$126</v>
      </c>
      <c r="H11" s="27" t="s">
        <v>172</v>
      </c>
      <c r="I11" s="19" t="s">
        <v>172</v>
      </c>
      <c r="J11" s="26" t="str">
        <f>CONCATENATE(IF(J5&lt;I5,+J16,+J15),"$",ABS(ROUND((J5-I5),0)))</f>
        <v>▼$124</v>
      </c>
      <c r="K11" s="27" t="s">
        <v>172</v>
      </c>
      <c r="L11" s="19" t="s">
        <v>172</v>
      </c>
      <c r="M11" s="26" t="str">
        <f>CONCATENATE(IF(M5&lt;L5,+M16,+M15),"$",ABS(ROUND((M5-L5),0)))</f>
        <v>▼$122</v>
      </c>
      <c r="N11" s="27"/>
      <c r="O11" s="19" t="s">
        <v>172</v>
      </c>
      <c r="P11" s="26" t="str">
        <f>CONCATENATE(IF(P5&lt;O5,+P16,+P15),"$",ABS(ROUND((P5-O5),0)))</f>
        <v>▼$16</v>
      </c>
    </row>
    <row r="12" spans="1:22" x14ac:dyDescent="0.25">
      <c r="B12" s="19" t="str">
        <f>+B6</f>
        <v>Network cost component</v>
      </c>
      <c r="D12" s="26" t="str">
        <f>CONCATENATE(IF(D6&lt;C6,+D16,+D15),"$",ABS(ROUND((D6-C6),0)))</f>
        <v>▲$66</v>
      </c>
      <c r="E12" s="27"/>
      <c r="G12" s="26" t="str">
        <f>CONCATENATE(IF(G6&lt;F6,+G16,+G15),"$",ABS(ROUND((G6-F6),0)))</f>
        <v>▲$80</v>
      </c>
      <c r="H12" s="27"/>
      <c r="J12" s="26" t="str">
        <f>CONCATENATE(IF(J6&lt;I6,+J16,+J15),"$",ABS(ROUND((J6-I6),0)))</f>
        <v>▲$34</v>
      </c>
      <c r="K12" s="27"/>
      <c r="M12" s="26" t="str">
        <f>CONCATENATE(IF(M6&lt;L6,+M16,+M15),"$",ABS(ROUND((M6-L6),0)))</f>
        <v>▲$39</v>
      </c>
      <c r="N12" s="27"/>
      <c r="P12" s="26" t="str">
        <f>CONCATENATE(IF(P6&lt;O6,+P16,+P15),"$",ABS(ROUND((P6-O6),0)))</f>
        <v>▲$77</v>
      </c>
    </row>
    <row r="13" spans="1:22" x14ac:dyDescent="0.25">
      <c r="B13" s="19" t="str">
        <f>+B7</f>
        <v>Environmental cost component</v>
      </c>
      <c r="D13" s="26" t="str">
        <f>CONCATENATE(IF(D7&lt;C7,+D16,+D15),"$",ABS(ROUND((D7-C7),0)))</f>
        <v>▼$21</v>
      </c>
      <c r="E13" s="27"/>
      <c r="G13" s="26" t="str">
        <f>CONCATENATE(IF(G7&lt;F7,+G16,+G15),"$",ABS(ROUND((G7-F7),0)))</f>
        <v>▼$27</v>
      </c>
      <c r="H13" s="27"/>
      <c r="J13" s="26" t="str">
        <f>CONCATENATE(IF(J7&lt;I7,+J16,+J15),"$",ABS(ROUND((J7-I7),0)))</f>
        <v>▼$24</v>
      </c>
      <c r="K13" s="27"/>
      <c r="M13" s="26" t="str">
        <f>CONCATENATE(IF(M7&lt;L7,+M16,+M15),"$",ABS(ROUND((M7-L7),0)))</f>
        <v>▼$19</v>
      </c>
      <c r="N13" s="27"/>
      <c r="P13" s="26" t="str">
        <f>CONCATENATE(IF(P7&lt;O7,+P16,+P15),"$",ABS(ROUND((P7-O7),0)))</f>
        <v>▼$26</v>
      </c>
    </row>
    <row r="14" spans="1:22" ht="13.5" customHeight="1" x14ac:dyDescent="0.25">
      <c r="B14" s="19" t="str">
        <f>+B8</f>
        <v>Retail cost component</v>
      </c>
      <c r="D14" s="26" t="str">
        <f>CONCATENATE(IF(D8&lt;C8,+D16,+D15),"$",ABS(ROUND((D8-C8),0)))</f>
        <v>▼$7</v>
      </c>
      <c r="E14" s="27"/>
      <c r="G14" s="26" t="str">
        <f>CONCATENATE(IF(G8&lt;F8,+G16,+G15),"$",ABS(ROUND((G8-F8),0)))</f>
        <v>▼$5</v>
      </c>
      <c r="H14" s="27"/>
      <c r="J14" s="26" t="str">
        <f>CONCATENATE(IF(J8&lt;I8,+J16,+J15),"$",ABS(ROUND((J8-I8),0)))</f>
        <v>▼$15</v>
      </c>
      <c r="K14" s="27"/>
      <c r="M14" s="26" t="str">
        <f>CONCATENATE(IF(M8&lt;L8,+M16,+M15),"$",ABS(ROUND((M8-L8),0)))</f>
        <v>▼$43</v>
      </c>
      <c r="N14" s="27"/>
      <c r="P14" s="26" t="str">
        <f>CONCATENATE(IF(P8&lt;O8,+P16,+P15),"$",ABS(ROUND((P8-O8),0)))</f>
        <v>▼$5</v>
      </c>
    </row>
    <row r="15" spans="1:22" ht="12.75" hidden="1" customHeight="1" x14ac:dyDescent="0.3">
      <c r="D15" s="24" t="s">
        <v>204</v>
      </c>
      <c r="E15" s="24"/>
      <c r="F15" s="24"/>
      <c r="G15" s="24" t="s">
        <v>204</v>
      </c>
      <c r="H15" s="24"/>
      <c r="I15" s="24"/>
      <c r="J15" s="24" t="s">
        <v>204</v>
      </c>
      <c r="K15" s="24"/>
      <c r="L15" s="24"/>
      <c r="M15" s="24" t="s">
        <v>204</v>
      </c>
      <c r="N15" s="24"/>
      <c r="O15" s="24"/>
      <c r="P15" s="24" t="s">
        <v>204</v>
      </c>
    </row>
    <row r="16" spans="1:22" hidden="1" x14ac:dyDescent="0.25">
      <c r="B16" s="19" t="s">
        <v>205</v>
      </c>
      <c r="D16" s="25" t="s">
        <v>206</v>
      </c>
      <c r="E16" s="25"/>
      <c r="F16" s="25"/>
      <c r="G16" s="25" t="s">
        <v>206</v>
      </c>
      <c r="H16" s="25"/>
      <c r="I16" s="25"/>
      <c r="J16" s="25" t="s">
        <v>206</v>
      </c>
      <c r="K16" s="25"/>
      <c r="L16" s="25"/>
      <c r="M16" s="25" t="s">
        <v>206</v>
      </c>
      <c r="N16" s="25"/>
      <c r="O16" s="25"/>
      <c r="P16" s="25" t="s">
        <v>206</v>
      </c>
    </row>
    <row r="17" spans="4:16" hidden="1" x14ac:dyDescent="0.25">
      <c r="D17" s="28">
        <f>ROUND(+D4/C4-1,1)</f>
        <v>0</v>
      </c>
      <c r="G17" s="28">
        <f>ROUND(+G4/F4-1,1)</f>
        <v>0</v>
      </c>
      <c r="J17" s="28">
        <f>ROUND(+J4/I4-1,1)</f>
        <v>0</v>
      </c>
      <c r="M17" s="28">
        <f>ROUND(+M4/L4-1,1)</f>
        <v>-0.1</v>
      </c>
      <c r="P17" s="28">
        <f>ROUND(+P4/O4-1,1)</f>
        <v>0</v>
      </c>
    </row>
    <row r="18" spans="4:16" hidden="1" x14ac:dyDescent="0.25">
      <c r="D18" s="28">
        <f>+D4/C4-1</f>
        <v>-3.3587786259541952E-2</v>
      </c>
      <c r="G18" s="28">
        <f>+G4/F4-1</f>
        <v>-3.4425549564496061E-2</v>
      </c>
      <c r="J18" s="28">
        <f>+J4/I4-1</f>
        <v>-4.9981758482305683E-2</v>
      </c>
      <c r="M18" s="28">
        <f>+M4/L4-1</f>
        <v>-7.232851143257113E-2</v>
      </c>
      <c r="P18" s="28">
        <f>+P4/O4-1</f>
        <v>1.4341590612777066E-2</v>
      </c>
    </row>
  </sheetData>
  <sheetProtection algorithmName="SHA-256" hashValue="xfV50NpDQf62pHxZXZNW3Fv6SQeiTJA3rVt/WpVcz9M=" saltValue="iwoTnzix+OwDJYw9RGCsOg==" spinCount="100000" sheet="1" formatCells="0" formatColumns="0" formatRows="0" sort="0" autoFilter="0" pivotTables="0"/>
  <mergeCells count="6">
    <mergeCell ref="O2:P2"/>
    <mergeCell ref="A1:B1"/>
    <mergeCell ref="C2:D2"/>
    <mergeCell ref="F2:G2"/>
    <mergeCell ref="I2:J2"/>
    <mergeCell ref="L2:M2"/>
  </mergeCells>
  <hyperlinks>
    <hyperlink ref="A1" location="Index!A1" display="&lt;&lt;Back to Index" xr:uid="{3ED41310-E1F3-43F9-989B-E7253FD65385}"/>
  </hyperlinks>
  <pageMargins left="0.7" right="0.7" top="0.75" bottom="0.75" header="0.3" footer="0.3"/>
  <headerFooter>
    <oddHeader>&amp;C&amp;"Calibri"&amp;10&amp;KFF0000 OFFICIAL SENSITIVE&amp;1#_x000D_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8B89-B172-472D-8D31-BE309A62746E}">
  <sheetPr>
    <tabColor theme="9" tint="-0.249977111117893"/>
  </sheetPr>
  <dimension ref="A1:W67"/>
  <sheetViews>
    <sheetView showGridLines="0" zoomScale="70" zoomScaleNormal="70" workbookViewId="0">
      <selection activeCell="D59" sqref="D59"/>
    </sheetView>
  </sheetViews>
  <sheetFormatPr defaultColWidth="8.7265625" defaultRowHeight="14" x14ac:dyDescent="0.3"/>
  <cols>
    <col min="1" max="1" width="18" style="32" customWidth="1"/>
    <col min="2" max="2" width="31.54296875" style="32" bestFit="1" customWidth="1"/>
    <col min="3" max="4" width="17.453125" style="32" customWidth="1"/>
    <col min="5" max="11" width="1.54296875" style="32" customWidth="1"/>
    <col min="12" max="12" width="23.7265625" style="32" customWidth="1"/>
    <col min="13" max="13" width="20.54296875" style="32" customWidth="1"/>
    <col min="14" max="14" width="28.1796875" style="32" customWidth="1"/>
    <col min="15" max="15" width="20.54296875" style="32" customWidth="1"/>
    <col min="16" max="16" width="23.1796875" style="32" bestFit="1" customWidth="1"/>
    <col min="17" max="17" width="20.54296875" style="32" customWidth="1"/>
    <col min="18" max="18" width="14.453125" style="32" bestFit="1" customWidth="1"/>
    <col min="19" max="19" width="23.7265625" style="32" customWidth="1"/>
    <col min="20" max="20" width="20.54296875" style="32" customWidth="1"/>
    <col min="21" max="21" width="28.1796875" style="32" customWidth="1"/>
    <col min="22" max="22" width="20.54296875" style="32" customWidth="1"/>
    <col min="23" max="23" width="23.1796875" style="32" bestFit="1" customWidth="1"/>
    <col min="24" max="16384" width="8.7265625" style="32"/>
  </cols>
  <sheetData>
    <row r="1" spans="1:23" x14ac:dyDescent="0.3">
      <c r="A1" s="29"/>
      <c r="B1" s="30" t="s">
        <v>172</v>
      </c>
      <c r="C1" s="30"/>
      <c r="D1" s="31"/>
      <c r="E1" s="30"/>
      <c r="F1" s="30"/>
      <c r="G1" s="30"/>
    </row>
    <row r="2" spans="1:23" s="493" customFormat="1" ht="27" customHeight="1" x14ac:dyDescent="0.3">
      <c r="A2" s="61" t="str">
        <f>"DMO "&amp;FY&amp;" "&amp;'Network Tariff codes'!D8&amp;" Determination Prices and Tariffs"</f>
        <v>DMO 2026-27 Final Determination Prices and Tariffs</v>
      </c>
      <c r="B2" s="62"/>
      <c r="C2" s="62"/>
      <c r="D2" s="62"/>
      <c r="E2" s="62"/>
      <c r="F2" s="492"/>
      <c r="G2" s="62"/>
    </row>
    <row r="3" spans="1:23" ht="33" customHeight="1" x14ac:dyDescent="0.3">
      <c r="B3" s="30" t="s">
        <v>172</v>
      </c>
      <c r="C3" s="30"/>
      <c r="D3" s="30"/>
      <c r="E3" s="30"/>
      <c r="F3" s="35"/>
      <c r="G3" s="30"/>
      <c r="N3" s="37"/>
      <c r="S3" s="457" t="s">
        <v>300</v>
      </c>
    </row>
    <row r="4" spans="1:23" ht="28.5" customHeight="1" x14ac:dyDescent="0.3">
      <c r="A4" s="48" t="s">
        <v>19</v>
      </c>
      <c r="B4" s="291" t="s">
        <v>120</v>
      </c>
      <c r="C4" s="397" t="s">
        <v>55</v>
      </c>
      <c r="E4" s="30"/>
      <c r="F4" s="35"/>
      <c r="G4" s="30"/>
      <c r="L4" s="48" t="s">
        <v>6</v>
      </c>
      <c r="M4" s="48" t="s">
        <v>257</v>
      </c>
      <c r="N4" s="291"/>
      <c r="S4" s="48" t="s">
        <v>6</v>
      </c>
      <c r="T4" s="48" t="s">
        <v>257</v>
      </c>
      <c r="U4" s="291"/>
    </row>
    <row r="5" spans="1:23" ht="20.149999999999999" customHeight="1" x14ac:dyDescent="0.3">
      <c r="A5" s="275" t="s">
        <v>1</v>
      </c>
      <c r="B5" s="441"/>
      <c r="C5" s="445" t="s">
        <v>6</v>
      </c>
      <c r="D5" s="445" t="s">
        <v>13</v>
      </c>
      <c r="E5" s="30"/>
      <c r="F5" s="35"/>
      <c r="G5" s="30"/>
      <c r="L5" s="280" t="s">
        <v>1</v>
      </c>
      <c r="M5" s="281"/>
      <c r="N5" s="285" t="s">
        <v>306</v>
      </c>
      <c r="O5" s="57"/>
      <c r="P5" s="284"/>
      <c r="Q5" s="284"/>
      <c r="S5" s="280" t="s">
        <v>1</v>
      </c>
      <c r="T5" s="281"/>
      <c r="U5" s="388" t="s">
        <v>353</v>
      </c>
      <c r="V5" s="57"/>
      <c r="W5" s="284"/>
    </row>
    <row r="6" spans="1:23" ht="16" thickBot="1" x14ac:dyDescent="0.35">
      <c r="A6" s="51" t="s">
        <v>2</v>
      </c>
      <c r="B6" s="51"/>
      <c r="C6" s="446"/>
      <c r="D6" s="446"/>
      <c r="E6" s="30"/>
      <c r="F6" s="35"/>
      <c r="G6" s="30"/>
      <c r="L6" s="276"/>
      <c r="M6" s="278" t="s">
        <v>254</v>
      </c>
      <c r="N6" s="278" t="str">
        <f>Ausgrid!Z50</f>
        <v>Peak</v>
      </c>
      <c r="O6" s="278" t="str">
        <f>Ausgrid!AA50</f>
        <v>Off peak</v>
      </c>
      <c r="P6" s="282"/>
      <c r="Q6" s="282"/>
      <c r="S6" s="389"/>
      <c r="T6" s="390" t="s">
        <v>254</v>
      </c>
      <c r="U6" s="390" t="s">
        <v>263</v>
      </c>
      <c r="V6" s="390" t="s">
        <v>264</v>
      </c>
      <c r="W6" s="282"/>
    </row>
    <row r="7" spans="1:23" ht="20.149999999999999" customHeight="1" x14ac:dyDescent="0.3">
      <c r="A7" s="51"/>
      <c r="B7" s="51" t="s">
        <v>291</v>
      </c>
      <c r="C7" s="447">
        <f>VLOOKUP($C$4,Ausgrid!$I$50:$AW$57,8,)</f>
        <v>166.2288717402233</v>
      </c>
      <c r="D7" s="448">
        <f>VLOOKUP($C$4,Ausgrid!$I$50:$AW$57,26,)</f>
        <v>372.74763414305312</v>
      </c>
      <c r="E7" s="30"/>
      <c r="F7" s="35"/>
      <c r="G7" s="30"/>
      <c r="L7" s="277" t="s">
        <v>2</v>
      </c>
      <c r="M7" s="279">
        <f>Ausgrid!Y57</f>
        <v>176.41055100346119</v>
      </c>
      <c r="N7" s="279">
        <f>Ausgrid!Z57</f>
        <v>60.196611667222037</v>
      </c>
      <c r="O7" s="279">
        <f>Ausgrid!AA57</f>
        <v>24.038651279131191</v>
      </c>
      <c r="P7" s="283"/>
      <c r="Q7" s="283"/>
      <c r="S7" s="277" t="s">
        <v>2</v>
      </c>
      <c r="T7" s="279">
        <f>Ausgrid!Y57</f>
        <v>176.41055100346119</v>
      </c>
      <c r="U7" s="279">
        <f>SSO!K9/10</f>
        <v>63.717698221921772</v>
      </c>
      <c r="V7" s="279">
        <f>SSO!K8/10</f>
        <v>27.559737833830933</v>
      </c>
      <c r="W7" s="283"/>
    </row>
    <row r="8" spans="1:23" ht="20.149999999999999" customHeight="1" x14ac:dyDescent="0.3">
      <c r="A8" s="51"/>
      <c r="B8" s="51" t="s">
        <v>290</v>
      </c>
      <c r="C8" s="448">
        <f>VLOOKUP($C$4,Ausgrid!$I$50:$AW$57,9,)</f>
        <v>33.137203670244183</v>
      </c>
      <c r="D8" s="448">
        <f>VLOOKUP($C$4,Ausgrid!$I$50:$AW$57,27,)</f>
        <v>31.629265199466186</v>
      </c>
      <c r="E8" s="30"/>
      <c r="F8" s="35"/>
      <c r="G8" s="30"/>
    </row>
    <row r="9" spans="1:23" ht="20.149999999999999" customHeight="1" thickBot="1" x14ac:dyDescent="0.35">
      <c r="A9" s="51"/>
      <c r="B9" s="538" t="s">
        <v>256</v>
      </c>
      <c r="C9" s="539" cm="1">
        <f t="array" ref="C9">_xlfn.XLOOKUP(1,(A$6=Wholesale_DistributionZone)*($C$5=Wholesale_CustomerType)*($A$4=Wholesale_TariffType),Wholesale_Usage)</f>
        <v>3900</v>
      </c>
      <c r="D9" s="540" cm="1">
        <f t="array" ref="D9">_xlfn.XLOOKUP(1,($A$6=Wholesale_DistributionZone)*($D$5=Wholesale_CustomerType)*($A$4=Wholesale_TariffType),Wholesale_Usage)</f>
        <v>10000</v>
      </c>
      <c r="E9" s="30"/>
      <c r="F9" s="35"/>
      <c r="G9" s="30"/>
      <c r="L9" s="290"/>
      <c r="M9" s="278" t="s">
        <v>254</v>
      </c>
      <c r="N9" s="278" t="str">
        <f>Endeavour!AB50</f>
        <v>High season peak</v>
      </c>
      <c r="O9" s="278" t="str">
        <f>Endeavour!AC50</f>
        <v>Low season peak</v>
      </c>
      <c r="P9" s="278" t="str">
        <f>Endeavour!AD50</f>
        <v>Off peak</v>
      </c>
      <c r="Q9" s="278" t="str">
        <f>Endeavour!AE50</f>
        <v>Solar soak</v>
      </c>
      <c r="S9" s="391"/>
      <c r="T9" s="390" t="s">
        <v>254</v>
      </c>
      <c r="U9" s="390" t="s">
        <v>263</v>
      </c>
      <c r="V9" s="390" t="s">
        <v>264</v>
      </c>
      <c r="W9" s="390" t="s">
        <v>271</v>
      </c>
    </row>
    <row r="10" spans="1:23" ht="20.149999999999999" customHeight="1" x14ac:dyDescent="0.3">
      <c r="A10" s="53"/>
      <c r="B10" s="526" t="s">
        <v>288</v>
      </c>
      <c r="C10" s="527">
        <f>C7*Days/100</f>
        <v>606.73538185181508</v>
      </c>
      <c r="D10" s="527">
        <f>D7*Days/100</f>
        <v>1360.5288646221441</v>
      </c>
      <c r="E10" s="30"/>
      <c r="F10" s="35"/>
      <c r="G10" s="30"/>
      <c r="L10" s="277" t="s">
        <v>4</v>
      </c>
      <c r="M10" s="279">
        <f>Endeavour!AA57</f>
        <v>185.13502725008888</v>
      </c>
      <c r="N10" s="279">
        <f>Endeavour!AB57</f>
        <v>46.571909180561036</v>
      </c>
      <c r="O10" s="279">
        <f>Endeavour!AC57</f>
        <v>47.137944559058383</v>
      </c>
      <c r="P10" s="279">
        <f>Endeavour!AD57</f>
        <v>35.69067657274654</v>
      </c>
      <c r="Q10" s="279">
        <f>Endeavour!AE57</f>
        <v>12.347576424435255</v>
      </c>
      <c r="S10" s="277" t="s">
        <v>4</v>
      </c>
      <c r="T10" s="279">
        <f>Endeavour!AA57</f>
        <v>185.13502725008888</v>
      </c>
      <c r="U10" s="279">
        <f>SSO!K15/10</f>
        <v>48.748161368641249</v>
      </c>
      <c r="V10" s="279">
        <f>SSO!K14/10</f>
        <v>37.530002940292619</v>
      </c>
      <c r="W10" s="279">
        <f>SSO!K16/10</f>
        <v>14.186902791981334</v>
      </c>
    </row>
    <row r="11" spans="1:23" ht="20.149999999999999" customHeight="1" x14ac:dyDescent="0.3">
      <c r="A11" s="53"/>
      <c r="B11" s="528" t="s">
        <v>289</v>
      </c>
      <c r="C11" s="529">
        <f>C8*C9/100</f>
        <v>1292.3509431395232</v>
      </c>
      <c r="D11" s="529">
        <f>D8*D9/100</f>
        <v>3162.9265199466186</v>
      </c>
      <c r="E11" s="30"/>
      <c r="F11" s="35"/>
      <c r="G11" s="30"/>
    </row>
    <row r="12" spans="1:23" ht="20.149999999999999" customHeight="1" thickBot="1" x14ac:dyDescent="0.35">
      <c r="A12" s="53"/>
      <c r="B12" s="530" t="s">
        <v>244</v>
      </c>
      <c r="C12" s="531">
        <f>SUM(C10:C11)</f>
        <v>1899.0863249913382</v>
      </c>
      <c r="D12" s="531">
        <f>SUM(D10:D11)</f>
        <v>4523.4553845687624</v>
      </c>
      <c r="E12" s="30"/>
      <c r="F12" s="35"/>
      <c r="G12" s="30"/>
      <c r="L12" s="290"/>
      <c r="M12" s="278" t="s">
        <v>254</v>
      </c>
      <c r="N12" s="278" t="str">
        <f>Essential!Y50</f>
        <v>Peak</v>
      </c>
      <c r="O12" s="278" t="str">
        <f>Essential!Z50</f>
        <v>Off peak</v>
      </c>
      <c r="P12" s="57"/>
      <c r="Q12" s="57"/>
      <c r="S12" s="391"/>
      <c r="T12" s="390" t="s">
        <v>254</v>
      </c>
      <c r="U12" s="390" t="s">
        <v>263</v>
      </c>
      <c r="V12" s="390" t="s">
        <v>264</v>
      </c>
      <c r="W12" s="57"/>
    </row>
    <row r="13" spans="1:23" ht="20.149999999999999" customHeight="1" x14ac:dyDescent="0.3">
      <c r="A13" s="57"/>
      <c r="B13" s="57"/>
      <c r="C13" s="450"/>
      <c r="D13" s="450"/>
      <c r="E13" s="30"/>
      <c r="F13" s="35"/>
      <c r="G13" s="30"/>
      <c r="L13" s="277" t="s">
        <v>3</v>
      </c>
      <c r="M13" s="279">
        <f>Essential!X57</f>
        <v>272.21678373919946</v>
      </c>
      <c r="N13" s="279">
        <f>Essential!Y57</f>
        <v>42.118777313656857</v>
      </c>
      <c r="O13" s="279">
        <f>Essential!Z57</f>
        <v>24.144848188452706</v>
      </c>
      <c r="P13" s="57"/>
      <c r="Q13" s="57"/>
      <c r="S13" s="277" t="s">
        <v>3</v>
      </c>
      <c r="T13" s="279">
        <f>Essential!X57</f>
        <v>272.21678373919946</v>
      </c>
      <c r="U13" s="279">
        <f>SSO!K22/10</f>
        <v>45.569756377909869</v>
      </c>
      <c r="V13" s="279">
        <f>SSO!K21/10</f>
        <v>27.595827252705714</v>
      </c>
      <c r="W13" s="57"/>
    </row>
    <row r="14" spans="1:23" ht="20.149999999999999" customHeight="1" x14ac:dyDescent="0.3">
      <c r="A14" s="57"/>
      <c r="B14" s="57"/>
      <c r="C14" s="450"/>
      <c r="D14" s="450"/>
      <c r="E14" s="30"/>
      <c r="F14" s="35"/>
      <c r="G14" s="30"/>
    </row>
    <row r="15" spans="1:23" ht="20.149999999999999" customHeight="1" thickBot="1" x14ac:dyDescent="0.35">
      <c r="A15" s="49"/>
      <c r="B15" s="443"/>
      <c r="C15" s="451"/>
      <c r="D15" s="451"/>
      <c r="E15" s="30"/>
      <c r="F15" s="35"/>
      <c r="G15" s="30"/>
      <c r="L15" s="290"/>
      <c r="M15" s="278" t="s">
        <v>254</v>
      </c>
      <c r="N15" s="278" t="str">
        <f>Energex!Y50</f>
        <v>Peak</v>
      </c>
      <c r="O15" s="278" t="str">
        <f>Energex!Z50</f>
        <v>Off peak</v>
      </c>
      <c r="P15" s="278" t="str">
        <f>Energex!AA50</f>
        <v>Shoulder</v>
      </c>
      <c r="Q15" s="57"/>
      <c r="S15" s="391"/>
      <c r="T15" s="390" t="s">
        <v>254</v>
      </c>
      <c r="U15" s="390" t="s">
        <v>263</v>
      </c>
      <c r="V15" s="390" t="s">
        <v>264</v>
      </c>
      <c r="W15" s="390" t="s">
        <v>277</v>
      </c>
    </row>
    <row r="16" spans="1:23" ht="20.149999999999999" customHeight="1" x14ac:dyDescent="0.3">
      <c r="A16" s="54" t="s">
        <v>4</v>
      </c>
      <c r="B16" s="54"/>
      <c r="C16" s="452"/>
      <c r="D16" s="453"/>
      <c r="E16" s="30"/>
      <c r="F16" s="35"/>
      <c r="G16" s="30"/>
      <c r="L16" s="277" t="s">
        <v>0</v>
      </c>
      <c r="M16" s="279">
        <f>Energex!X57</f>
        <v>177.85308407641543</v>
      </c>
      <c r="N16" s="279">
        <f>Energex!Y57</f>
        <v>47.785771534267688</v>
      </c>
      <c r="O16" s="279">
        <f>Energex!Z57</f>
        <v>6.9848494235280381</v>
      </c>
      <c r="P16" s="279">
        <f>Energex!AA57</f>
        <v>25.295630960080278</v>
      </c>
      <c r="Q16" s="57"/>
      <c r="S16" s="277" t="s">
        <v>0</v>
      </c>
      <c r="T16" s="279">
        <f>Energex!X57</f>
        <v>177.85308407641543</v>
      </c>
      <c r="U16" s="279">
        <f>SSO!K29/10</f>
        <v>48.902017478534468</v>
      </c>
      <c r="V16" s="279">
        <f>SSO!K28/10</f>
        <v>8.1010953677948176</v>
      </c>
      <c r="W16" s="279">
        <f>SSO!K30/10</f>
        <v>26.411876904347061</v>
      </c>
    </row>
    <row r="17" spans="1:23" ht="20.149999999999999" customHeight="1" x14ac:dyDescent="0.3">
      <c r="A17" s="54"/>
      <c r="B17" s="54" t="s">
        <v>291</v>
      </c>
      <c r="C17" s="454">
        <f>VLOOKUP($C$4,Endeavour!$H$50:$AW$57,8,)</f>
        <v>185.13502725008888</v>
      </c>
      <c r="D17" s="454">
        <f>VLOOKUP($C$4,Endeavour!$H$50:$AW$57,33,)</f>
        <v>244.13748346868684</v>
      </c>
      <c r="E17" s="30"/>
      <c r="F17" s="35"/>
      <c r="G17" s="30"/>
    </row>
    <row r="18" spans="1:23" ht="20.149999999999999" customHeight="1" thickBot="1" x14ac:dyDescent="0.35">
      <c r="A18" s="54"/>
      <c r="B18" s="54" t="s">
        <v>290</v>
      </c>
      <c r="C18" s="454">
        <f>VLOOKUP($C$4,Endeavour!$H$50:$AW$57,9,)</f>
        <v>33.72732584933653</v>
      </c>
      <c r="D18" s="454">
        <f>VLOOKUP($C$4,Endeavour!$H$50:$AW$57,34,)</f>
        <v>34.519762487538792</v>
      </c>
      <c r="E18" s="30"/>
      <c r="F18" s="35"/>
      <c r="G18" s="30"/>
      <c r="L18" s="290"/>
      <c r="M18" s="278" t="s">
        <v>254</v>
      </c>
      <c r="N18" s="278" t="str">
        <f>SAPN!Y50</f>
        <v>Peak</v>
      </c>
      <c r="O18" s="278" t="str">
        <f>SAPN!Z50</f>
        <v>Off peak</v>
      </c>
      <c r="P18" s="278" t="str">
        <f>SAPN!AA50</f>
        <v>Solar soak</v>
      </c>
      <c r="Q18" s="57"/>
      <c r="S18" s="391"/>
      <c r="T18" s="390" t="s">
        <v>254</v>
      </c>
      <c r="U18" s="390" t="s">
        <v>263</v>
      </c>
      <c r="V18" s="390" t="s">
        <v>264</v>
      </c>
      <c r="W18" s="390" t="s">
        <v>379</v>
      </c>
    </row>
    <row r="19" spans="1:23" ht="20.149999999999999" customHeight="1" x14ac:dyDescent="0.3">
      <c r="A19" s="54"/>
      <c r="B19" s="764" t="s">
        <v>401</v>
      </c>
      <c r="C19" s="454"/>
      <c r="D19" s="454">
        <f>VLOOKUP($C$4,Endeavour!$H$50:$AW$57,35,)</f>
        <v>36.076936916867652</v>
      </c>
      <c r="E19" s="30"/>
      <c r="F19" s="35"/>
      <c r="G19" s="30"/>
      <c r="L19" s="277" t="s">
        <v>5</v>
      </c>
      <c r="M19" s="279">
        <f>SAPN!X57</f>
        <v>180.05118195485952</v>
      </c>
      <c r="N19" s="279">
        <f>SAPN!Y57</f>
        <v>56.221821845760175</v>
      </c>
      <c r="O19" s="279">
        <f>SAPN!Z57</f>
        <v>32.550615238818288</v>
      </c>
      <c r="P19" s="279">
        <f>SAPN!AA57</f>
        <v>17.043066047622624</v>
      </c>
      <c r="Q19" s="57"/>
      <c r="S19" s="277" t="s">
        <v>5</v>
      </c>
      <c r="T19" s="279">
        <f>SAPN!X57</f>
        <v>180.05118195485952</v>
      </c>
      <c r="U19" s="279">
        <f>SSO!K36/10</f>
        <v>58.841977497953145</v>
      </c>
      <c r="V19" s="279">
        <f>SSO!K35/10</f>
        <v>35.170770891011252</v>
      </c>
      <c r="W19" s="279">
        <f>SSO!K37/10</f>
        <v>19.663221699815587</v>
      </c>
    </row>
    <row r="20" spans="1:23" ht="20.149999999999999" customHeight="1" x14ac:dyDescent="0.3">
      <c r="A20" s="56"/>
      <c r="B20" s="541" t="s">
        <v>256</v>
      </c>
      <c r="C20" s="542" cm="1">
        <f t="array" ref="C20">_xlfn.XLOOKUP(1,(A$16=Wholesale_DistributionZone)*($C$5=Wholesale_CustomerType)*($A$4=Wholesale_TariffType),Wholesale_Usage)</f>
        <v>4900</v>
      </c>
      <c r="D20" s="542" cm="1">
        <f t="array" ref="D20">_xlfn.XLOOKUP(1,($A$16=Wholesale_DistributionZone)*($D$5=Wholesale_CustomerType)*($A$4=Wholesale_TariffType),Wholesale_Usage)</f>
        <v>10000</v>
      </c>
      <c r="E20" s="30"/>
      <c r="F20" s="35"/>
      <c r="G20" s="30"/>
      <c r="L20" s="291" t="s">
        <v>120</v>
      </c>
      <c r="S20" s="291" t="s">
        <v>120</v>
      </c>
    </row>
    <row r="21" spans="1:23" ht="20.149999999999999" customHeight="1" x14ac:dyDescent="0.3">
      <c r="A21" s="56"/>
      <c r="B21" s="532" t="s">
        <v>288</v>
      </c>
      <c r="C21" s="533">
        <f>C17*Days/100</f>
        <v>675.74284946282432</v>
      </c>
      <c r="D21" s="533">
        <f>D17*Days/100</f>
        <v>891.10181466070708</v>
      </c>
      <c r="E21" s="30"/>
      <c r="F21" s="35"/>
      <c r="G21" s="30"/>
    </row>
    <row r="22" spans="1:23" x14ac:dyDescent="0.3">
      <c r="A22" s="56"/>
      <c r="B22" s="534" t="s">
        <v>289</v>
      </c>
      <c r="C22" s="535">
        <f>C18*C20/100</f>
        <v>1652.63896661749</v>
      </c>
      <c r="D22" s="535">
        <f>D18*D20/100</f>
        <v>3451.9762487538792</v>
      </c>
      <c r="E22" s="30"/>
      <c r="F22" s="35"/>
      <c r="G22" s="30"/>
    </row>
    <row r="23" spans="1:23" ht="20" x14ac:dyDescent="0.3">
      <c r="A23" s="59"/>
      <c r="B23" s="536" t="s">
        <v>244</v>
      </c>
      <c r="C23" s="537">
        <f>SUM(C21:C22)</f>
        <v>2328.3818160803144</v>
      </c>
      <c r="D23" s="537">
        <f>SUM(D21:D22)</f>
        <v>4343.0780634145867</v>
      </c>
      <c r="E23" s="30"/>
      <c r="F23" s="35"/>
      <c r="G23" s="30"/>
      <c r="L23" s="48" t="s">
        <v>76</v>
      </c>
      <c r="M23" s="48" t="s">
        <v>257</v>
      </c>
      <c r="N23" s="291"/>
    </row>
    <row r="24" spans="1:23" x14ac:dyDescent="0.3">
      <c r="A24" s="59"/>
      <c r="B24" s="59"/>
      <c r="C24" s="452"/>
      <c r="D24" s="452"/>
      <c r="E24" s="30"/>
      <c r="F24" s="35"/>
      <c r="G24" s="30"/>
    </row>
    <row r="25" spans="1:23" ht="14.5" customHeight="1" x14ac:dyDescent="0.3">
      <c r="A25" s="56"/>
      <c r="B25" s="444"/>
      <c r="C25" s="455"/>
      <c r="D25" s="455"/>
      <c r="E25" s="30"/>
      <c r="F25" s="35"/>
      <c r="G25" s="30"/>
      <c r="L25" s="280" t="s">
        <v>1</v>
      </c>
      <c r="M25" s="890" t="s">
        <v>305</v>
      </c>
      <c r="N25" s="285" t="s">
        <v>306</v>
      </c>
      <c r="O25" s="57"/>
      <c r="P25" s="57"/>
      <c r="Q25" s="284"/>
    </row>
    <row r="26" spans="1:23" ht="16" thickBot="1" x14ac:dyDescent="0.35">
      <c r="A26" s="51" t="s">
        <v>3</v>
      </c>
      <c r="B26" s="51"/>
      <c r="C26" s="446"/>
      <c r="D26" s="446"/>
      <c r="E26" s="30"/>
      <c r="F26" s="35"/>
      <c r="G26" s="30"/>
      <c r="L26" s="276"/>
      <c r="M26" s="891"/>
      <c r="N26" s="278" t="str">
        <f>Ausgrid!AR50</f>
        <v>Peak</v>
      </c>
      <c r="O26" s="278" t="str">
        <f>Ausgrid!AS50</f>
        <v>Off peak</v>
      </c>
      <c r="P26" s="57"/>
      <c r="Q26" s="282"/>
    </row>
    <row r="27" spans="1:23" ht="15.5" x14ac:dyDescent="0.3">
      <c r="A27" s="51"/>
      <c r="B27" s="51" t="s">
        <v>291</v>
      </c>
      <c r="C27" s="448">
        <f>VLOOKUP($C$4,Essential!$H$50:$BG$57,8,)</f>
        <v>272.21678373919946</v>
      </c>
      <c r="D27" s="448">
        <f>VLOOKUP($C$4,Essential!$H$50:$BG$57,26,)</f>
        <v>405.65424991254099</v>
      </c>
      <c r="E27" s="30"/>
      <c r="F27" s="35"/>
      <c r="G27" s="30"/>
      <c r="L27" s="277" t="s">
        <v>2</v>
      </c>
      <c r="M27" s="279">
        <f>Ausgrid!AQ57</f>
        <v>387.58330108258997</v>
      </c>
      <c r="N27" s="279">
        <f>Ausgrid!AR57</f>
        <v>71.474340434439341</v>
      </c>
      <c r="O27" s="279">
        <f>Ausgrid!AS57</f>
        <v>24.802075317895852</v>
      </c>
      <c r="P27" s="57"/>
      <c r="Q27" s="283"/>
    </row>
    <row r="28" spans="1:23" ht="15.5" x14ac:dyDescent="0.3">
      <c r="A28" s="51"/>
      <c r="B28" s="51" t="s">
        <v>290</v>
      </c>
      <c r="C28" s="448">
        <f>VLOOKUP($C$4,Essential!$H$50:$BG$57,9,)</f>
        <v>35.005394721251882</v>
      </c>
      <c r="D28" s="448">
        <f>VLOOKUP($C$4,Essential!$H$50:$BG$57,27,)</f>
        <v>40.366663466949461</v>
      </c>
      <c r="E28" s="30"/>
      <c r="F28" s="35"/>
      <c r="G28" s="30"/>
    </row>
    <row r="29" spans="1:23" ht="16" thickBot="1" x14ac:dyDescent="0.35">
      <c r="A29" s="51"/>
      <c r="B29" s="538" t="s">
        <v>256</v>
      </c>
      <c r="C29" s="539" cm="1">
        <f t="array" ref="C29">_xlfn.XLOOKUP(1,(A$26=Wholesale_DistributionZone)*($C$5=Wholesale_CustomerType)*($A$4=Wholesale_TariffType),Wholesale_Usage)</f>
        <v>4600</v>
      </c>
      <c r="D29" s="540" cm="1">
        <f t="array" ref="D29">_xlfn.XLOOKUP(1,($A$26=Wholesale_DistributionZone)*($D$5=Wholesale_CustomerType)*($A$4=Wholesale_TariffType),Wholesale_Usage)</f>
        <v>10000</v>
      </c>
      <c r="E29" s="30"/>
      <c r="F29" s="35"/>
      <c r="G29" s="30"/>
      <c r="L29" s="276"/>
      <c r="M29" s="278" t="s">
        <v>254</v>
      </c>
      <c r="N29" s="278" t="str">
        <f>Endeavour!BB50</f>
        <v>High season peak</v>
      </c>
      <c r="O29" s="278" t="str">
        <f>Endeavour!BC50</f>
        <v>Low season peak</v>
      </c>
      <c r="P29" s="278" t="str">
        <f>Endeavour!BD50</f>
        <v>Off peak</v>
      </c>
      <c r="Q29" s="278" t="str">
        <f>Endeavour!BE50</f>
        <v>Solar soak</v>
      </c>
    </row>
    <row r="30" spans="1:23" ht="14.15" customHeight="1" x14ac:dyDescent="0.3">
      <c r="A30" s="53"/>
      <c r="B30" s="526" t="s">
        <v>288</v>
      </c>
      <c r="C30" s="527">
        <f>C27*Days/100</f>
        <v>993.59126064807799</v>
      </c>
      <c r="D30" s="527">
        <f>D27*Days/100</f>
        <v>1480.6380121807745</v>
      </c>
      <c r="E30" s="30"/>
      <c r="F30" s="35"/>
      <c r="G30" s="30"/>
      <c r="L30" s="277" t="s">
        <v>4</v>
      </c>
      <c r="M30" s="279">
        <f>Endeavour!BA57</f>
        <v>244.13748346868684</v>
      </c>
      <c r="N30" s="279">
        <f>Endeavour!BB57</f>
        <v>49.672058261276874</v>
      </c>
      <c r="O30" s="279">
        <f>Endeavour!BC57</f>
        <v>50.238093639774227</v>
      </c>
      <c r="P30" s="279">
        <f>Endeavour!BD57</f>
        <v>38.790825653462392</v>
      </c>
      <c r="Q30" s="279">
        <f>Endeavour!BE57</f>
        <v>14.190916994512802</v>
      </c>
    </row>
    <row r="31" spans="1:23" ht="14.15" customHeight="1" x14ac:dyDescent="0.3">
      <c r="A31" s="53"/>
      <c r="B31" s="528" t="s">
        <v>289</v>
      </c>
      <c r="C31" s="529">
        <f>C28*C29/100</f>
        <v>1610.2481571775868</v>
      </c>
      <c r="D31" s="529">
        <f>D28*D29/100</f>
        <v>4036.6663466949462</v>
      </c>
      <c r="E31" s="30"/>
      <c r="F31" s="35"/>
      <c r="G31" s="30"/>
    </row>
    <row r="32" spans="1:23" ht="14.5" thickBot="1" x14ac:dyDescent="0.35">
      <c r="A32" s="53"/>
      <c r="B32" s="530" t="s">
        <v>244</v>
      </c>
      <c r="C32" s="531">
        <f>SUM(C30:C31)</f>
        <v>2603.8394178256649</v>
      </c>
      <c r="D32" s="531">
        <f>SUM(D30:D31)</f>
        <v>5517.3043588757209</v>
      </c>
      <c r="E32" s="30"/>
      <c r="F32" s="35"/>
      <c r="G32" s="30"/>
      <c r="L32" s="276"/>
      <c r="M32" s="278" t="s">
        <v>254</v>
      </c>
      <c r="N32" s="278" t="str">
        <f>Essential!AQ50</f>
        <v>Peak</v>
      </c>
      <c r="O32" s="278" t="str">
        <f>Essential!AR50</f>
        <v>Off peak</v>
      </c>
      <c r="P32" s="57"/>
      <c r="Q32" s="57"/>
    </row>
    <row r="33" spans="1:20" x14ac:dyDescent="0.3">
      <c r="A33" s="58"/>
      <c r="B33" s="58"/>
      <c r="C33" s="456"/>
      <c r="D33" s="456"/>
      <c r="E33" s="30"/>
      <c r="F33" s="35"/>
      <c r="G33" s="30"/>
      <c r="L33" s="277" t="s">
        <v>3</v>
      </c>
      <c r="M33" s="279">
        <f>Essential!AP57</f>
        <v>405.65424991254099</v>
      </c>
      <c r="N33" s="279">
        <f>Essential!AQ57</f>
        <v>43.638298897974543</v>
      </c>
      <c r="O33" s="279">
        <f>Essential!AR57</f>
        <v>27.131570350761095</v>
      </c>
      <c r="P33" s="57"/>
      <c r="Q33" s="57"/>
    </row>
    <row r="34" spans="1:20" x14ac:dyDescent="0.3">
      <c r="A34" s="58"/>
      <c r="B34" s="58"/>
      <c r="C34" s="456"/>
      <c r="D34" s="456"/>
      <c r="E34" s="30"/>
      <c r="F34" s="35"/>
      <c r="G34" s="30"/>
    </row>
    <row r="35" spans="1:20" ht="14.5" thickBot="1" x14ac:dyDescent="0.35">
      <c r="A35" s="53"/>
      <c r="B35" s="442"/>
      <c r="C35" s="449"/>
      <c r="D35" s="449"/>
      <c r="E35" s="30"/>
      <c r="F35" s="35"/>
      <c r="G35" s="30"/>
      <c r="L35" s="276"/>
      <c r="M35" s="278" t="s">
        <v>254</v>
      </c>
      <c r="N35" s="278" t="str">
        <f>Energex!AQ50</f>
        <v>Peak</v>
      </c>
      <c r="O35" s="278" t="str">
        <f>Energex!AR50</f>
        <v>Off peak</v>
      </c>
      <c r="P35" s="278" t="str">
        <f>Energex!AS50</f>
        <v>Shoulder</v>
      </c>
      <c r="Q35" s="57"/>
    </row>
    <row r="36" spans="1:20" ht="15.5" x14ac:dyDescent="0.3">
      <c r="A36" s="54" t="s">
        <v>0</v>
      </c>
      <c r="B36" s="54"/>
      <c r="C36" s="453"/>
      <c r="D36" s="453"/>
      <c r="E36" s="30"/>
      <c r="F36" s="35"/>
      <c r="G36" s="30"/>
      <c r="L36" s="277" t="s">
        <v>0</v>
      </c>
      <c r="M36" s="279">
        <f>Energex!AP57</f>
        <v>261.4152225874488</v>
      </c>
      <c r="N36" s="279">
        <f>Energex!AQ57</f>
        <v>57.33379988755042</v>
      </c>
      <c r="O36" s="279">
        <f>Energex!AR57</f>
        <v>8.7353291347444539</v>
      </c>
      <c r="P36" s="279">
        <f>Energex!AS57</f>
        <v>27.052860738193747</v>
      </c>
      <c r="Q36" s="57"/>
    </row>
    <row r="37" spans="1:20" ht="15.5" x14ac:dyDescent="0.3">
      <c r="A37" s="54"/>
      <c r="B37" s="54" t="s">
        <v>291</v>
      </c>
      <c r="C37" s="454">
        <f>VLOOKUP($C$4,Energex!$H$50:$AU$57,8,)</f>
        <v>192.01594756350261</v>
      </c>
      <c r="D37" s="454">
        <f>VLOOKUP($C$4,Energex!$H$50:$AU$57,26,)</f>
        <v>261.62573001516415</v>
      </c>
      <c r="E37" s="30"/>
      <c r="F37" s="35"/>
      <c r="G37" s="30"/>
    </row>
    <row r="38" spans="1:20" ht="16" thickBot="1" x14ac:dyDescent="0.35">
      <c r="A38" s="54"/>
      <c r="B38" s="54" t="s">
        <v>290</v>
      </c>
      <c r="C38" s="454">
        <f>VLOOKUP($C$4,Energex!$H$50:$AU$57,9,)</f>
        <v>27.974420209997138</v>
      </c>
      <c r="D38" s="454">
        <f>VLOOKUP($C$4,Energex!$H$50:$AU$57,27,)</f>
        <v>28.935927730445705</v>
      </c>
      <c r="E38" s="30"/>
      <c r="F38" s="35"/>
      <c r="G38" s="30"/>
      <c r="L38" s="276"/>
      <c r="M38" s="278" t="s">
        <v>254</v>
      </c>
      <c r="N38" s="278" t="str">
        <f>SAPN!AQ50</f>
        <v>Peak</v>
      </c>
      <c r="O38" s="278" t="str">
        <f>SAPN!AR50</f>
        <v>Off peak</v>
      </c>
      <c r="P38" s="278" t="str">
        <f>SAPN!AS50</f>
        <v>Shoulder</v>
      </c>
      <c r="Q38" s="57"/>
    </row>
    <row r="39" spans="1:20" ht="15.5" x14ac:dyDescent="0.3">
      <c r="A39" s="54"/>
      <c r="B39" s="541" t="s">
        <v>256</v>
      </c>
      <c r="C39" s="542" cm="1">
        <f t="array" ref="C39">_xlfn.XLOOKUP(1,(A$36=Wholesale_DistributionZone)*($C$5=Wholesale_CustomerType)*($A$4=Wholesale_TariffType),Wholesale_Usage)</f>
        <v>4600</v>
      </c>
      <c r="D39" s="542" cm="1">
        <f t="array" ref="D39">_xlfn.XLOOKUP(1,($A$36=Wholesale_DistributionZone)*($D$5=Wholesale_CustomerType)*($A$4=Wholesale_TariffType),Wholesale_Usage)</f>
        <v>10000</v>
      </c>
      <c r="E39" s="30"/>
      <c r="F39" s="35"/>
      <c r="G39" s="30"/>
      <c r="L39" s="277" t="s">
        <v>5</v>
      </c>
      <c r="M39" s="279">
        <f>SAPN!AP57</f>
        <v>185.58097704266763</v>
      </c>
      <c r="N39" s="279">
        <f>SAPN!AQ57</f>
        <v>75.921912719832619</v>
      </c>
      <c r="O39" s="279">
        <f>SAPN!AR57</f>
        <v>35.225057007250328</v>
      </c>
      <c r="P39" s="279">
        <f>SAPN!AS57</f>
        <v>43.621971289703119</v>
      </c>
      <c r="Q39" s="57"/>
    </row>
    <row r="40" spans="1:20" ht="14.15" customHeight="1" x14ac:dyDescent="0.3">
      <c r="A40" s="54"/>
      <c r="B40" s="532" t="s">
        <v>288</v>
      </c>
      <c r="C40" s="533">
        <f>C37*Days/100</f>
        <v>700.8582086067845</v>
      </c>
      <c r="D40" s="533">
        <f>D37*Days/100</f>
        <v>954.93391455534913</v>
      </c>
      <c r="E40" s="30"/>
      <c r="F40" s="35"/>
      <c r="G40" s="30"/>
      <c r="L40" s="291" t="s">
        <v>120</v>
      </c>
    </row>
    <row r="41" spans="1:20" ht="14.15" customHeight="1" x14ac:dyDescent="0.3">
      <c r="A41" s="56"/>
      <c r="B41" s="534" t="s">
        <v>289</v>
      </c>
      <c r="C41" s="535">
        <f>C38*C39/100</f>
        <v>1286.8233296598683</v>
      </c>
      <c r="D41" s="535">
        <f>D38*D39/100</f>
        <v>2893.5927730445705</v>
      </c>
      <c r="E41" s="30"/>
      <c r="F41" s="35"/>
      <c r="G41" s="30"/>
    </row>
    <row r="42" spans="1:20" x14ac:dyDescent="0.3">
      <c r="A42" s="56"/>
      <c r="B42" s="536" t="s">
        <v>244</v>
      </c>
      <c r="C42" s="537">
        <f>SUM(C40:C41)</f>
        <v>1987.6815382666528</v>
      </c>
      <c r="D42" s="537">
        <f>SUM(D40:D41)</f>
        <v>3848.5266875999196</v>
      </c>
      <c r="E42" s="30"/>
      <c r="F42" s="35"/>
      <c r="G42" s="30"/>
    </row>
    <row r="43" spans="1:20" ht="20" x14ac:dyDescent="0.3">
      <c r="A43" s="59"/>
      <c r="B43" s="59"/>
      <c r="C43" s="452"/>
      <c r="D43" s="452"/>
      <c r="E43" s="30"/>
      <c r="F43" s="35"/>
      <c r="G43" s="30"/>
      <c r="L43" s="48" t="s">
        <v>310</v>
      </c>
      <c r="M43" s="48"/>
      <c r="N43" s="291"/>
      <c r="P43" s="48" t="s">
        <v>311</v>
      </c>
      <c r="Q43" s="48"/>
      <c r="R43" s="291"/>
      <c r="T43" s="48"/>
    </row>
    <row r="44" spans="1:20" x14ac:dyDescent="0.3">
      <c r="A44" s="59"/>
      <c r="B44" s="59"/>
      <c r="C44" s="452"/>
      <c r="D44" s="452"/>
      <c r="E44" s="30"/>
      <c r="F44" s="35"/>
      <c r="G44" s="30"/>
      <c r="L44" s="397" t="s">
        <v>14</v>
      </c>
      <c r="P44" s="397" t="s">
        <v>15</v>
      </c>
    </row>
    <row r="45" spans="1:20" ht="14.15" customHeight="1" x14ac:dyDescent="0.3">
      <c r="A45" s="56"/>
      <c r="B45" s="444"/>
      <c r="C45" s="455"/>
      <c r="D45" s="455"/>
      <c r="E45" s="30"/>
      <c r="F45" s="35"/>
      <c r="G45" s="30"/>
      <c r="L45" s="280" t="s">
        <v>1</v>
      </c>
      <c r="M45" s="890" t="s">
        <v>305</v>
      </c>
      <c r="N45" s="293" t="s">
        <v>312</v>
      </c>
      <c r="P45" s="280" t="s">
        <v>1</v>
      </c>
      <c r="Q45" s="890" t="s">
        <v>305</v>
      </c>
      <c r="R45" s="293" t="s">
        <v>312</v>
      </c>
    </row>
    <row r="46" spans="1:20" ht="16" thickBot="1" x14ac:dyDescent="0.35">
      <c r="A46" s="51" t="s">
        <v>5</v>
      </c>
      <c r="B46" s="51"/>
      <c r="C46" s="446"/>
      <c r="D46" s="446"/>
      <c r="E46" s="30"/>
      <c r="F46" s="35"/>
      <c r="G46" s="30"/>
      <c r="L46" s="276"/>
      <c r="M46" s="891"/>
      <c r="N46" s="292" t="s">
        <v>313</v>
      </c>
      <c r="P46" s="276"/>
      <c r="Q46" s="891"/>
      <c r="R46" s="292" t="s">
        <v>313</v>
      </c>
    </row>
    <row r="47" spans="1:20" ht="15.5" x14ac:dyDescent="0.3">
      <c r="A47" s="51"/>
      <c r="B47" s="51" t="s">
        <v>291</v>
      </c>
      <c r="C47" s="448">
        <f>VLOOKUP($C$4,SAPN!$H$50:$AT$57,8,)</f>
        <v>180.05118195485952</v>
      </c>
      <c r="D47" s="448">
        <f>VLOOKUP($C$4,SAPN!$H$50:$AT$57,26,)</f>
        <v>185.58097704266763</v>
      </c>
      <c r="E47" s="30"/>
      <c r="F47" s="35"/>
      <c r="G47" s="30"/>
      <c r="K47" s="397" t="s">
        <v>359</v>
      </c>
      <c r="L47" s="300" t="s">
        <v>2</v>
      </c>
      <c r="M47" s="303" cm="1">
        <f t="array" ref="M47">_xlfn.XLOOKUP(1,($L47=CL_DistributionZone)*($K$47=CL_TariffType)*("Total inc GST"=CL_Description),CL_FixedCosts)</f>
        <v>4.7312468869148319</v>
      </c>
      <c r="N47" s="303" cm="1">
        <f t="array" ref="N47">_xlfn.XLOOKUP(1,($L47=CL_DistributionZone)*($K$47=CL_TariffType)*("Total inc GST"=CL_Description),CL_VarCosts)</f>
        <v>19.309377667234692</v>
      </c>
      <c r="O47" s="440" t="s">
        <v>360</v>
      </c>
      <c r="P47" s="300" t="s">
        <v>2</v>
      </c>
      <c r="Q47" s="303" cm="1">
        <f t="array" ref="Q47">_xlfn.XLOOKUP(1,($L47=CL_DistributionZone)*($O$47=CL_TariffType)*("Total inc GST"=CL_Description),CL_FixedCosts)</f>
        <v>8.8783824736252797</v>
      </c>
      <c r="R47" s="303" cm="1">
        <f t="array" ref="R47">_xlfn.XLOOKUP(1,($L47=CL_DistributionZone)*($O$47=CL_TariffType)*("Total inc GST"=CL_Description),CL_VarCosts)</f>
        <v>23.005001412094266</v>
      </c>
    </row>
    <row r="48" spans="1:20" ht="15.5" x14ac:dyDescent="0.3">
      <c r="A48" s="51"/>
      <c r="B48" s="51" t="s">
        <v>290</v>
      </c>
      <c r="C48" s="448">
        <f>VLOOKUP($C$4,SAPN!$H$50:$AT$57,9,)</f>
        <v>41.910321012623946</v>
      </c>
      <c r="D48" s="448">
        <f>VLOOKUP($C$4,SAPN!$H$50:$AT$57,27,)</f>
        <v>44.844927178606504</v>
      </c>
      <c r="E48" s="30"/>
      <c r="F48" s="35"/>
      <c r="G48" s="30"/>
      <c r="K48" s="397" t="s">
        <v>359</v>
      </c>
      <c r="L48" s="301" t="s">
        <v>4</v>
      </c>
      <c r="M48" s="304" cm="1">
        <f t="array" ref="M48">_xlfn.XLOOKUP(1,($L48=CL_DistributionZone)*($K$47=CL_TariffType)*("Total inc GST"=CL_Description),CL_FixedCosts)</f>
        <v>13.892882978723406</v>
      </c>
      <c r="N48" s="304" cm="1">
        <f t="array" ref="N48">_xlfn.XLOOKUP(1,($L48=CL_DistributionZone)*($K$47=CL_TariffType)*("Total inc GST"=CL_Description),CL_VarCosts)</f>
        <v>20.643788527443618</v>
      </c>
      <c r="O48" s="440" t="s">
        <v>360</v>
      </c>
      <c r="P48" s="301" t="s">
        <v>4</v>
      </c>
      <c r="Q48" s="304" cm="1">
        <f t="array" ref="Q48">_xlfn.XLOOKUP(1,($L48=CL_DistributionZone)*($O$47=CL_TariffType)*("Total inc GST"=CL_Description),CL_FixedCosts)</f>
        <v>13.892882978723406</v>
      </c>
      <c r="R48" s="304" cm="1">
        <f t="array" ref="R48">_xlfn.XLOOKUP(1,($L48=CL_DistributionZone)*($O$47=CL_TariffType)*("Total inc GST"=CL_Description),CL_VarCosts)</f>
        <v>22.086059649043928</v>
      </c>
    </row>
    <row r="49" spans="1:18" ht="14.5" customHeight="1" x14ac:dyDescent="0.3">
      <c r="A49" s="53"/>
      <c r="B49" s="538" t="s">
        <v>256</v>
      </c>
      <c r="C49" s="539" cm="1">
        <f t="array" ref="C49">_xlfn.XLOOKUP(1,(A$46=Wholesale_DistributionZone)*($C$5=Wholesale_CustomerType)*($A$4=Wholesale_TariffType),Wholesale_Usage)</f>
        <v>4000</v>
      </c>
      <c r="D49" s="540" cm="1">
        <f t="array" ref="D49">_xlfn.XLOOKUP(1,($A$46=Wholesale_DistributionZone)*($D$5=Wholesale_CustomerType)*($A$4=Wholesale_TariffType),Wholesale_Usage)</f>
        <v>10000</v>
      </c>
      <c r="E49" s="30"/>
      <c r="F49" s="35"/>
      <c r="G49" s="30"/>
      <c r="K49" s="397" t="s">
        <v>359</v>
      </c>
      <c r="L49" s="301" t="s">
        <v>3</v>
      </c>
      <c r="M49" s="304" cm="1">
        <f t="array" ref="M49">_xlfn.XLOOKUP(1,($L49=CL_DistributionZone)*($K$47=CL_TariffType)*("Total inc GST"=CL_Description),CL_FixedCosts)</f>
        <v>15.660526566043485</v>
      </c>
      <c r="N49" s="304" cm="1">
        <f t="array" ref="N49">_xlfn.XLOOKUP(1,($L49=CL_DistributionZone)*($K$47=CL_TariffType)*("Total inc GST"=CL_Description),CL_VarCosts)</f>
        <v>19.888657766207331</v>
      </c>
      <c r="O49" s="440" t="s">
        <v>360</v>
      </c>
      <c r="P49" s="301" t="s">
        <v>3</v>
      </c>
      <c r="Q49" s="304" cm="1">
        <f t="array" ref="Q49">_xlfn.XLOOKUP(1,($L49=CL_DistributionZone)*($O$47=CL_TariffType)*("Total inc GST"=CL_Description),CL_FixedCosts)</f>
        <v>15.660526566043485</v>
      </c>
      <c r="R49" s="304" cm="1">
        <f t="array" ref="R49">_xlfn.XLOOKUP(1,($L49=CL_DistributionZone)*($O$47=CL_TariffType)*("Total inc GST"=CL_Description),CL_VarCosts)</f>
        <v>23.97990987621138</v>
      </c>
    </row>
    <row r="50" spans="1:18" ht="14.5" customHeight="1" x14ac:dyDescent="0.3">
      <c r="A50" s="53"/>
      <c r="B50" s="526" t="s">
        <v>288</v>
      </c>
      <c r="C50" s="527">
        <f>C47*Days/100</f>
        <v>657.18681413523723</v>
      </c>
      <c r="D50" s="527">
        <f>D47*Days/100</f>
        <v>677.37056620573685</v>
      </c>
      <c r="E50" s="30"/>
      <c r="F50" s="35"/>
      <c r="G50" s="30"/>
      <c r="K50" s="397" t="s">
        <v>359</v>
      </c>
      <c r="L50" s="301" t="s">
        <v>0</v>
      </c>
      <c r="M50" s="304" cm="1">
        <f t="array" ref="M50">_xlfn.XLOOKUP(1,($L50=CL_DistributionZone)*($K$47=CL_TariffType)*("Total inc GST"=CL_Description),CL_FixedCosts)</f>
        <v>0</v>
      </c>
      <c r="N50" s="304" cm="1">
        <f t="array" ref="N50">_xlfn.XLOOKUP(1,($L50=CL_DistributionZone)*($K$47=CL_TariffType)*("Total inc GST"=CL_Description),CL_VarCosts)</f>
        <v>16.432274770235871</v>
      </c>
      <c r="O50" s="440" t="s">
        <v>360</v>
      </c>
      <c r="P50" s="302" t="s">
        <v>0</v>
      </c>
      <c r="Q50" s="305" cm="1">
        <f t="array" ref="Q50">_xlfn.XLOOKUP(1,($L50=CL_DistributionZone)*($O$47=CL_TariffType)*("Total inc GST"=CL_Description),CL_FixedCosts)</f>
        <v>0</v>
      </c>
      <c r="R50" s="305" cm="1">
        <f t="array" ref="R50">_xlfn.XLOOKUP(1,($L50=CL_DistributionZone)*($O$47=CL_TariffType)*("Total inc GST"=CL_Description),CL_VarCosts)</f>
        <v>16.745110422565915</v>
      </c>
    </row>
    <row r="51" spans="1:18" x14ac:dyDescent="0.3">
      <c r="A51" s="53"/>
      <c r="B51" s="528" t="s">
        <v>289</v>
      </c>
      <c r="C51" s="529">
        <f>C48*C49/100</f>
        <v>1676.4128405049578</v>
      </c>
      <c r="D51" s="529">
        <f>D48*D49/100</f>
        <v>4484.4927178606504</v>
      </c>
      <c r="E51" s="30"/>
      <c r="F51" s="35"/>
      <c r="G51" s="30"/>
      <c r="K51" s="397" t="s">
        <v>14</v>
      </c>
      <c r="L51" s="302" t="s">
        <v>5</v>
      </c>
      <c r="M51" s="305" cm="1">
        <f t="array" ref="M51">_xlfn.XLOOKUP(1,($L51=CL_DistributionZone)*($K$51=CL_TariffType)*("Total inc GST"=CL_Description),CL_FixedCosts)</f>
        <v>0</v>
      </c>
      <c r="N51" s="305" cm="1">
        <f t="array" ref="N51">_xlfn.XLOOKUP(1,($L51=CL_DistributionZone)*($K$51=CL_TariffType)*("Total inc GST"=CL_Description),CL_VarCosts)</f>
        <v>22.249714291884359</v>
      </c>
      <c r="O51" s="397"/>
    </row>
    <row r="52" spans="1:18" x14ac:dyDescent="0.3">
      <c r="A52" s="53"/>
      <c r="B52" s="530" t="s">
        <v>244</v>
      </c>
      <c r="C52" s="531">
        <f>SUM(C50:C51)</f>
        <v>2333.5996546401948</v>
      </c>
      <c r="D52" s="531">
        <f>SUM(D50:D51)</f>
        <v>5161.8632840663868</v>
      </c>
      <c r="E52" s="30"/>
      <c r="F52" s="35"/>
      <c r="G52" s="30"/>
      <c r="L52" s="291" t="s">
        <v>120</v>
      </c>
      <c r="P52" s="291" t="s">
        <v>120</v>
      </c>
    </row>
    <row r="53" spans="1:18" x14ac:dyDescent="0.3">
      <c r="A53" s="57"/>
      <c r="B53" s="57"/>
      <c r="C53" s="450"/>
      <c r="D53" s="450"/>
      <c r="E53" s="30"/>
      <c r="F53" s="35"/>
      <c r="G53" s="30"/>
    </row>
    <row r="54" spans="1:18" x14ac:dyDescent="0.3">
      <c r="A54" s="57"/>
      <c r="B54" s="57"/>
      <c r="C54" s="450"/>
      <c r="D54" s="450"/>
      <c r="E54" s="30"/>
      <c r="F54" s="35"/>
      <c r="G54" s="30"/>
    </row>
    <row r="55" spans="1:18" ht="20" x14ac:dyDescent="0.3">
      <c r="A55" s="57"/>
      <c r="B55" s="57"/>
      <c r="C55" s="450"/>
      <c r="D55" s="450"/>
      <c r="E55" s="30"/>
      <c r="F55" s="35"/>
      <c r="G55" s="30"/>
      <c r="L55" s="48" t="s">
        <v>314</v>
      </c>
      <c r="M55" s="48" t="s">
        <v>257</v>
      </c>
      <c r="N55" s="291"/>
    </row>
    <row r="56" spans="1:18" x14ac:dyDescent="0.3">
      <c r="E56" s="30"/>
      <c r="F56" s="35"/>
      <c r="G56" s="30"/>
    </row>
    <row r="57" spans="1:18" x14ac:dyDescent="0.3">
      <c r="E57" s="30"/>
      <c r="F57" s="35"/>
      <c r="G57" s="30"/>
      <c r="L57" s="280" t="s">
        <v>1</v>
      </c>
      <c r="M57" s="890" t="s">
        <v>305</v>
      </c>
      <c r="N57" s="285" t="s">
        <v>306</v>
      </c>
      <c r="O57" s="57"/>
      <c r="P57" s="57"/>
      <c r="Q57" s="284"/>
    </row>
    <row r="58" spans="1:18" ht="23.15" customHeight="1" thickBot="1" x14ac:dyDescent="0.35">
      <c r="F58" s="35"/>
      <c r="G58" s="30"/>
      <c r="L58" s="276"/>
      <c r="M58" s="891"/>
      <c r="N58" s="278" t="str">
        <f>'Controlled load'!N178</f>
        <v>Off peak</v>
      </c>
      <c r="O58" s="278" t="str">
        <f>'Controlled load'!O178</f>
        <v>Peak</v>
      </c>
      <c r="P58" s="278" t="str">
        <f>'Controlled load'!P178</f>
        <v>Solar Soak</v>
      </c>
      <c r="Q58" s="282"/>
    </row>
    <row r="59" spans="1:18" ht="23.15" customHeight="1" x14ac:dyDescent="0.3">
      <c r="F59" s="35"/>
      <c r="G59" s="30"/>
      <c r="L59" s="277" t="s">
        <v>5</v>
      </c>
      <c r="M59" s="279">
        <f>'Controlled load'!M185</f>
        <v>0</v>
      </c>
      <c r="N59" s="279">
        <f>'Controlled load'!N185</f>
        <v>28.737813382890231</v>
      </c>
      <c r="O59" s="279">
        <f>'Controlled load'!O185</f>
        <v>42.156904980291813</v>
      </c>
      <c r="P59" s="279">
        <f>'Controlled load'!P185</f>
        <v>13.947529526517203</v>
      </c>
      <c r="Q59" s="283"/>
    </row>
    <row r="60" spans="1:18" x14ac:dyDescent="0.3">
      <c r="F60" s="35"/>
      <c r="G60" s="30"/>
      <c r="L60" s="291" t="s">
        <v>120</v>
      </c>
    </row>
    <row r="61" spans="1:18" x14ac:dyDescent="0.3">
      <c r="F61" s="35"/>
      <c r="G61" s="30"/>
    </row>
    <row r="62" spans="1:18" x14ac:dyDescent="0.3">
      <c r="F62" s="35"/>
      <c r="G62" s="30"/>
    </row>
    <row r="63" spans="1:18" x14ac:dyDescent="0.3">
      <c r="F63" s="35"/>
      <c r="G63" s="30"/>
    </row>
    <row r="64" spans="1:18" x14ac:dyDescent="0.3">
      <c r="F64" s="35"/>
      <c r="G64" s="30"/>
    </row>
    <row r="65" spans="6:7" x14ac:dyDescent="0.3">
      <c r="F65" s="35"/>
      <c r="G65" s="30"/>
    </row>
    <row r="66" spans="6:7" x14ac:dyDescent="0.3">
      <c r="F66" s="35"/>
      <c r="G66" s="30"/>
    </row>
    <row r="67" spans="6:7" x14ac:dyDescent="0.3">
      <c r="F67" s="35"/>
      <c r="G67" s="30"/>
    </row>
  </sheetData>
  <sheetProtection algorithmName="SHA-256" hashValue="XpusPFEYDZ3PhHqdGpgzW3+3m/WQ+UblAddQqEAYknU=" saltValue="1meA4tzRDGZCTSkz4q9xzw==" spinCount="100000" sheet="1" autoFilter="0"/>
  <mergeCells count="4">
    <mergeCell ref="M45:M46"/>
    <mergeCell ref="Q45:Q46"/>
    <mergeCell ref="M57:M58"/>
    <mergeCell ref="M25:M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FF54-8F1D-4C0D-B181-902B842BF4CE}">
  <sheetPr>
    <tabColor theme="7" tint="-0.249977111117893"/>
  </sheetPr>
  <dimension ref="A1:T204"/>
  <sheetViews>
    <sheetView showGridLines="0" zoomScale="115" zoomScaleNormal="115" workbookViewId="0">
      <selection activeCell="A2" sqref="A2"/>
    </sheetView>
  </sheetViews>
  <sheetFormatPr defaultColWidth="8.7265625" defaultRowHeight="14" x14ac:dyDescent="0.3"/>
  <cols>
    <col min="1" max="1" width="8.7265625" style="32"/>
    <col min="2" max="2" width="12.1796875" style="558" bestFit="1" customWidth="1"/>
    <col min="3" max="3" width="7.453125" style="558" customWidth="1"/>
    <col min="4" max="4" width="20.26953125" style="32" customWidth="1"/>
    <col min="5" max="5" width="9.81640625" style="310" bestFit="1" customWidth="1"/>
    <col min="6" max="7" width="14.1796875" style="32" customWidth="1"/>
    <col min="8" max="9" width="13.1796875" style="32" customWidth="1"/>
    <col min="10" max="10" width="12.54296875" style="32" bestFit="1" customWidth="1"/>
    <col min="11" max="11" width="13.453125" style="32" bestFit="1" customWidth="1"/>
    <col min="12" max="12" width="14.7265625" style="32" bestFit="1" customWidth="1"/>
    <col min="13" max="13" width="13.26953125" style="37" bestFit="1" customWidth="1"/>
    <col min="14" max="14" width="13" style="32" bestFit="1" customWidth="1"/>
    <col min="15" max="16" width="12.81640625" style="32" bestFit="1" customWidth="1"/>
    <col min="17" max="16384" width="8.7265625" style="32"/>
  </cols>
  <sheetData>
    <row r="1" spans="1:18" x14ac:dyDescent="0.3">
      <c r="A1" s="815" t="s">
        <v>18</v>
      </c>
      <c r="B1" s="816"/>
      <c r="C1" s="738" t="s">
        <v>380</v>
      </c>
      <c r="D1" s="673" t="s">
        <v>375</v>
      </c>
      <c r="E1" s="674" t="s">
        <v>377</v>
      </c>
      <c r="F1" s="673"/>
      <c r="G1" s="673"/>
      <c r="H1" s="673" t="s">
        <v>376</v>
      </c>
    </row>
    <row r="2" spans="1:18" s="385" customFormat="1" ht="27" customHeight="1" x14ac:dyDescent="0.35">
      <c r="A2" s="439" t="s">
        <v>286</v>
      </c>
      <c r="B2" s="557"/>
      <c r="C2" s="557"/>
      <c r="E2" s="386"/>
      <c r="M2" s="387"/>
    </row>
    <row r="3" spans="1:18" x14ac:dyDescent="0.3">
      <c r="F3" s="37" t="s">
        <v>322</v>
      </c>
      <c r="K3" s="37" t="s">
        <v>22</v>
      </c>
    </row>
    <row r="4" spans="1:18" ht="20" x14ac:dyDescent="0.3">
      <c r="B4" s="768" t="s">
        <v>2</v>
      </c>
      <c r="C4" s="559"/>
      <c r="D4" s="317" t="s">
        <v>32</v>
      </c>
      <c r="E4" s="318" t="s">
        <v>24</v>
      </c>
      <c r="F4" s="316" t="s">
        <v>317</v>
      </c>
      <c r="G4" s="316" t="s">
        <v>318</v>
      </c>
      <c r="H4" s="316" t="s">
        <v>319</v>
      </c>
      <c r="I4" s="316" t="s">
        <v>23</v>
      </c>
      <c r="K4" s="314" t="s">
        <v>262</v>
      </c>
      <c r="L4" s="314" t="s">
        <v>268</v>
      </c>
      <c r="M4" s="357"/>
    </row>
    <row r="5" spans="1:18" ht="14.5" customHeight="1" x14ac:dyDescent="0.3">
      <c r="B5" s="739"/>
      <c r="C5" s="560"/>
      <c r="D5" s="319"/>
      <c r="E5" s="319" t="s">
        <v>53</v>
      </c>
      <c r="F5" s="320" t="s">
        <v>338</v>
      </c>
      <c r="G5" s="320" t="s">
        <v>44</v>
      </c>
      <c r="H5" s="320" t="s">
        <v>45</v>
      </c>
      <c r="I5" s="320" t="s">
        <v>27</v>
      </c>
      <c r="K5" s="330" t="s">
        <v>266</v>
      </c>
      <c r="L5" s="330" t="s">
        <v>246</v>
      </c>
    </row>
    <row r="6" spans="1:18" ht="20" x14ac:dyDescent="0.3">
      <c r="B6" s="771" t="s">
        <v>354</v>
      </c>
      <c r="D6" s="307"/>
      <c r="E6" s="311"/>
    </row>
    <row r="7" spans="1:18" x14ac:dyDescent="0.3">
      <c r="B7" s="769" t="str">
        <f>B4</f>
        <v>Ausgrid</v>
      </c>
      <c r="C7" s="770" t="s">
        <v>14</v>
      </c>
      <c r="D7" s="32" t="s">
        <v>63</v>
      </c>
      <c r="E7" s="312" cm="1">
        <f t="array" ref="E7">IFERROR(_xlfn.XLOOKUP(1,($B7=DistributionZone)*("CL"=tariffType)*($E$4=Description),valuesFY),0)</f>
        <v>2000</v>
      </c>
      <c r="F7" s="309" cm="1">
        <f t="array" ref="F7">_xlfn.XLOOKUP(1,($B7=Wholesale_DistributionZone)*($C7=Wholesale_TariffType)*("Total"=Wholesale_Description),Wholesale_FY_FixedFees)</f>
        <v>0</v>
      </c>
      <c r="G7" s="309" cm="1">
        <f t="array" ref="G7">_xlfn.XLOOKUP(1,($B7=Wholesale_DistributionZone)*($C7=Wholesale_TariffType)*("Total"=Wholesale_Description),Wholesale_FY_VarFees)</f>
        <v>124.26075987347738</v>
      </c>
      <c r="H7" s="309">
        <f>F7+(G7*E7)/1000</f>
        <v>248.52151974695477</v>
      </c>
      <c r="I7" s="313">
        <f t="shared" ref="I7" si="0">H7/$H$12</f>
        <v>0.677578873873391</v>
      </c>
      <c r="K7" s="308" cm="1">
        <f t="array" ref="K7">_xlfn.XLOOKUP(1,($B7=Wholesale_DistributionZone)*($C7=Wholesale_TariffType)*("Total"=Wholesale_Description),Wholesale_FY_FixedFees)*1.1/365*100</f>
        <v>0</v>
      </c>
      <c r="L7" s="308" cm="1">
        <f t="array" ref="L7">_xlfn.XLOOKUP(1,($B7=Wholesale_DistributionZone)*($C7=Wholesale_TariffType)*("Total"=Wholesale_Description),Wholesale_FY_VarFees)*1.1/10</f>
        <v>13.668683586082514</v>
      </c>
    </row>
    <row r="8" spans="1:18" x14ac:dyDescent="0.3">
      <c r="B8" s="769" t="str">
        <f t="shared" ref="B8:B11" si="1">B7</f>
        <v>Ausgrid</v>
      </c>
      <c r="C8" s="770" t="s">
        <v>14</v>
      </c>
      <c r="D8" s="57" t="s">
        <v>62</v>
      </c>
      <c r="E8" s="324" cm="1">
        <f t="array" ref="E8">IFERROR(_xlfn.XLOOKUP(1,($B8=DistributionZone)*("CL"=tariffType)*($E$4=Description),valuesFY),0)</f>
        <v>2000</v>
      </c>
      <c r="F8" s="325" cm="1">
        <f t="array" ref="F8">_xlfn.XLOOKUP(1,($B8=Network_DistributionZone)*($C8=Network_TariffType)*("Total"=Network_Description),Network_FY_FixedFees)</f>
        <v>14.757189153640713</v>
      </c>
      <c r="G8" s="325" cm="1">
        <f t="array" ref="G8">_xlfn.XLOOKUP(1,($B8=Network_DistributionZone)*($C8=Network_TariffType)*("Total"=Network_Description),Network_FY_VarFees)</f>
        <v>29.657172402849202</v>
      </c>
      <c r="H8" s="325">
        <f>F8+(G8*E8)/1000</f>
        <v>74.071533959339121</v>
      </c>
      <c r="I8" s="326">
        <f>H8/$H$21</f>
        <v>0.16543690187800161</v>
      </c>
      <c r="J8" s="57"/>
      <c r="K8" s="327" cm="1">
        <f t="array" ref="K8">_xlfn.XLOOKUP(1,($B8=Network_DistributionZone)*($C8=Network_TariffType)*("Total"=Network_Description),Network_FY_FixedFees)*1.1/365*100</f>
        <v>4.4473720736999418</v>
      </c>
      <c r="L8" s="327" cm="1">
        <f t="array" ref="L8">_xlfn.XLOOKUP(1,($B8=Network_DistributionZone)*($C8=Network_TariffType)*("Total"=Network_Description),Network_FY_VarFees)*1.1/10</f>
        <v>3.2622889643134121</v>
      </c>
      <c r="O8" s="309"/>
    </row>
    <row r="9" spans="1:18" x14ac:dyDescent="0.3">
      <c r="B9" s="769" t="str">
        <f t="shared" si="1"/>
        <v>Ausgrid</v>
      </c>
      <c r="C9" s="770" t="s">
        <v>14</v>
      </c>
      <c r="D9" s="32" t="s">
        <v>64</v>
      </c>
      <c r="E9" s="312">
        <f t="shared" ref="E9:E13" si="2">E8</f>
        <v>2000</v>
      </c>
      <c r="F9" s="309" cm="1">
        <f t="array" ref="F9">_xlfn.XLOOKUP(1,($B9=Enviro_DistributionZone)*($C9=Enviro_TariffType)*("Total"=Enviro_Description),Enviro_FY_FixedFees)</f>
        <v>0</v>
      </c>
      <c r="G9" s="309" cm="1">
        <f t="array" ref="G9">_xlfn.XLOOKUP(1,($B9=Enviro_DistributionZone)*($C9=Enviro_TariffType)*("Total"=Enviro_Description),Enviro_FY_VarFees)</f>
        <v>11.089476880042584</v>
      </c>
      <c r="H9" s="309">
        <f t="shared" ref="H9:H11" si="3">F9+(G9*E9)/1000</f>
        <v>22.178953760085168</v>
      </c>
      <c r="I9" s="313">
        <f t="shared" ref="I9:I11" si="4">H9/$H$12</f>
        <v>6.0469574336057728E-2</v>
      </c>
      <c r="K9" s="308" cm="1">
        <f t="array" ref="K9">_xlfn.XLOOKUP(1,($B9=Enviro_DistributionZone)*($C9=Enviro_TariffType)*("Total"=Enviro_Description),Enviro_FY_FixedFees)*1.1/365*100</f>
        <v>0</v>
      </c>
      <c r="L9" s="308" cm="1">
        <f t="array" ref="L9">_xlfn.XLOOKUP(1,($B9=Enviro_DistributionZone)*($C9=Enviro_TariffType)*("Total"=Enviro_Description),Enviro_FY_VarFees)*1.1/10</f>
        <v>1.2198424568046842</v>
      </c>
      <c r="N9" s="397"/>
    </row>
    <row r="10" spans="1:18" x14ac:dyDescent="0.3">
      <c r="B10" s="769" t="str">
        <f t="shared" si="1"/>
        <v>Ausgrid</v>
      </c>
      <c r="C10" s="770" t="s">
        <v>14</v>
      </c>
      <c r="D10" s="57" t="s">
        <v>159</v>
      </c>
      <c r="E10" s="324">
        <f t="shared" si="2"/>
        <v>2000</v>
      </c>
      <c r="F10" s="325" cm="1">
        <f t="array" ref="F10">_xlfn.IFNA(_xlfn.XLOOKUP(1,($B10=Retail_DistributionZone)*($C10=Retail_TariffType)*("Total"=Retail_Description),Retail_FY_FixedFees),0)</f>
        <v>0</v>
      </c>
      <c r="G10" s="325" cm="1">
        <f t="array" ref="G10">_xlfn.IFNA(_xlfn.XLOOKUP(1,($B10=Retail_DistributionZone)*($C10=Retail_TariffType)*("Total"=Retail_Description),Retail_FY_VarFees),0)</f>
        <v>0</v>
      </c>
      <c r="H10" s="325">
        <f t="shared" si="3"/>
        <v>0</v>
      </c>
      <c r="I10" s="326">
        <f t="shared" si="4"/>
        <v>0</v>
      </c>
      <c r="J10" s="57"/>
      <c r="K10" s="327" cm="1">
        <f t="array" ref="K10">_xlfn.IFNA(_xlfn.XLOOKUP(1,($B10=Retail_DistributionZone)*($C10=Retail_TariffType)*("Total"=Retail_Description),Retail_FY_FixedFees),0)*1.1/365*100</f>
        <v>0</v>
      </c>
      <c r="L10" s="327" cm="1">
        <f t="array" ref="L10">_xlfn.IFNA(_xlfn.XLOOKUP(1,($B10=Retail_DistributionZone)*($C10=Retail_TariffType)*("Total"=Retail_Description),Retail_FY_VarFees),0)*1.1/10</f>
        <v>0</v>
      </c>
      <c r="N10" s="397"/>
    </row>
    <row r="11" spans="1:18" x14ac:dyDescent="0.3">
      <c r="B11" s="769" t="str">
        <f t="shared" si="1"/>
        <v>Ausgrid</v>
      </c>
      <c r="C11" s="770" t="s">
        <v>14</v>
      </c>
      <c r="D11" s="32" t="s">
        <v>192</v>
      </c>
      <c r="E11" s="312">
        <f t="shared" si="2"/>
        <v>2000</v>
      </c>
      <c r="F11" s="309">
        <f>SUM(F7:F10)/(1-RetailMargin_RES)-SUM(F7:F10)</f>
        <v>0.94194824384940823</v>
      </c>
      <c r="G11" s="309">
        <f>SUM(G7:G10)/(1-RetailMargin_RES)-SUM(G7:G10)</f>
        <v>10.532387818491657</v>
      </c>
      <c r="H11" s="309">
        <f t="shared" si="3"/>
        <v>22.006723880832723</v>
      </c>
      <c r="I11" s="313">
        <f t="shared" si="4"/>
        <v>6.0000000000000046E-2</v>
      </c>
      <c r="K11" s="308">
        <f>SUM(K7:K10)/(1-RetailMargin_RES)-SUM(K7:K10)</f>
        <v>0.28387481321489005</v>
      </c>
      <c r="L11" s="308">
        <f>SUM(L7:L10)/(1-RetailMargin_RES)-SUM(L7:L10)</f>
        <v>1.1585626600340824</v>
      </c>
      <c r="N11" s="397"/>
    </row>
    <row r="12" spans="1:18" ht="14.5" thickBot="1" x14ac:dyDescent="0.35">
      <c r="B12" s="769" t="str">
        <f t="shared" ref="B12:B14" si="5">B11</f>
        <v>Ausgrid</v>
      </c>
      <c r="C12" s="770" t="s">
        <v>359</v>
      </c>
      <c r="D12" s="328" t="s">
        <v>55</v>
      </c>
      <c r="E12" s="324">
        <f t="shared" si="2"/>
        <v>2000</v>
      </c>
      <c r="F12" s="325"/>
      <c r="G12" s="325"/>
      <c r="H12" s="394">
        <f>SUM(H7:H11)</f>
        <v>366.77873134721176</v>
      </c>
      <c r="I12" s="57"/>
      <c r="J12" s="57"/>
      <c r="K12" s="438"/>
      <c r="L12" s="438"/>
      <c r="N12" s="397"/>
      <c r="O12" s="392"/>
    </row>
    <row r="13" spans="1:18" ht="14.5" thickTop="1" x14ac:dyDescent="0.3">
      <c r="B13" s="769" t="str">
        <f>B12</f>
        <v>Ausgrid</v>
      </c>
      <c r="C13" s="770" t="s">
        <v>359</v>
      </c>
      <c r="D13" s="323" t="s">
        <v>79</v>
      </c>
      <c r="E13" s="393">
        <f t="shared" si="2"/>
        <v>2000</v>
      </c>
      <c r="F13" s="321"/>
      <c r="G13" s="321"/>
      <c r="H13" s="543">
        <f>H12*(1+GST)</f>
        <v>403.45660448193297</v>
      </c>
      <c r="I13" s="321"/>
      <c r="J13" s="321"/>
      <c r="K13" s="544">
        <f>SUM(K7:K11)</f>
        <v>4.7312468869148319</v>
      </c>
      <c r="L13" s="544">
        <f>SUM(L7:L11)</f>
        <v>19.309377667234692</v>
      </c>
      <c r="M13" s="329"/>
      <c r="N13" s="397">
        <f>L13*E12/100+K13*365/100</f>
        <v>403.45660448193297</v>
      </c>
      <c r="R13" s="309"/>
    </row>
    <row r="14" spans="1:18" s="695" customFormat="1" x14ac:dyDescent="0.3">
      <c r="B14" s="769" t="str">
        <f t="shared" si="5"/>
        <v>Ausgrid</v>
      </c>
      <c r="C14" s="770"/>
      <c r="E14" s="736"/>
      <c r="M14" s="737"/>
      <c r="N14" s="397"/>
    </row>
    <row r="15" spans="1:18" ht="20" x14ac:dyDescent="0.3">
      <c r="B15" s="771" t="s">
        <v>355</v>
      </c>
      <c r="C15" s="561"/>
      <c r="N15" s="397"/>
    </row>
    <row r="16" spans="1:18" x14ac:dyDescent="0.3">
      <c r="B16" s="769" t="str">
        <f>B14</f>
        <v>Ausgrid</v>
      </c>
      <c r="C16" s="770" t="s">
        <v>15</v>
      </c>
      <c r="D16" s="32" t="s">
        <v>63</v>
      </c>
      <c r="E16" s="312" cm="1">
        <f t="array" ref="E16">IFERROR(_xlfn.XLOOKUP(1,($B16=DistributionZone)*("CL"=tariffType)*($E$4=Description),valuesFY),0)</f>
        <v>2000</v>
      </c>
      <c r="F16" s="309" cm="1">
        <f t="array" ref="F16">_xlfn.XLOOKUP(1,($B16=Wholesale_DistributionZone)*($C16=Wholesale_TariffType)*("Total"=Wholesale_Description),Wholesale_FY_FixedFees)</f>
        <v>0</v>
      </c>
      <c r="G16" s="309" cm="1">
        <f t="array" ref="G16">_xlfn.XLOOKUP(1,($B16=Wholesale_DistributionZone)*($C16=Wholesale_TariffType)*("Total"=Wholesale_Description),Wholesale_FY_VarFees)</f>
        <v>129.26771413528567</v>
      </c>
      <c r="H16" s="309">
        <f t="shared" ref="H16" si="6">F16+(G16*E16)/1000</f>
        <v>258.53542827057134</v>
      </c>
      <c r="I16" s="313">
        <f t="shared" ref="I16" si="7">H16/$H$12</f>
        <v>0.7048811890508131</v>
      </c>
      <c r="K16" s="308" cm="1">
        <f t="array" ref="K16">_xlfn.XLOOKUP(1,($B16=Wholesale_DistributionZone)*($C16=Wholesale_TariffType)*("Total"=Wholesale_Description),Wholesale_FY_FixedFees)*1.1/365*100</f>
        <v>0</v>
      </c>
      <c r="L16" s="308" cm="1">
        <f t="array" ref="L16">_xlfn.XLOOKUP(1,($B16=Wholesale_DistributionZone)*($C16=Wholesale_TariffType)*("Total"=Wholesale_Description),Wholesale_FY_VarFees)*1.1/10</f>
        <v>14.219448554881424</v>
      </c>
      <c r="N16" s="397"/>
    </row>
    <row r="17" spans="2:18" x14ac:dyDescent="0.3">
      <c r="B17" s="769" t="str">
        <f t="shared" ref="B17:B21" si="8">B16</f>
        <v>Ausgrid</v>
      </c>
      <c r="C17" s="770" t="s">
        <v>15</v>
      </c>
      <c r="D17" s="57" t="s">
        <v>62</v>
      </c>
      <c r="E17" s="324">
        <f>E16</f>
        <v>2000</v>
      </c>
      <c r="F17" s="325" cm="1">
        <f t="array" ref="F17">_xlfn.XLOOKUP(1,($B17=Network_DistributionZone)*($C17=Network_TariffType)*("Total"=Network_Description),Network_FY_FixedFees)</f>
        <v>27.692482060916664</v>
      </c>
      <c r="G17" s="325" cm="1">
        <f t="array" ref="G17">_xlfn.XLOOKUP(1,($B17=Network_DistributionZone)*($C17=Network_TariffType)*("Total"=Network_Description),Network_FY_VarFees)</f>
        <v>56.2310028698409</v>
      </c>
      <c r="H17" s="325">
        <f>F17+(G17*E17)/1000</f>
        <v>140.15448780059847</v>
      </c>
      <c r="I17" s="326">
        <f>H17/$H$21</f>
        <v>0.31303151165679005</v>
      </c>
      <c r="J17" s="57"/>
      <c r="K17" s="327" cm="1">
        <f t="array" ref="K17">_xlfn.XLOOKUP(1,($B17=Network_DistributionZone)*($C17=Network_TariffType)*("Total"=Network_Description),Network_FY_FixedFees)*1.1/365*100</f>
        <v>8.3456795252077622</v>
      </c>
      <c r="L17" s="327" cm="1">
        <f t="array" ref="L17">_xlfn.XLOOKUP(1,($B17=Network_DistributionZone)*($C17=Network_TariffType)*("Total"=Network_Description),Network_FY_VarFees)*1.1/10</f>
        <v>6.1854103156824998</v>
      </c>
      <c r="N17" s="397"/>
    </row>
    <row r="18" spans="2:18" x14ac:dyDescent="0.3">
      <c r="B18" s="769" t="str">
        <f t="shared" si="8"/>
        <v>Ausgrid</v>
      </c>
      <c r="C18" s="770" t="s">
        <v>15</v>
      </c>
      <c r="D18" s="32" t="s">
        <v>64</v>
      </c>
      <c r="E18" s="312">
        <f t="shared" ref="E18:E22" si="9">E17</f>
        <v>2000</v>
      </c>
      <c r="F18" s="309" cm="1">
        <f t="array" ref="F18">_xlfn.XLOOKUP(1,($B18=Enviro_DistributionZone)*($C18=Enviro_TariffType)*("Total"=Enviro_Description),Enviro_FY_FixedFees)</f>
        <v>0</v>
      </c>
      <c r="G18" s="309" cm="1">
        <f t="array" ref="G18">_xlfn.XLOOKUP(1,($B18=Enviro_DistributionZone)*($C18=Enviro_TariffType)*("Total"=Enviro_Description),Enviro_FY_VarFees)</f>
        <v>11.089476880042584</v>
      </c>
      <c r="H18" s="309">
        <f t="shared" ref="H18:H20" si="10">F18+(G18*E18)/1000</f>
        <v>22.178953760085168</v>
      </c>
      <c r="I18" s="313">
        <f t="shared" ref="I18:I20" si="11">H18/$H$21</f>
        <v>4.9536133529759593E-2</v>
      </c>
      <c r="K18" s="308" cm="1">
        <f t="array" ref="K18">_xlfn.XLOOKUP(1,($B18=Enviro_DistributionZone)*($C18=Enviro_TariffType)*("Total"=Enviro_Description),Enviro_FY_FixedFees)*1.1/365*100</f>
        <v>0</v>
      </c>
      <c r="L18" s="308" cm="1">
        <f t="array" ref="L18">_xlfn.XLOOKUP(1,($B18=Enviro_DistributionZone)*($C18=Enviro_TariffType)*("Total"=Enviro_Description),Enviro_FY_VarFees)*1.1/10</f>
        <v>1.2198424568046842</v>
      </c>
      <c r="N18" s="397"/>
    </row>
    <row r="19" spans="2:18" x14ac:dyDescent="0.3">
      <c r="B19" s="769" t="str">
        <f t="shared" si="8"/>
        <v>Ausgrid</v>
      </c>
      <c r="C19" s="770" t="s">
        <v>15</v>
      </c>
      <c r="D19" s="57" t="s">
        <v>159</v>
      </c>
      <c r="E19" s="324">
        <f t="shared" si="9"/>
        <v>2000</v>
      </c>
      <c r="F19" s="325" cm="1">
        <f t="array" ref="F19">_xlfn.IFNA(_xlfn.XLOOKUP(1,($B19=Retail_DistributionZone)*($C19=Retail_TariffType)*("Total"=Retail_Description),Retail_FY_FixedFees),0)</f>
        <v>0</v>
      </c>
      <c r="G19" s="325" cm="1">
        <f t="array" ref="G19">_xlfn.IFNA(_xlfn.XLOOKUP(1,($B19=Retail_DistributionZone)*($C19=Retail_TariffType)*("Total"=Retail_Description),Retail_FY_VarFees),0)</f>
        <v>0</v>
      </c>
      <c r="H19" s="325">
        <f t="shared" si="10"/>
        <v>0</v>
      </c>
      <c r="I19" s="326">
        <f t="shared" si="11"/>
        <v>0</v>
      </c>
      <c r="J19" s="57"/>
      <c r="K19" s="327" cm="1">
        <f t="array" ref="K19">_xlfn.IFNA(_xlfn.XLOOKUP(1,($B19=Retail_DistributionZone)*($C19=Retail_TariffType)*("Total"=Retail_Description),Retail_FY_FixedFees),0)*1.1/365*100</f>
        <v>0</v>
      </c>
      <c r="L19" s="327" cm="1">
        <f t="array" ref="L19">_xlfn.IFNA(_xlfn.XLOOKUP(1,($B19=Retail_DistributionZone)*($C19=Retail_TariffType)*("Total"=Retail_Description),Retail_FY_VarFees),0)*1.1/10</f>
        <v>0</v>
      </c>
      <c r="N19" s="397"/>
    </row>
    <row r="20" spans="2:18" x14ac:dyDescent="0.3">
      <c r="B20" s="769" t="str">
        <f t="shared" si="8"/>
        <v>Ausgrid</v>
      </c>
      <c r="C20" s="770" t="s">
        <v>15</v>
      </c>
      <c r="D20" s="32" t="s">
        <v>192</v>
      </c>
      <c r="E20" s="312">
        <f t="shared" si="9"/>
        <v>2000</v>
      </c>
      <c r="F20" s="309">
        <f>SUM(F16:F19)/(1-RetailMargin_RES)-SUM(F16:F19)</f>
        <v>1.7676052379308516</v>
      </c>
      <c r="G20" s="309">
        <f>SUM(G16:G19)/(1-RetailMargin_RES)-SUM(G16:G19)</f>
        <v>12.548182588415074</v>
      </c>
      <c r="H20" s="309">
        <f t="shared" si="10"/>
        <v>26.863970414760999</v>
      </c>
      <c r="I20" s="313">
        <f t="shared" si="11"/>
        <v>6.0000000000000088E-2</v>
      </c>
      <c r="K20" s="308">
        <f>SUM(K16:K19)/(1-RetailMargin_RES)-SUM(K16:K19)</f>
        <v>0.53270294841751742</v>
      </c>
      <c r="L20" s="308">
        <f>SUM(L16:L19)/(1-RetailMargin_RES)-SUM(L16:L19)</f>
        <v>1.3803000847256577</v>
      </c>
      <c r="N20" s="397"/>
    </row>
    <row r="21" spans="2:18" ht="14.5" thickBot="1" x14ac:dyDescent="0.35">
      <c r="B21" s="769" t="str">
        <f t="shared" si="8"/>
        <v>Ausgrid</v>
      </c>
      <c r="C21" s="770" t="s">
        <v>360</v>
      </c>
      <c r="D21" s="328" t="s">
        <v>55</v>
      </c>
      <c r="E21" s="324">
        <f t="shared" si="9"/>
        <v>2000</v>
      </c>
      <c r="F21" s="325"/>
      <c r="G21" s="325"/>
      <c r="H21" s="394">
        <f>SUM(H16:H20)</f>
        <v>447.732840246016</v>
      </c>
      <c r="I21" s="57"/>
      <c r="J21" s="57"/>
      <c r="K21" s="438"/>
      <c r="L21" s="438"/>
      <c r="N21" s="397"/>
      <c r="O21" s="392"/>
    </row>
    <row r="22" spans="2:18" ht="14.5" thickTop="1" x14ac:dyDescent="0.3">
      <c r="B22" s="769" t="str">
        <f>B21</f>
        <v>Ausgrid</v>
      </c>
      <c r="C22" s="770" t="s">
        <v>360</v>
      </c>
      <c r="D22" s="323" t="s">
        <v>79</v>
      </c>
      <c r="E22" s="393">
        <f t="shared" si="9"/>
        <v>2000</v>
      </c>
      <c r="F22" s="321"/>
      <c r="G22" s="321"/>
      <c r="H22" s="543">
        <f>H21*(1+GST)</f>
        <v>492.50612427061765</v>
      </c>
      <c r="I22" s="321"/>
      <c r="J22" s="321"/>
      <c r="K22" s="544">
        <f>SUM(K16:K20)</f>
        <v>8.8783824736252797</v>
      </c>
      <c r="L22" s="544">
        <f>SUM(L16:L20)</f>
        <v>23.005001412094266</v>
      </c>
      <c r="M22" s="329"/>
      <c r="N22" s="397">
        <f>L22*E21/100+K22*365/100</f>
        <v>492.50612427061759</v>
      </c>
      <c r="R22" s="309"/>
    </row>
    <row r="23" spans="2:18" x14ac:dyDescent="0.3">
      <c r="B23" s="740"/>
      <c r="C23" s="561"/>
      <c r="D23" s="37"/>
      <c r="H23" s="395"/>
      <c r="K23" s="309"/>
      <c r="L23" s="309"/>
      <c r="M23" s="329"/>
      <c r="N23" s="397"/>
    </row>
    <row r="24" spans="2:18" ht="20" x14ac:dyDescent="0.3">
      <c r="B24" s="771" t="s">
        <v>356</v>
      </c>
      <c r="N24" s="397"/>
    </row>
    <row r="25" spans="2:18" x14ac:dyDescent="0.3">
      <c r="B25" s="769" t="s">
        <v>2</v>
      </c>
      <c r="C25" s="770" t="s">
        <v>14</v>
      </c>
      <c r="D25" s="32" t="s">
        <v>63</v>
      </c>
      <c r="E25" s="312" cm="1">
        <f t="array" ref="E25">IFERROR(_xlfn.XLOOKUP(1,($B25=DistributionZone)*($C25=tariffType)*($E$4=Description),valuesFY),0)</f>
        <v>1340</v>
      </c>
      <c r="F25" s="309" cm="1">
        <f t="array" ref="F25">_xlfn.XLOOKUP(1,($B25=Wholesale_DistributionZone)*($C25=Wholesale_TariffType)*("Total"=Wholesale_Description),Wholesale_FY_FixedFees)</f>
        <v>0</v>
      </c>
      <c r="G25" s="309" cm="1">
        <f t="array" ref="G25">_xlfn.XLOOKUP(1,($B25=Wholesale_DistributionZone)*($C25=Wholesale_TariffType)*("Total"=Wholesale_Description),Wholesale_FY_VarFees)</f>
        <v>124.26075987347738</v>
      </c>
      <c r="H25" s="309">
        <f t="shared" ref="H25" si="12">F25+(G25*E25)/1000</f>
        <v>166.50941823045972</v>
      </c>
      <c r="I25" s="313">
        <f t="shared" ref="I25" si="13">H25/$H$38</f>
        <v>0.99414486249806788</v>
      </c>
      <c r="K25" s="308" cm="1">
        <f t="array" ref="K25">_xlfn.XLOOKUP(1,($B25=Wholesale_DistributionZone)*($C25=Wholesale_TariffType)*("Total"=Wholesale_Description),Wholesale_FY_FixedFees)*1.1/365*100</f>
        <v>0</v>
      </c>
      <c r="L25" s="308" cm="1">
        <f t="array" ref="L25">_xlfn.XLOOKUP(1,($B25=Wholesale_DistributionZone)*($C25=Wholesale_TariffType)*("Total"=Wholesale_Description),Wholesale_FY_VarFees)*1.1/10</f>
        <v>13.668683586082514</v>
      </c>
      <c r="N25" s="397"/>
    </row>
    <row r="26" spans="2:18" x14ac:dyDescent="0.3">
      <c r="B26" s="769" t="str">
        <f t="shared" ref="B26:B38" si="14">B25</f>
        <v>Ausgrid</v>
      </c>
      <c r="C26" s="770" t="s">
        <v>14</v>
      </c>
      <c r="D26" s="57" t="s">
        <v>62</v>
      </c>
      <c r="E26" s="324">
        <f>E25</f>
        <v>1340</v>
      </c>
      <c r="F26" s="325" cm="1">
        <f t="array" ref="F26">_xlfn.XLOOKUP(1,($B26=Network_DistributionZone)*($C26=Network_TariffType)*("Total"=Network_Description),Network_FY_FixedFees)</f>
        <v>14.757189153640713</v>
      </c>
      <c r="G26" s="325" cm="1">
        <f t="array" ref="G26">_xlfn.XLOOKUP(1,($B26=Network_DistributionZone)*($C26=Network_TariffType)*("Total"=Network_Description),Network_FY_VarFees)</f>
        <v>29.657172402849202</v>
      </c>
      <c r="H26" s="325">
        <f>F26+(G26*E26)/1000</f>
        <v>54.497800173458643</v>
      </c>
      <c r="I26" s="326">
        <f>H26/$H$38</f>
        <v>0.32537924061991147</v>
      </c>
      <c r="J26" s="57"/>
      <c r="K26" s="327" cm="1">
        <f t="array" ref="K26">_xlfn.XLOOKUP(1,($B26=Network_DistributionZone)*($C26=Network_TariffType)*("Total"=Network_Description),Network_FY_FixedFees)*1.1/365*100</f>
        <v>4.4473720736999418</v>
      </c>
      <c r="L26" s="327" cm="1">
        <f t="array" ref="L26">_xlfn.XLOOKUP(1,($B26=Network_DistributionZone)*($C26=Network_TariffType)*("Total"=Network_Description),Network_FY_VarFees)*1.1/10</f>
        <v>3.2622889643134121</v>
      </c>
      <c r="N26" s="397"/>
      <c r="O26" s="309"/>
    </row>
    <row r="27" spans="2:18" x14ac:dyDescent="0.3">
      <c r="B27" s="769" t="str">
        <f t="shared" si="14"/>
        <v>Ausgrid</v>
      </c>
      <c r="C27" s="770" t="s">
        <v>14</v>
      </c>
      <c r="D27" s="32" t="s">
        <v>64</v>
      </c>
      <c r="E27" s="312">
        <f t="shared" ref="E27:E31" si="15">E26</f>
        <v>1340</v>
      </c>
      <c r="F27" s="309" cm="1">
        <f t="array" ref="F27">_xlfn.XLOOKUP(1,($B27=Enviro_DistributionZone)*($C27=Enviro_TariffType)*("Total"=Enviro_Description),Enviro_FY_FixedFees)</f>
        <v>0</v>
      </c>
      <c r="G27" s="309" cm="1">
        <f t="array" ref="G27">_xlfn.XLOOKUP(1,($B27=Enviro_DistributionZone)*($C27=Enviro_TariffType)*("Total"=Enviro_Description),Enviro_FY_VarFees)</f>
        <v>11.089476880042584</v>
      </c>
      <c r="H27" s="309">
        <f t="shared" ref="H27:H29" si="16">F27+(G27*E27)/1000</f>
        <v>14.859899019257062</v>
      </c>
      <c r="I27" s="313">
        <f t="shared" ref="I27:I29" si="17">H27/$H$30</f>
        <v>5.9221078506847283E-2</v>
      </c>
      <c r="K27" s="308" cm="1">
        <f t="array" ref="K27">_xlfn.XLOOKUP(1,($B27=Enviro_DistributionZone)*($C27=Enviro_TariffType)*("Total"=Enviro_Description),Enviro_FY_FixedFees)*1.1/365*100</f>
        <v>0</v>
      </c>
      <c r="L27" s="308" cm="1">
        <f t="array" ref="L27">_xlfn.XLOOKUP(1,($B27=Enviro_DistributionZone)*($C27=Enviro_TariffType)*("Total"=Enviro_Description),Enviro_FY_VarFees)*1.1/10</f>
        <v>1.2198424568046842</v>
      </c>
      <c r="N27" s="397"/>
    </row>
    <row r="28" spans="2:18" x14ac:dyDescent="0.3">
      <c r="B28" s="769" t="str">
        <f t="shared" si="14"/>
        <v>Ausgrid</v>
      </c>
      <c r="C28" s="770" t="s">
        <v>14</v>
      </c>
      <c r="D28" s="57" t="s">
        <v>159</v>
      </c>
      <c r="E28" s="324">
        <f t="shared" si="15"/>
        <v>1340</v>
      </c>
      <c r="F28" s="325" cm="1">
        <f t="array" ref="F28">_xlfn.IFNA(_xlfn.XLOOKUP(1,($B28=Retail_DistributionZone)*($C28=Retail_TariffType)*("Total"=Retail_Description),Retail_FY_FixedFees),0)</f>
        <v>0</v>
      </c>
      <c r="G28" s="325" cm="1">
        <f t="array" ref="G28">_xlfn.IFNA(_xlfn.XLOOKUP(1,($B28=Retail_DistributionZone)*($C28=Retail_TariffType)*("Total"=Retail_Description),Retail_FY_VarFees),0)</f>
        <v>0</v>
      </c>
      <c r="H28" s="325">
        <f t="shared" si="16"/>
        <v>0</v>
      </c>
      <c r="I28" s="326">
        <f t="shared" si="17"/>
        <v>0</v>
      </c>
      <c r="J28" s="57"/>
      <c r="K28" s="327" cm="1">
        <f t="array" ref="K28">_xlfn.IFNA(_xlfn.XLOOKUP(1,($B28=Retail_DistributionZone)*($C28=Retail_TariffType)*("Total"=Retail_Description),Retail_FY_FixedFees),0)*1.1/365*100</f>
        <v>0</v>
      </c>
      <c r="L28" s="327" cm="1">
        <f t="array" ref="L28">_xlfn.IFNA(_xlfn.XLOOKUP(1,($B28=Retail_DistributionZone)*($C28=Retail_TariffType)*("Total"=Retail_Description),Retail_FY_VarFees),0)*1.1/10</f>
        <v>0</v>
      </c>
      <c r="N28" s="397"/>
    </row>
    <row r="29" spans="2:18" x14ac:dyDescent="0.3">
      <c r="B29" s="769" t="str">
        <f t="shared" si="14"/>
        <v>Ausgrid</v>
      </c>
      <c r="C29" s="770" t="s">
        <v>14</v>
      </c>
      <c r="D29" s="32" t="s">
        <v>192</v>
      </c>
      <c r="E29" s="312">
        <f t="shared" si="15"/>
        <v>1340</v>
      </c>
      <c r="F29" s="309">
        <f>SUM(F25:F28)/(1-RetailMargin_RES)-SUM(F25:F28)</f>
        <v>0.94194824384940823</v>
      </c>
      <c r="G29" s="309">
        <f>SUM(G25:G28)/(1-RetailMargin_RES)-SUM(G25:G28)</f>
        <v>10.532387818491657</v>
      </c>
      <c r="H29" s="309">
        <f t="shared" si="16"/>
        <v>15.055347920628227</v>
      </c>
      <c r="I29" s="313">
        <f t="shared" si="17"/>
        <v>6.0000000000000032E-2</v>
      </c>
      <c r="K29" s="308">
        <f>SUM(K25:K28)/(1-RetailMargin_RES)-SUM(K25:K28)</f>
        <v>0.28387481321489005</v>
      </c>
      <c r="L29" s="308">
        <f>SUM(L25:L28)/(1-RetailMargin_RES)-SUM(L25:L28)</f>
        <v>1.1585626600340824</v>
      </c>
      <c r="N29" s="397"/>
    </row>
    <row r="30" spans="2:18" ht="14.5" thickBot="1" x14ac:dyDescent="0.35">
      <c r="B30" s="769" t="str">
        <f t="shared" si="14"/>
        <v>Ausgrid</v>
      </c>
      <c r="C30" s="770" t="s">
        <v>14</v>
      </c>
      <c r="D30" s="328" t="s">
        <v>55</v>
      </c>
      <c r="E30" s="324">
        <f t="shared" si="15"/>
        <v>1340</v>
      </c>
      <c r="F30" s="325"/>
      <c r="G30" s="325"/>
      <c r="H30" s="394">
        <f>SUM(H25:H29)</f>
        <v>250.92246534380365</v>
      </c>
      <c r="I30" s="57"/>
      <c r="J30" s="57"/>
      <c r="K30" s="438"/>
      <c r="L30" s="438"/>
      <c r="N30" s="397"/>
      <c r="O30" s="392"/>
    </row>
    <row r="31" spans="2:18" ht="14.5" thickTop="1" x14ac:dyDescent="0.3">
      <c r="B31" s="769" t="str">
        <f>B30</f>
        <v>Ausgrid</v>
      </c>
      <c r="C31" s="770" t="s">
        <v>14</v>
      </c>
      <c r="D31" s="323" t="s">
        <v>79</v>
      </c>
      <c r="E31" s="393">
        <f t="shared" si="15"/>
        <v>1340</v>
      </c>
      <c r="F31" s="321"/>
      <c r="G31" s="321"/>
      <c r="H31" s="543">
        <f>H30*(1+GST)</f>
        <v>276.01471187818402</v>
      </c>
      <c r="I31" s="321"/>
      <c r="J31" s="321"/>
      <c r="K31" s="544">
        <f>SUM(K25:K29)</f>
        <v>4.7312468869148319</v>
      </c>
      <c r="L31" s="544">
        <f>SUM(L25:L29)</f>
        <v>19.309377667234692</v>
      </c>
      <c r="M31" s="329"/>
      <c r="N31" s="397">
        <f>L31*E30/100+K31*365/100</f>
        <v>276.01471187818402</v>
      </c>
      <c r="R31" s="309"/>
    </row>
    <row r="32" spans="2:18" x14ac:dyDescent="0.3">
      <c r="B32" s="769" t="str">
        <f t="shared" si="14"/>
        <v>Ausgrid</v>
      </c>
      <c r="C32" s="770"/>
      <c r="N32" s="397"/>
    </row>
    <row r="33" spans="2:18" x14ac:dyDescent="0.3">
      <c r="B33" s="769" t="str">
        <f t="shared" si="14"/>
        <v>Ausgrid</v>
      </c>
      <c r="C33" s="770" t="s">
        <v>15</v>
      </c>
      <c r="D33" s="32" t="s">
        <v>63</v>
      </c>
      <c r="E33" s="312" cm="1">
        <f t="array" ref="E33">IFERROR(_xlfn.XLOOKUP(1,($B33=DistributionZone)*($C33=tariffType)*($E$4=Description),valuesFY),0)</f>
        <v>660</v>
      </c>
      <c r="F33" s="309" cm="1">
        <f t="array" ref="F33">_xlfn.XLOOKUP(1,($B33=Wholesale_DistributionZone)*($C33=Wholesale_TariffType)*("Total"=Wholesale_Description),Wholesale_FY_FixedFees)</f>
        <v>0</v>
      </c>
      <c r="G33" s="309" cm="1">
        <f t="array" ref="G33">_xlfn.XLOOKUP(1,($B33=Wholesale_DistributionZone)*($C33=Wholesale_TariffType)*("Total"=Wholesale_Description),Wholesale_FY_VarFees)</f>
        <v>129.26771413528567</v>
      </c>
      <c r="H33" s="309">
        <f t="shared" ref="H33" si="18">F33+(G33*E33)/1000</f>
        <v>85.316691329288545</v>
      </c>
      <c r="I33" s="313">
        <f t="shared" ref="I33" si="19">H33/$H$38</f>
        <v>0.50938350077563355</v>
      </c>
      <c r="K33" s="308" cm="1">
        <f t="array" ref="K33">_xlfn.XLOOKUP(1,($B33=Wholesale_DistributionZone)*($C33=Wholesale_TariffType)*("Total"=Wholesale_Description),Wholesale_FY_FixedFees)*1.1/365*100</f>
        <v>0</v>
      </c>
      <c r="L33" s="308" cm="1">
        <f t="array" ref="L33">_xlfn.XLOOKUP(1,($B33=Wholesale_DistributionZone)*($C33=Wholesale_TariffType)*("Total"=Wholesale_Description),Wholesale_FY_VarFees)*1.1/10</f>
        <v>14.219448554881424</v>
      </c>
      <c r="N33" s="397"/>
    </row>
    <row r="34" spans="2:18" x14ac:dyDescent="0.3">
      <c r="B34" s="769" t="str">
        <f t="shared" si="14"/>
        <v>Ausgrid</v>
      </c>
      <c r="C34" s="770" t="s">
        <v>15</v>
      </c>
      <c r="D34" s="57" t="s">
        <v>62</v>
      </c>
      <c r="E34" s="324">
        <f>E33</f>
        <v>660</v>
      </c>
      <c r="F34" s="325" cm="1">
        <f t="array" ref="F34">_xlfn.XLOOKUP(1,($B34=Network_DistributionZone)*($C34=Network_TariffType)*("Total"=Network_Description),Network_FY_FixedFees)</f>
        <v>27.692482060916664</v>
      </c>
      <c r="G34" s="325" cm="1">
        <f t="array" ref="G34">_xlfn.XLOOKUP(1,($B34=Network_DistributionZone)*($C34=Network_TariffType)*("Total"=Network_Description),Network_FY_VarFees)</f>
        <v>56.2310028698409</v>
      </c>
      <c r="H34" s="325">
        <f>F34+(G34*E34)/1000</f>
        <v>64.804943955011652</v>
      </c>
      <c r="I34" s="326">
        <f>H34/$H$38</f>
        <v>0.38691806614915336</v>
      </c>
      <c r="J34" s="57"/>
      <c r="K34" s="327" cm="1">
        <f t="array" ref="K34">_xlfn.XLOOKUP(1,($B34=Network_DistributionZone)*($C34=Network_TariffType)*("Total"=Network_Description),Network_FY_FixedFees)*1.1/365*100</f>
        <v>8.3456795252077622</v>
      </c>
      <c r="L34" s="327" cm="1">
        <f t="array" ref="L34">_xlfn.XLOOKUP(1,($B34=Network_DistributionZone)*($C34=Network_TariffType)*("Total"=Network_Description),Network_FY_VarFees)*1.1/10</f>
        <v>6.1854103156824998</v>
      </c>
      <c r="N34" s="397"/>
    </row>
    <row r="35" spans="2:18" x14ac:dyDescent="0.3">
      <c r="B35" s="769" t="str">
        <f t="shared" si="14"/>
        <v>Ausgrid</v>
      </c>
      <c r="C35" s="770" t="s">
        <v>15</v>
      </c>
      <c r="D35" s="32" t="s">
        <v>64</v>
      </c>
      <c r="E35" s="312">
        <f t="shared" ref="E35:E39" si="20">E34</f>
        <v>660</v>
      </c>
      <c r="F35" s="309" cm="1">
        <f t="array" ref="F35">_xlfn.XLOOKUP(1,($B35=Enviro_DistributionZone)*($C35=Enviro_TariffType)*("Total"=Enviro_Description),Enviro_FY_FixedFees)</f>
        <v>0</v>
      </c>
      <c r="G35" s="309" cm="1">
        <f t="array" ref="G35">_xlfn.XLOOKUP(1,($B35=Enviro_DistributionZone)*($C35=Enviro_TariffType)*("Total"=Enviro_Description),Enviro_FY_VarFees)</f>
        <v>11.089476880042584</v>
      </c>
      <c r="H35" s="309">
        <f t="shared" ref="H35:H37" si="21">F35+(G35*E35)/1000</f>
        <v>7.319054740828105</v>
      </c>
      <c r="I35" s="313">
        <f t="shared" ref="I35:I37" si="22">H35/$H$38</f>
        <v>4.3698433075212963E-2</v>
      </c>
      <c r="K35" s="308" cm="1">
        <f t="array" ref="K35">_xlfn.XLOOKUP(1,($B35=Enviro_DistributionZone)*($C35=Enviro_TariffType)*("Total"=Enviro_Description),Enviro_FY_FixedFees)*1.1/365*100</f>
        <v>0</v>
      </c>
      <c r="L35" s="308" cm="1">
        <f t="array" ref="L35">_xlfn.XLOOKUP(1,($B35=Enviro_DistributionZone)*($C35=Enviro_TariffType)*("Total"=Enviro_Description),Enviro_FY_VarFees)*1.1/10</f>
        <v>1.2198424568046842</v>
      </c>
      <c r="N35" s="397"/>
    </row>
    <row r="36" spans="2:18" x14ac:dyDescent="0.3">
      <c r="B36" s="769" t="str">
        <f t="shared" si="14"/>
        <v>Ausgrid</v>
      </c>
      <c r="C36" s="770" t="s">
        <v>15</v>
      </c>
      <c r="D36" s="57" t="s">
        <v>159</v>
      </c>
      <c r="E36" s="324">
        <f t="shared" si="20"/>
        <v>660</v>
      </c>
      <c r="F36" s="325" cm="1">
        <f t="array" ref="F36">_xlfn.IFNA(_xlfn.XLOOKUP(1,($B36=Retail_DistributionZone)*($C36=Retail_TariffType)*("Total"=Retail_Description),Retail_FY_FixedFees),0)</f>
        <v>0</v>
      </c>
      <c r="G36" s="325" cm="1">
        <f t="array" ref="G36">_xlfn.IFNA(_xlfn.XLOOKUP(1,($B36=Retail_DistributionZone)*($C36=Retail_TariffType)*("Total"=Retail_Description),Retail_FY_VarFees),0)</f>
        <v>0</v>
      </c>
      <c r="H36" s="325">
        <f t="shared" si="21"/>
        <v>0</v>
      </c>
      <c r="I36" s="326">
        <f t="shared" si="22"/>
        <v>0</v>
      </c>
      <c r="J36" s="57"/>
      <c r="K36" s="327" cm="1">
        <f t="array" ref="K36">_xlfn.IFNA(_xlfn.XLOOKUP(1,($B36=Retail_DistributionZone)*($C36=Retail_TariffType)*("Total"=Retail_Description),Retail_FY_FixedFees),0)*1.1/365*100</f>
        <v>0</v>
      </c>
      <c r="L36" s="327" cm="1">
        <f t="array" ref="L36">_xlfn.IFNA(_xlfn.XLOOKUP(1,($B36=Retail_DistributionZone)*($C36=Retail_TariffType)*("Total"=Retail_Description),Retail_FY_VarFees),0)*1.1/10</f>
        <v>0</v>
      </c>
      <c r="N36" s="397"/>
    </row>
    <row r="37" spans="2:18" x14ac:dyDescent="0.3">
      <c r="B37" s="769" t="str">
        <f t="shared" si="14"/>
        <v>Ausgrid</v>
      </c>
      <c r="C37" s="770" t="s">
        <v>15</v>
      </c>
      <c r="D37" s="32" t="s">
        <v>192</v>
      </c>
      <c r="E37" s="312">
        <f t="shared" si="20"/>
        <v>660</v>
      </c>
      <c r="F37" s="309">
        <f>SUM(F33:F36)/(1-RetailMargin_RES)-SUM(F33:F36)</f>
        <v>1.7676052379308516</v>
      </c>
      <c r="G37" s="309">
        <f>SUM(G33:G36)/(1-RetailMargin_RES)-SUM(G33:G36)</f>
        <v>12.548182588415074</v>
      </c>
      <c r="H37" s="309">
        <f t="shared" si="21"/>
        <v>10.049405746284799</v>
      </c>
      <c r="I37" s="313">
        <f t="shared" si="22"/>
        <v>6.0000000000000074E-2</v>
      </c>
      <c r="K37" s="308">
        <f>SUM(K33:K36)/(1-RetailMargin_RES)-SUM(K33:K36)</f>
        <v>0.53270294841751742</v>
      </c>
      <c r="L37" s="308">
        <f>SUM(L33:L36)/(1-RetailMargin_RES)-SUM(L33:L36)</f>
        <v>1.3803000847256577</v>
      </c>
      <c r="N37" s="397"/>
    </row>
    <row r="38" spans="2:18" ht="14.5" thickBot="1" x14ac:dyDescent="0.35">
      <c r="B38" s="769" t="str">
        <f t="shared" si="14"/>
        <v>Ausgrid</v>
      </c>
      <c r="C38" s="770" t="s">
        <v>15</v>
      </c>
      <c r="D38" s="328" t="s">
        <v>55</v>
      </c>
      <c r="E38" s="324">
        <f t="shared" si="20"/>
        <v>660</v>
      </c>
      <c r="F38" s="325"/>
      <c r="G38" s="325"/>
      <c r="H38" s="394">
        <f>SUM(H33:H37)</f>
        <v>167.49009577141311</v>
      </c>
      <c r="I38" s="57"/>
      <c r="J38" s="57"/>
      <c r="K38" s="438"/>
      <c r="L38" s="438"/>
      <c r="N38" s="397"/>
      <c r="O38" s="392"/>
    </row>
    <row r="39" spans="2:18" ht="14.5" thickTop="1" x14ac:dyDescent="0.3">
      <c r="B39" s="769" t="str">
        <f>B38</f>
        <v>Ausgrid</v>
      </c>
      <c r="C39" s="770" t="s">
        <v>15</v>
      </c>
      <c r="D39" s="323" t="s">
        <v>79</v>
      </c>
      <c r="E39" s="393">
        <f t="shared" si="20"/>
        <v>660</v>
      </c>
      <c r="F39" s="321"/>
      <c r="G39" s="321"/>
      <c r="H39" s="543">
        <f>H38*(1+GST)</f>
        <v>184.23910534855443</v>
      </c>
      <c r="I39" s="321"/>
      <c r="J39" s="321"/>
      <c r="K39" s="544">
        <f>SUM(K33:K37)</f>
        <v>8.8783824736252797</v>
      </c>
      <c r="L39" s="544">
        <f>SUM(L33:L37)</f>
        <v>23.005001412094266</v>
      </c>
      <c r="M39" s="329"/>
      <c r="N39" s="397">
        <f>L39*E38/100+K39*365/100</f>
        <v>184.23910534855443</v>
      </c>
      <c r="R39" s="309"/>
    </row>
    <row r="40" spans="2:18" x14ac:dyDescent="0.3">
      <c r="B40" s="740"/>
      <c r="C40" s="561"/>
      <c r="D40" s="37"/>
      <c r="H40" s="395"/>
      <c r="K40" s="309"/>
      <c r="L40" s="309"/>
      <c r="M40" s="329"/>
      <c r="N40" s="397"/>
    </row>
    <row r="41" spans="2:18" x14ac:dyDescent="0.3">
      <c r="B41" s="740"/>
      <c r="C41" s="561"/>
      <c r="D41" s="37" t="s">
        <v>357</v>
      </c>
      <c r="E41" s="310">
        <f>SUM(E33,E25)</f>
        <v>2000</v>
      </c>
      <c r="F41" s="32" t="s">
        <v>53</v>
      </c>
      <c r="H41" s="395"/>
      <c r="K41" s="309"/>
      <c r="L41" s="309"/>
      <c r="M41" s="329"/>
      <c r="N41" s="397"/>
    </row>
    <row r="42" spans="2:18" x14ac:dyDescent="0.3">
      <c r="D42" s="37" t="s">
        <v>358</v>
      </c>
      <c r="E42" s="396">
        <f>SUM(H31,H39)</f>
        <v>460.25381722673842</v>
      </c>
      <c r="N42" s="397"/>
    </row>
    <row r="43" spans="2:18" x14ac:dyDescent="0.3">
      <c r="F43" s="37" t="s">
        <v>322</v>
      </c>
      <c r="K43" s="37" t="s">
        <v>22</v>
      </c>
      <c r="N43" s="397"/>
    </row>
    <row r="44" spans="2:18" ht="20" x14ac:dyDescent="0.3">
      <c r="B44" s="768" t="s">
        <v>4</v>
      </c>
      <c r="C44" s="559"/>
      <c r="D44" s="317" t="s">
        <v>32</v>
      </c>
      <c r="E44" s="318" t="s">
        <v>24</v>
      </c>
      <c r="F44" s="316" t="s">
        <v>317</v>
      </c>
      <c r="G44" s="316" t="s">
        <v>318</v>
      </c>
      <c r="H44" s="316" t="s">
        <v>319</v>
      </c>
      <c r="I44" s="316" t="s">
        <v>23</v>
      </c>
      <c r="K44" s="314" t="s">
        <v>317</v>
      </c>
      <c r="L44" s="314" t="s">
        <v>318</v>
      </c>
      <c r="M44" s="357"/>
      <c r="N44" s="397"/>
    </row>
    <row r="45" spans="2:18" ht="14.5" customHeight="1" x14ac:dyDescent="0.3">
      <c r="B45" s="739"/>
      <c r="C45" s="560"/>
      <c r="D45" s="319"/>
      <c r="E45" s="319" t="s">
        <v>53</v>
      </c>
      <c r="F45" s="320" t="s">
        <v>338</v>
      </c>
      <c r="G45" s="320" t="s">
        <v>44</v>
      </c>
      <c r="H45" s="320" t="str">
        <f>$H$5</f>
        <v>$</v>
      </c>
      <c r="I45" s="320" t="s">
        <v>27</v>
      </c>
      <c r="K45" s="330" t="s">
        <v>266</v>
      </c>
      <c r="L45" s="330" t="s">
        <v>246</v>
      </c>
      <c r="N45" s="397"/>
    </row>
    <row r="46" spans="2:18" ht="20" x14ac:dyDescent="0.3">
      <c r="B46" s="771" t="s">
        <v>354</v>
      </c>
      <c r="D46" s="307"/>
      <c r="E46" s="311"/>
      <c r="N46" s="397"/>
    </row>
    <row r="47" spans="2:18" x14ac:dyDescent="0.3">
      <c r="B47" s="769" t="s">
        <v>4</v>
      </c>
      <c r="C47" s="770" t="s">
        <v>14</v>
      </c>
      <c r="D47" s="32" t="s">
        <v>63</v>
      </c>
      <c r="E47" s="312" cm="1">
        <f t="array" ref="E47">IFERROR(_xlfn.XLOOKUP(1,($B47=DistributionZone)*("CL"=tariffType)*($E$4=Description),valuesFY),0)</f>
        <v>2200</v>
      </c>
      <c r="F47" s="309" cm="1">
        <f t="array" ref="F47">_xlfn.XLOOKUP(1,($B47=Wholesale_DistributionZone)*($C47=Wholesale_TariffType)*("Total"=Wholesale_Description),Wholesale_FY_FixedFees)</f>
        <v>0</v>
      </c>
      <c r="G47" s="309" cm="1">
        <f t="array" ref="G47">_xlfn.XLOOKUP(1,($B47=Wholesale_DistributionZone)*($C47=Wholesale_TariffType)*("Total"=Wholesale_Description),Wholesale_FY_VarFees)</f>
        <v>116.99127501765108</v>
      </c>
      <c r="H47" s="309">
        <f t="shared" ref="H47" si="23">F47+(G47*E47)/1000</f>
        <v>257.38080503883236</v>
      </c>
      <c r="I47" s="313">
        <f t="shared" ref="I47" si="24">H47/$H$61</f>
        <v>0.52761396474893096</v>
      </c>
      <c r="K47" s="308" cm="1">
        <f t="array" ref="K47">_xlfn.XLOOKUP(1,($B47=Wholesale_DistributionZone)*($C47=Wholesale_TariffType)*("Total"=Wholesale_Description),Wholesale_FY_FixedFees)*1.1/365*100</f>
        <v>0</v>
      </c>
      <c r="L47" s="308" cm="1">
        <f t="array" ref="L47">_xlfn.XLOOKUP(1,($B47=Wholesale_DistributionZone)*($C47=Wholesale_TariffType)*("Total"=Wholesale_Description),Wholesale_FY_VarFees)*1.1/10</f>
        <v>12.869040251941618</v>
      </c>
      <c r="N47" s="397"/>
    </row>
    <row r="48" spans="2:18" x14ac:dyDescent="0.3">
      <c r="B48" s="769" t="str">
        <f t="shared" ref="B48:B54" si="25">B47</f>
        <v>Endeavour</v>
      </c>
      <c r="C48" s="770" t="s">
        <v>14</v>
      </c>
      <c r="D48" s="57" t="s">
        <v>62</v>
      </c>
      <c r="E48" s="324">
        <f>E47</f>
        <v>2200</v>
      </c>
      <c r="F48" s="325" cm="1">
        <f t="array" ref="F48">_xlfn.XLOOKUP(1,($B48=Network_DistributionZone)*($C48=Network_TariffType)*("Total"=Network_Description),Network_FY_FixedFees)</f>
        <v>43.333165000000008</v>
      </c>
      <c r="G48" s="325" cm="1">
        <f t="array" ref="G48">_xlfn.XLOOKUP(1,($B48=Network_DistributionZone)*($C48=Network_TariffType)*("Total"=Network_Description),Network_FY_VarFees)</f>
        <v>48.19</v>
      </c>
      <c r="H48" s="325">
        <f>F48+(G48*E48)/1000</f>
        <v>149.35116500000001</v>
      </c>
      <c r="I48" s="326">
        <f>H48/$H$61</f>
        <v>0.30616020605589783</v>
      </c>
      <c r="J48" s="57"/>
      <c r="K48" s="327" cm="1">
        <f t="array" ref="K48">_xlfn.XLOOKUP(1,($B48=Network_DistributionZone)*($C48=Network_TariffType)*("Total"=Network_Description),Network_FY_FixedFees)*1.1/365*100</f>
        <v>13.059310000000002</v>
      </c>
      <c r="L48" s="327" cm="1">
        <f t="array" ref="L48">_xlfn.XLOOKUP(1,($B48=Network_DistributionZone)*($C48=Network_TariffType)*("Total"=Network_Description),Network_FY_VarFees)*1.1/10</f>
        <v>5.3009000000000004</v>
      </c>
      <c r="N48" s="397"/>
      <c r="O48" s="309"/>
    </row>
    <row r="49" spans="2:18" x14ac:dyDescent="0.3">
      <c r="B49" s="769" t="str">
        <f t="shared" si="25"/>
        <v>Endeavour</v>
      </c>
      <c r="C49" s="770" t="s">
        <v>14</v>
      </c>
      <c r="D49" s="32" t="s">
        <v>64</v>
      </c>
      <c r="E49" s="312">
        <f t="shared" ref="E49:E53" si="26">E48</f>
        <v>2200</v>
      </c>
      <c r="F49" s="309" cm="1">
        <f t="array" ref="F49">_xlfn.XLOOKUP(1,($B49=Enviro_DistributionZone)*($C49=Enviro_TariffType)*("Total"=Enviro_Description),Enviro_FY_FixedFees)</f>
        <v>0</v>
      </c>
      <c r="G49" s="309" cm="1">
        <f t="array" ref="G49">_xlfn.XLOOKUP(1,($B49=Enviro_DistributionZone)*($C49=Enviro_TariffType)*("Total"=Enviro_Description),Enviro_FY_VarFees)</f>
        <v>11.22928148959438</v>
      </c>
      <c r="H49" s="309">
        <f t="shared" ref="H49:H51" si="27">F49+(G49*E49)/1000</f>
        <v>24.704419277107633</v>
      </c>
      <c r="I49" s="313">
        <f t="shared" ref="I49:I51" si="28">H49/$H$52</f>
        <v>5.3825209684562871E-2</v>
      </c>
      <c r="K49" s="308" cm="1">
        <f t="array" ref="K49">_xlfn.XLOOKUP(1,($B49=Enviro_DistributionZone)*($C49=Enviro_TariffType)*("Total"=Enviro_Description),Enviro_FY_FixedFees)*1.1/365*100</f>
        <v>0</v>
      </c>
      <c r="L49" s="308" cm="1">
        <f t="array" ref="L49">_xlfn.XLOOKUP(1,($B49=Enviro_DistributionZone)*($C49=Enviro_TariffType)*("Total"=Enviro_Description),Enviro_FY_VarFees)*1.1/10</f>
        <v>1.2352209638553817</v>
      </c>
      <c r="N49" s="397"/>
    </row>
    <row r="50" spans="2:18" x14ac:dyDescent="0.3">
      <c r="B50" s="769" t="str">
        <f t="shared" si="25"/>
        <v>Endeavour</v>
      </c>
      <c r="C50" s="770" t="s">
        <v>14</v>
      </c>
      <c r="D50" s="57" t="s">
        <v>159</v>
      </c>
      <c r="E50" s="324">
        <f t="shared" si="26"/>
        <v>2200</v>
      </c>
      <c r="F50" s="325" cm="1">
        <f t="array" ref="F50">_xlfn.IFNA(_xlfn.XLOOKUP(1,($B50=Retail_DistributionZone)*($C50=Retail_TariffType)*("Total"=Retail_Description),Retail_FY_FixedFees),0)</f>
        <v>0</v>
      </c>
      <c r="G50" s="325" cm="1">
        <f t="array" ref="G50">_xlfn.IFNA(_xlfn.XLOOKUP(1,($B50=Retail_DistributionZone)*($C50=Retail_TariffType)*("Total"=Retail_Description),Retail_FY_VarFees),0)</f>
        <v>0</v>
      </c>
      <c r="H50" s="325">
        <f t="shared" si="27"/>
        <v>0</v>
      </c>
      <c r="I50" s="326">
        <f t="shared" si="28"/>
        <v>0</v>
      </c>
      <c r="J50" s="57"/>
      <c r="K50" s="327" cm="1">
        <f t="array" ref="K50">_xlfn.IFNA(_xlfn.XLOOKUP(1,($B50=Retail_DistributionZone)*($C50=Retail_TariffType)*("Total"=Retail_Description),Retail_FY_FixedFees),0)*1.1/365*100</f>
        <v>0</v>
      </c>
      <c r="L50" s="327" cm="1">
        <f t="array" ref="L50">_xlfn.IFNA(_xlfn.XLOOKUP(1,($B50=Retail_DistributionZone)*($C50=Retail_TariffType)*("Total"=Retail_Description),Retail_FY_VarFees),0)*1.1/10</f>
        <v>0</v>
      </c>
      <c r="N50" s="397"/>
    </row>
    <row r="51" spans="2:18" x14ac:dyDescent="0.3">
      <c r="B51" s="769" t="str">
        <f t="shared" si="25"/>
        <v>Endeavour</v>
      </c>
      <c r="C51" s="770" t="s">
        <v>14</v>
      </c>
      <c r="D51" s="32" t="s">
        <v>192</v>
      </c>
      <c r="E51" s="312">
        <f t="shared" si="26"/>
        <v>2200</v>
      </c>
      <c r="F51" s="309">
        <f>SUM(F47:F50)/(1-RetailMargin_RES)-SUM(F47:F50)</f>
        <v>2.765946702127664</v>
      </c>
      <c r="G51" s="309">
        <f>SUM(G47:G50)/(1-RetailMargin_RES)-SUM(G47:G50)</f>
        <v>11.260248287696527</v>
      </c>
      <c r="H51" s="309">
        <f t="shared" si="27"/>
        <v>27.538492935060024</v>
      </c>
      <c r="I51" s="313">
        <f t="shared" si="28"/>
        <v>6.0000000000000046E-2</v>
      </c>
      <c r="K51" s="308">
        <f>SUM(K47:K50)/(1-RetailMargin_RES)-SUM(K47:K50)</f>
        <v>0.83357297872340474</v>
      </c>
      <c r="L51" s="308">
        <f>SUM(L47:L50)/(1-RetailMargin_RES)-SUM(L47:L50)</f>
        <v>1.2386273116466171</v>
      </c>
      <c r="N51" s="397"/>
    </row>
    <row r="52" spans="2:18" ht="14.5" thickBot="1" x14ac:dyDescent="0.35">
      <c r="B52" s="769" t="str">
        <f t="shared" si="25"/>
        <v>Endeavour</v>
      </c>
      <c r="C52" s="770" t="s">
        <v>359</v>
      </c>
      <c r="D52" s="328" t="s">
        <v>55</v>
      </c>
      <c r="E52" s="324">
        <f t="shared" si="26"/>
        <v>2200</v>
      </c>
      <c r="F52" s="325"/>
      <c r="G52" s="325"/>
      <c r="H52" s="394">
        <f>SUM(H47:H51)</f>
        <v>458.97488225100005</v>
      </c>
      <c r="I52" s="57"/>
      <c r="J52" s="57"/>
      <c r="K52" s="438"/>
      <c r="L52" s="438"/>
      <c r="N52" s="397"/>
      <c r="O52" s="392"/>
    </row>
    <row r="53" spans="2:18" ht="14.5" thickTop="1" x14ac:dyDescent="0.3">
      <c r="B53" s="769" t="str">
        <f>B52</f>
        <v>Endeavour</v>
      </c>
      <c r="C53" s="770" t="s">
        <v>359</v>
      </c>
      <c r="D53" s="323" t="s">
        <v>79</v>
      </c>
      <c r="E53" s="393">
        <f t="shared" si="26"/>
        <v>2200</v>
      </c>
      <c r="F53" s="321"/>
      <c r="G53" s="321"/>
      <c r="H53" s="543">
        <f>H52*(1+GST)</f>
        <v>504.87237047610012</v>
      </c>
      <c r="I53" s="321"/>
      <c r="J53" s="321"/>
      <c r="K53" s="544">
        <f>SUM(K47:K51)</f>
        <v>13.892882978723406</v>
      </c>
      <c r="L53" s="544">
        <f>SUM(L47:L51)</f>
        <v>20.643788527443618</v>
      </c>
      <c r="M53" s="329"/>
      <c r="N53" s="397">
        <f>L53*E52/100+K53*365/100</f>
        <v>504.87237047610006</v>
      </c>
      <c r="R53" s="309"/>
    </row>
    <row r="54" spans="2:18" x14ac:dyDescent="0.3">
      <c r="B54" s="769" t="str">
        <f t="shared" si="25"/>
        <v>Endeavour</v>
      </c>
      <c r="C54" s="770"/>
      <c r="N54" s="397"/>
    </row>
    <row r="55" spans="2:18" ht="20" x14ac:dyDescent="0.3">
      <c r="B55" s="771" t="s">
        <v>355</v>
      </c>
      <c r="C55" s="561"/>
      <c r="N55" s="397"/>
    </row>
    <row r="56" spans="2:18" x14ac:dyDescent="0.3">
      <c r="B56" s="769" t="s">
        <v>4</v>
      </c>
      <c r="C56" s="770" t="s">
        <v>15</v>
      </c>
      <c r="D56" s="32" t="s">
        <v>63</v>
      </c>
      <c r="E56" s="312" cm="1">
        <f t="array" ref="E56">IFERROR(_xlfn.XLOOKUP(1,($B56=DistributionZone)*("CL"=tariffType)*($E$4=Description),valuesFY),0)</f>
        <v>2200</v>
      </c>
      <c r="F56" s="309" cm="1">
        <f t="array" ref="F56">_xlfn.XLOOKUP(1,($B56=Wholesale_DistributionZone)*($C56=Wholesale_TariffType)*("Total"=Wholesale_Description),Wholesale_FY_FixedFees)</f>
        <v>0</v>
      </c>
      <c r="G56" s="309" cm="1">
        <f t="array" ref="G56">_xlfn.XLOOKUP(1,($B56=Wholesale_DistributionZone)*($C56=Wholesale_TariffType)*("Total"=Wholesale_Description),Wholesale_FY_VarFees)</f>
        <v>103.69913732950825</v>
      </c>
      <c r="H56" s="309">
        <f t="shared" ref="H56" si="29">F56+(G56*E56)/1000</f>
        <v>228.13810212491813</v>
      </c>
      <c r="I56" s="313">
        <f t="shared" ref="I56" si="30">H56/$H$61</f>
        <v>0.46766831953246829</v>
      </c>
      <c r="K56" s="308" cm="1">
        <f t="array" ref="K56">_xlfn.XLOOKUP(1,($B56=Wholesale_DistributionZone)*($C56=Wholesale_TariffType)*("Total"=Wholesale_Description),Wholesale_FY_FixedFees)*1.1/365*100</f>
        <v>0</v>
      </c>
      <c r="L56" s="308" cm="1">
        <f t="array" ref="L56">_xlfn.XLOOKUP(1,($B56=Wholesale_DistributionZone)*($C56=Wholesale_TariffType)*("Total"=Wholesale_Description),Wholesale_FY_VarFees)*1.1/10</f>
        <v>11.406905106245908</v>
      </c>
      <c r="N56" s="397"/>
    </row>
    <row r="57" spans="2:18" x14ac:dyDescent="0.3">
      <c r="B57" s="769" t="str">
        <f t="shared" ref="B57:B61" si="31">B56</f>
        <v>Endeavour</v>
      </c>
      <c r="C57" s="770" t="s">
        <v>15</v>
      </c>
      <c r="D57" s="57" t="s">
        <v>62</v>
      </c>
      <c r="E57" s="324">
        <f>E56</f>
        <v>2200</v>
      </c>
      <c r="F57" s="325" cm="1">
        <f t="array" ref="F57">_xlfn.XLOOKUP(1,($B57=Network_DistributionZone)*($C57=Network_TariffType)*("Total"=Network_Description),Network_FY_FixedFees)</f>
        <v>43.333165000000008</v>
      </c>
      <c r="G57" s="325" cm="1">
        <f t="array" ref="G57">_xlfn.XLOOKUP(1,($B57=Network_DistributionZone)*($C57=Network_TariffType)*("Total"=Network_Description),Network_FY_VarFees)</f>
        <v>73.807000000000002</v>
      </c>
      <c r="H57" s="325">
        <f>F57+(G57*E57)/1000</f>
        <v>205.70856499999999</v>
      </c>
      <c r="I57" s="326">
        <f>H57/$H$61</f>
        <v>0.42168922249694568</v>
      </c>
      <c r="J57" s="57"/>
      <c r="K57" s="327" cm="1">
        <f t="array" ref="K57">_xlfn.XLOOKUP(1,($B57=Network_DistributionZone)*($C57=Network_TariffType)*("Total"=Network_Description),Network_FY_FixedFees)*1.1/365*100</f>
        <v>13.059310000000002</v>
      </c>
      <c r="L57" s="327" cm="1">
        <f t="array" ref="L57">_xlfn.XLOOKUP(1,($B57=Network_DistributionZone)*($C57=Network_TariffType)*("Total"=Network_Description),Network_FY_VarFees)*1.1/10</f>
        <v>8.1187700000000014</v>
      </c>
      <c r="N57" s="397"/>
    </row>
    <row r="58" spans="2:18" x14ac:dyDescent="0.3">
      <c r="B58" s="769" t="str">
        <f t="shared" si="31"/>
        <v>Endeavour</v>
      </c>
      <c r="C58" s="770" t="s">
        <v>15</v>
      </c>
      <c r="D58" s="32" t="s">
        <v>64</v>
      </c>
      <c r="E58" s="312">
        <f t="shared" ref="E58:E62" si="32">E57</f>
        <v>2200</v>
      </c>
      <c r="F58" s="309" cm="1">
        <f t="array" ref="F58">_xlfn.XLOOKUP(1,($B58=Enviro_DistributionZone)*($C58=Enviro_TariffType)*("Total"=Enviro_Description),Enviro_FY_FixedFees)</f>
        <v>0</v>
      </c>
      <c r="G58" s="309" cm="1">
        <f t="array" ref="G58">_xlfn.XLOOKUP(1,($B58=Enviro_DistributionZone)*($C58=Enviro_TariffType)*("Total"=Enviro_Description),Enviro_FY_VarFees)</f>
        <v>11.22928148959438</v>
      </c>
      <c r="H58" s="309">
        <f t="shared" ref="H58:H60" si="33">F58+(G58*E58)/1000</f>
        <v>24.704419277107633</v>
      </c>
      <c r="I58" s="313">
        <f t="shared" ref="I58:I60" si="34">H58/$H$61</f>
        <v>5.0642457970586079E-2</v>
      </c>
      <c r="K58" s="308" cm="1">
        <f t="array" ref="K58">_xlfn.XLOOKUP(1,($B58=Enviro_DistributionZone)*($C58=Enviro_TariffType)*("Total"=Enviro_Description),Enviro_FY_FixedFees)*1.1/365*100</f>
        <v>0</v>
      </c>
      <c r="L58" s="308" cm="1">
        <f t="array" ref="L58">_xlfn.XLOOKUP(1,($B58=Enviro_DistributionZone)*($C58=Enviro_TariffType)*("Total"=Enviro_Description),Enviro_FY_VarFees)*1.1/10</f>
        <v>1.2352209638553817</v>
      </c>
      <c r="N58" s="397"/>
    </row>
    <row r="59" spans="2:18" x14ac:dyDescent="0.3">
      <c r="B59" s="769" t="str">
        <f t="shared" si="31"/>
        <v>Endeavour</v>
      </c>
      <c r="C59" s="770" t="s">
        <v>15</v>
      </c>
      <c r="D59" s="57" t="s">
        <v>159</v>
      </c>
      <c r="E59" s="324">
        <f t="shared" si="32"/>
        <v>2200</v>
      </c>
      <c r="F59" s="325" cm="1">
        <f t="array" ref="F59">_xlfn.IFNA(_xlfn.XLOOKUP(1,($B59=Retail_DistributionZone)*($C59=Retail_TariffType)*("Total"=Retail_Description),Retail_FY_FixedFees),0)</f>
        <v>0</v>
      </c>
      <c r="G59" s="325" cm="1">
        <f t="array" ref="G59">_xlfn.IFNA(_xlfn.XLOOKUP(1,($B59=Retail_DistributionZone)*($C59=Retail_TariffType)*("Total"=Retail_Description),Retail_FY_VarFees),0)</f>
        <v>0</v>
      </c>
      <c r="H59" s="325">
        <f t="shared" si="33"/>
        <v>0</v>
      </c>
      <c r="I59" s="326">
        <f t="shared" si="34"/>
        <v>0</v>
      </c>
      <c r="J59" s="57"/>
      <c r="K59" s="327" cm="1">
        <f t="array" ref="K59">_xlfn.IFNA(_xlfn.XLOOKUP(1,($B59=Retail_DistributionZone)*($C59=Retail_TariffType)*("Total"=Retail_Description),Retail_FY_FixedFees),0)*1.1/365*100</f>
        <v>0</v>
      </c>
      <c r="L59" s="327" cm="1">
        <f t="array" ref="L59">_xlfn.IFNA(_xlfn.XLOOKUP(1,($B59=Retail_DistributionZone)*($C59=Retail_TariffType)*("Total"=Retail_Description),Retail_FY_VarFees),0)*1.1/10</f>
        <v>0</v>
      </c>
      <c r="N59" s="397"/>
    </row>
    <row r="60" spans="2:18" x14ac:dyDescent="0.3">
      <c r="B60" s="769" t="str">
        <f t="shared" si="31"/>
        <v>Endeavour</v>
      </c>
      <c r="C60" s="770" t="s">
        <v>15</v>
      </c>
      <c r="D60" s="32" t="s">
        <v>192</v>
      </c>
      <c r="E60" s="312">
        <f t="shared" si="32"/>
        <v>2200</v>
      </c>
      <c r="F60" s="309">
        <f>SUM(F56:F59)/(1-RetailMargin_RES)-SUM(F56:F59)</f>
        <v>2.765946702127664</v>
      </c>
      <c r="G60" s="309">
        <f>SUM(G56:G59)/(1-RetailMargin_RES)-SUM(G56:G59)</f>
        <v>12.046941626751249</v>
      </c>
      <c r="H60" s="309">
        <f t="shared" si="33"/>
        <v>29.269218280980411</v>
      </c>
      <c r="I60" s="313">
        <f t="shared" si="34"/>
        <v>6.0000000000000095E-2</v>
      </c>
      <c r="K60" s="308">
        <f>SUM(K56:K59)/(1-RetailMargin_RES)-SUM(K56:K59)</f>
        <v>0.83357297872340474</v>
      </c>
      <c r="L60" s="308">
        <f>SUM(L56:L59)/(1-RetailMargin_RES)-SUM(L56:L59)</f>
        <v>1.3251635789426359</v>
      </c>
      <c r="N60" s="397"/>
    </row>
    <row r="61" spans="2:18" ht="14.5" thickBot="1" x14ac:dyDescent="0.35">
      <c r="B61" s="769" t="str">
        <f t="shared" si="31"/>
        <v>Endeavour</v>
      </c>
      <c r="C61" s="770" t="s">
        <v>360</v>
      </c>
      <c r="D61" s="328" t="s">
        <v>55</v>
      </c>
      <c r="E61" s="324">
        <f t="shared" si="32"/>
        <v>2200</v>
      </c>
      <c r="F61" s="325"/>
      <c r="G61" s="325"/>
      <c r="H61" s="394">
        <f>SUM(H56:H60)</f>
        <v>487.8203046830061</v>
      </c>
      <c r="I61" s="57"/>
      <c r="J61" s="57"/>
      <c r="K61" s="438"/>
      <c r="L61" s="438"/>
      <c r="N61" s="397"/>
      <c r="O61" s="392"/>
    </row>
    <row r="62" spans="2:18" ht="14.5" thickTop="1" x14ac:dyDescent="0.3">
      <c r="B62" s="769" t="str">
        <f>B61</f>
        <v>Endeavour</v>
      </c>
      <c r="C62" s="770" t="s">
        <v>360</v>
      </c>
      <c r="D62" s="323" t="s">
        <v>79</v>
      </c>
      <c r="E62" s="393">
        <f t="shared" si="32"/>
        <v>2200</v>
      </c>
      <c r="F62" s="321"/>
      <c r="G62" s="321"/>
      <c r="H62" s="543">
        <f>H61*(1+GST)</f>
        <v>536.60233515130676</v>
      </c>
      <c r="I62" s="321"/>
      <c r="J62" s="321"/>
      <c r="K62" s="544">
        <f>SUM(K56:K60)</f>
        <v>13.892882978723406</v>
      </c>
      <c r="L62" s="544">
        <f>SUM(L56:L60)</f>
        <v>22.086059649043928</v>
      </c>
      <c r="M62" s="329"/>
      <c r="N62" s="397">
        <f>L62*E61/100+K62*365/100</f>
        <v>536.60233515130687</v>
      </c>
      <c r="R62" s="309"/>
    </row>
    <row r="63" spans="2:18" x14ac:dyDescent="0.3">
      <c r="B63" s="740"/>
      <c r="C63" s="561"/>
      <c r="D63" s="37"/>
      <c r="H63" s="395"/>
      <c r="K63" s="309"/>
      <c r="L63" s="309"/>
      <c r="M63" s="329"/>
      <c r="N63" s="397"/>
    </row>
    <row r="64" spans="2:18" ht="20" x14ac:dyDescent="0.3">
      <c r="B64" s="771" t="s">
        <v>356</v>
      </c>
      <c r="N64" s="397"/>
    </row>
    <row r="65" spans="2:18" x14ac:dyDescent="0.3">
      <c r="B65" s="769" t="s">
        <v>4</v>
      </c>
      <c r="C65" s="770" t="s">
        <v>14</v>
      </c>
      <c r="D65" s="32" t="s">
        <v>63</v>
      </c>
      <c r="E65" s="312" cm="1">
        <f t="array" ref="E65">IFERROR(_xlfn.XLOOKUP(1,($B65=DistributionZone)*($C65=tariffType)*($E$4=Description),valuesFY),0)</f>
        <v>1474</v>
      </c>
      <c r="F65" s="309" cm="1">
        <f t="array" ref="F65">_xlfn.XLOOKUP(1,($B65=Wholesale_DistributionZone)*($C65=Wholesale_TariffType)*("Total"=Wholesale_Description),Wholesale_FY_FixedFees)</f>
        <v>0</v>
      </c>
      <c r="G65" s="309" cm="1">
        <f t="array" ref="G65">_xlfn.XLOOKUP(1,($B65=Wholesale_DistributionZone)*($C65=Wholesale_TariffType)*("Total"=Wholesale_Description),Wholesale_FY_VarFees)</f>
        <v>116.99127501765108</v>
      </c>
      <c r="H65" s="309">
        <f t="shared" ref="H65" si="35">F65+(G65*E65)/1000</f>
        <v>172.44513937601769</v>
      </c>
      <c r="I65" s="313">
        <f t="shared" ref="I65" si="36">H65/$H$61</f>
        <v>0.35350135638178382</v>
      </c>
      <c r="K65" s="308" cm="1">
        <f t="array" ref="K65">_xlfn.XLOOKUP(1,($B65=Wholesale_DistributionZone)*($C65=Wholesale_TariffType)*("Total"=Wholesale_Description),Wholesale_FY_FixedFees)*1.1/365*100</f>
        <v>0</v>
      </c>
      <c r="L65" s="308" cm="1">
        <f t="array" ref="L65">_xlfn.XLOOKUP(1,($B65=Wholesale_DistributionZone)*($C65=Wholesale_TariffType)*("Total"=Wholesale_Description),Wholesale_FY_VarFees)*1.1/10</f>
        <v>12.869040251941618</v>
      </c>
      <c r="N65" s="397"/>
    </row>
    <row r="66" spans="2:18" x14ac:dyDescent="0.3">
      <c r="B66" s="769" t="str">
        <f t="shared" ref="B66:B78" si="37">B65</f>
        <v>Endeavour</v>
      </c>
      <c r="C66" s="770" t="s">
        <v>14</v>
      </c>
      <c r="D66" s="57" t="s">
        <v>62</v>
      </c>
      <c r="E66" s="324">
        <f>E65</f>
        <v>1474</v>
      </c>
      <c r="F66" s="325" cm="1">
        <f t="array" ref="F66">_xlfn.XLOOKUP(1,($B66=Network_DistributionZone)*($C66=Network_TariffType)*("Total"=Network_Description),Network_FY_FixedFees)</f>
        <v>43.333165000000008</v>
      </c>
      <c r="G66" s="325" cm="1">
        <f t="array" ref="G66">_xlfn.XLOOKUP(1,($B66=Network_DistributionZone)*($C66=Network_TariffType)*("Total"=Network_Description),Network_FY_VarFees)</f>
        <v>48.19</v>
      </c>
      <c r="H66" s="325">
        <f>F66+(G66*E66)/1000</f>
        <v>114.36522500000001</v>
      </c>
      <c r="I66" s="326">
        <f>H66/$H$61</f>
        <v>0.23444129713771647</v>
      </c>
      <c r="J66" s="57"/>
      <c r="K66" s="327" cm="1">
        <f t="array" ref="K66">_xlfn.XLOOKUP(1,($B66=Network_DistributionZone)*($C66=Network_TariffType)*("Total"=Network_Description),Network_FY_FixedFees)*1.1/365*100</f>
        <v>13.059310000000002</v>
      </c>
      <c r="L66" s="327" cm="1">
        <f t="array" ref="L66">_xlfn.XLOOKUP(1,($B66=Network_DistributionZone)*($C66=Network_TariffType)*("Total"=Network_Description),Network_FY_VarFees)*1.1/10</f>
        <v>5.3009000000000004</v>
      </c>
      <c r="N66" s="397"/>
      <c r="O66" s="309"/>
    </row>
    <row r="67" spans="2:18" x14ac:dyDescent="0.3">
      <c r="B67" s="769" t="str">
        <f t="shared" si="37"/>
        <v>Endeavour</v>
      </c>
      <c r="C67" s="770" t="s">
        <v>14</v>
      </c>
      <c r="D67" s="32" t="s">
        <v>64</v>
      </c>
      <c r="E67" s="312">
        <f t="shared" ref="E67:E71" si="38">E66</f>
        <v>1474</v>
      </c>
      <c r="F67" s="309" cm="1">
        <f t="array" ref="F67">_xlfn.XLOOKUP(1,($B67=Enviro_DistributionZone)*($C67=Enviro_TariffType)*("Total"=Enviro_Description),Enviro_FY_FixedFees)</f>
        <v>0</v>
      </c>
      <c r="G67" s="309" cm="1">
        <f t="array" ref="G67">_xlfn.XLOOKUP(1,($B67=Enviro_DistributionZone)*($C67=Enviro_TariffType)*("Total"=Enviro_Description),Enviro_FY_VarFees)</f>
        <v>11.22928148959438</v>
      </c>
      <c r="H67" s="309">
        <f t="shared" ref="H67:H69" si="39">F67+(G67*E67)/1000</f>
        <v>16.551960915662114</v>
      </c>
      <c r="I67" s="313">
        <f t="shared" ref="I67:I69" si="40">H67/$H$70</f>
        <v>5.1287987873124059E-2</v>
      </c>
      <c r="K67" s="308" cm="1">
        <f t="array" ref="K67">_xlfn.XLOOKUP(1,($B67=Enviro_DistributionZone)*($C67=Enviro_TariffType)*("Total"=Enviro_Description),Enviro_FY_FixedFees)*1.1/365*100</f>
        <v>0</v>
      </c>
      <c r="L67" s="308" cm="1">
        <f t="array" ref="L67">_xlfn.XLOOKUP(1,($B67=Enviro_DistributionZone)*($C67=Enviro_TariffType)*("Total"=Enviro_Description),Enviro_FY_VarFees)*1.1/10</f>
        <v>1.2352209638553817</v>
      </c>
      <c r="N67" s="397"/>
    </row>
    <row r="68" spans="2:18" x14ac:dyDescent="0.3">
      <c r="B68" s="769" t="str">
        <f t="shared" si="37"/>
        <v>Endeavour</v>
      </c>
      <c r="C68" s="770" t="s">
        <v>14</v>
      </c>
      <c r="D68" s="57" t="s">
        <v>159</v>
      </c>
      <c r="E68" s="324">
        <f t="shared" si="38"/>
        <v>1474</v>
      </c>
      <c r="F68" s="325" cm="1">
        <f t="array" ref="F68">_xlfn.IFNA(_xlfn.XLOOKUP(1,($B68=Retail_DistributionZone)*($C68=Retail_TariffType)*("Total"=Retail_Description),Retail_FY_FixedFees),0)</f>
        <v>0</v>
      </c>
      <c r="G68" s="325" cm="1">
        <f t="array" ref="G68">_xlfn.IFNA(_xlfn.XLOOKUP(1,($B68=Retail_DistributionZone)*($C68=Retail_TariffType)*("Total"=Retail_Description),Retail_FY_VarFees),0)</f>
        <v>0</v>
      </c>
      <c r="H68" s="325">
        <f t="shared" si="39"/>
        <v>0</v>
      </c>
      <c r="I68" s="326">
        <f t="shared" si="40"/>
        <v>0</v>
      </c>
      <c r="J68" s="57"/>
      <c r="K68" s="327" cm="1">
        <f t="array" ref="K68">_xlfn.IFNA(_xlfn.XLOOKUP(1,($B68=Retail_DistributionZone)*($C68=Retail_TariffType)*("Total"=Retail_Description),Retail_FY_FixedFees),0)*1.1/365*100</f>
        <v>0</v>
      </c>
      <c r="L68" s="327" cm="1">
        <f t="array" ref="L68">_xlfn.IFNA(_xlfn.XLOOKUP(1,($B68=Retail_DistributionZone)*($C68=Retail_TariffType)*("Total"=Retail_Description),Retail_FY_VarFees),0)*1.1/10</f>
        <v>0</v>
      </c>
      <c r="N68" s="397"/>
    </row>
    <row r="69" spans="2:18" x14ac:dyDescent="0.3">
      <c r="B69" s="769" t="str">
        <f t="shared" si="37"/>
        <v>Endeavour</v>
      </c>
      <c r="C69" s="770" t="s">
        <v>14</v>
      </c>
      <c r="D69" s="32" t="s">
        <v>192</v>
      </c>
      <c r="E69" s="312">
        <f t="shared" si="38"/>
        <v>1474</v>
      </c>
      <c r="F69" s="309">
        <f>SUM(F65:F68)/(1-RetailMargin_RES)-SUM(F65:F68)</f>
        <v>2.765946702127664</v>
      </c>
      <c r="G69" s="309">
        <f>SUM(G65:G68)/(1-RetailMargin_RES)-SUM(G65:G68)</f>
        <v>11.260248287696527</v>
      </c>
      <c r="H69" s="309">
        <f t="shared" si="39"/>
        <v>19.363552678192345</v>
      </c>
      <c r="I69" s="313">
        <f t="shared" si="40"/>
        <v>6.000000000000006E-2</v>
      </c>
      <c r="K69" s="308">
        <f>SUM(K65:K68)/(1-RetailMargin_RES)-SUM(K65:K68)</f>
        <v>0.83357297872340474</v>
      </c>
      <c r="L69" s="308">
        <f>SUM(L65:L68)/(1-RetailMargin_RES)-SUM(L65:L68)</f>
        <v>1.2386273116466171</v>
      </c>
      <c r="N69" s="397"/>
    </row>
    <row r="70" spans="2:18" ht="14.5" thickBot="1" x14ac:dyDescent="0.35">
      <c r="B70" s="769" t="str">
        <f t="shared" si="37"/>
        <v>Endeavour</v>
      </c>
      <c r="C70" s="770" t="s">
        <v>14</v>
      </c>
      <c r="D70" s="328" t="s">
        <v>55</v>
      </c>
      <c r="E70" s="324">
        <f t="shared" si="38"/>
        <v>1474</v>
      </c>
      <c r="F70" s="325"/>
      <c r="G70" s="325"/>
      <c r="H70" s="394">
        <f>SUM(H65:H69)</f>
        <v>322.7258779698721</v>
      </c>
      <c r="I70" s="57"/>
      <c r="J70" s="57"/>
      <c r="K70" s="438"/>
      <c r="L70" s="438"/>
      <c r="N70" s="397"/>
      <c r="O70" s="392"/>
    </row>
    <row r="71" spans="2:18" ht="14.5" thickTop="1" x14ac:dyDescent="0.3">
      <c r="B71" s="769" t="str">
        <f>B70</f>
        <v>Endeavour</v>
      </c>
      <c r="C71" s="770" t="s">
        <v>14</v>
      </c>
      <c r="D71" s="323" t="s">
        <v>79</v>
      </c>
      <c r="E71" s="393">
        <f t="shared" si="38"/>
        <v>1474</v>
      </c>
      <c r="F71" s="321"/>
      <c r="G71" s="321"/>
      <c r="H71" s="543">
        <f>H70*(1+GST)</f>
        <v>354.99846576685934</v>
      </c>
      <c r="I71" s="321"/>
      <c r="J71" s="321"/>
      <c r="K71" s="544">
        <f>SUM(K65:K69)</f>
        <v>13.892882978723406</v>
      </c>
      <c r="L71" s="544">
        <f>SUM(L65:L69)</f>
        <v>20.643788527443618</v>
      </c>
      <c r="M71" s="329"/>
      <c r="N71" s="397">
        <f>L71*E70/100+K71*365/100</f>
        <v>354.9984657668594</v>
      </c>
      <c r="R71" s="309"/>
    </row>
    <row r="72" spans="2:18" x14ac:dyDescent="0.3">
      <c r="B72" s="769" t="str">
        <f t="shared" si="37"/>
        <v>Endeavour</v>
      </c>
      <c r="C72" s="770"/>
      <c r="N72" s="397"/>
    </row>
    <row r="73" spans="2:18" x14ac:dyDescent="0.3">
      <c r="B73" s="769" t="str">
        <f t="shared" si="37"/>
        <v>Endeavour</v>
      </c>
      <c r="C73" s="770" t="s">
        <v>15</v>
      </c>
      <c r="D73" s="32" t="s">
        <v>63</v>
      </c>
      <c r="E73" s="312" cm="1">
        <f t="array" ref="E73">IFERROR(_xlfn.XLOOKUP(1,($B73=DistributionZone)*($C73=tariffType)*($E$4=Description),valuesFY),0)</f>
        <v>726</v>
      </c>
      <c r="F73" s="309" cm="1">
        <f t="array" ref="F73">_xlfn.XLOOKUP(1,($B73=Wholesale_DistributionZone)*($C73=Wholesale_TariffType)*("Total"=Wholesale_Description),Wholesale_FY_FixedFees)</f>
        <v>0</v>
      </c>
      <c r="G73" s="309" cm="1">
        <f t="array" ref="G73">_xlfn.XLOOKUP(1,($B73=Wholesale_DistributionZone)*($C73=Wholesale_TariffType)*("Total"=Wholesale_Description),Wholesale_FY_VarFees)</f>
        <v>103.69913732950825</v>
      </c>
      <c r="H73" s="309">
        <f t="shared" ref="H73" si="41">F73+(G73*E73)/1000</f>
        <v>75.285573701222987</v>
      </c>
      <c r="I73" s="313">
        <f t="shared" ref="I73" si="42">H73/$H$61</f>
        <v>0.15433054544571453</v>
      </c>
      <c r="K73" s="308" cm="1">
        <f t="array" ref="K73">_xlfn.XLOOKUP(1,($B73=Wholesale_DistributionZone)*($C73=Wholesale_TariffType)*("Total"=Wholesale_Description),Wholesale_FY_FixedFees)*1.1/365*100</f>
        <v>0</v>
      </c>
      <c r="L73" s="308" cm="1">
        <f t="array" ref="L73">_xlfn.XLOOKUP(1,($B73=Wholesale_DistributionZone)*($C73=Wholesale_TariffType)*("Total"=Wholesale_Description),Wholesale_FY_VarFees)*1.1/10</f>
        <v>11.406905106245908</v>
      </c>
      <c r="N73" s="397"/>
    </row>
    <row r="74" spans="2:18" x14ac:dyDescent="0.3">
      <c r="B74" s="769" t="str">
        <f t="shared" si="37"/>
        <v>Endeavour</v>
      </c>
      <c r="C74" s="770" t="s">
        <v>15</v>
      </c>
      <c r="D74" s="57" t="s">
        <v>62</v>
      </c>
      <c r="E74" s="324">
        <f>E73</f>
        <v>726</v>
      </c>
      <c r="F74" s="325" cm="1">
        <f t="array" ref="F74">_xlfn.XLOOKUP(1,($B74=Network_DistributionZone)*($C74=Network_TariffType)*("Total"=Network_Description),Network_FY_FixedFees)</f>
        <v>43.333165000000008</v>
      </c>
      <c r="G74" s="325" cm="1">
        <f t="array" ref="G74">_xlfn.XLOOKUP(1,($B74=Network_DistributionZone)*($C74=Network_TariffType)*("Total"=Network_Description),Network_FY_VarFees)</f>
        <v>73.807000000000002</v>
      </c>
      <c r="H74" s="325">
        <f>F74+(G74*E74)/1000</f>
        <v>96.917047000000011</v>
      </c>
      <c r="I74" s="326">
        <f>H74/$H$61</f>
        <v>0.19867366337483297</v>
      </c>
      <c r="J74" s="57"/>
      <c r="K74" s="327" cm="1">
        <f t="array" ref="K74">_xlfn.XLOOKUP(1,($B74=Network_DistributionZone)*($C74=Network_TariffType)*("Total"=Network_Description),Network_FY_FixedFees)*1.1/365*100</f>
        <v>13.059310000000002</v>
      </c>
      <c r="L74" s="327" cm="1">
        <f t="array" ref="L74">_xlfn.XLOOKUP(1,($B74=Network_DistributionZone)*($C74=Network_TariffType)*("Total"=Network_Description),Network_FY_VarFees)*1.1/10</f>
        <v>8.1187700000000014</v>
      </c>
      <c r="N74" s="397"/>
    </row>
    <row r="75" spans="2:18" x14ac:dyDescent="0.3">
      <c r="B75" s="769" t="str">
        <f t="shared" si="37"/>
        <v>Endeavour</v>
      </c>
      <c r="C75" s="770" t="s">
        <v>15</v>
      </c>
      <c r="D75" s="32" t="s">
        <v>64</v>
      </c>
      <c r="E75" s="312">
        <f t="shared" ref="E75:E79" si="43">E74</f>
        <v>726</v>
      </c>
      <c r="F75" s="309" cm="1">
        <f t="array" ref="F75">_xlfn.XLOOKUP(1,($B75=Enviro_DistributionZone)*($C75=Enviro_TariffType)*("Total"=Enviro_Description),Enviro_FY_FixedFees)</f>
        <v>0</v>
      </c>
      <c r="G75" s="309" cm="1">
        <f t="array" ref="G75">_xlfn.XLOOKUP(1,($B75=Enviro_DistributionZone)*($C75=Enviro_TariffType)*("Total"=Enviro_Description),Enviro_FY_VarFees)</f>
        <v>11.22928148959438</v>
      </c>
      <c r="H75" s="309">
        <f t="shared" ref="H75:H77" si="44">F75+(G75*E75)/1000</f>
        <v>8.1524583614455199</v>
      </c>
      <c r="I75" s="313">
        <f t="shared" ref="I75:I77" si="45">H75/$H$78</f>
        <v>4.2490130577891819E-2</v>
      </c>
      <c r="K75" s="308" cm="1">
        <f t="array" ref="K75">_xlfn.XLOOKUP(1,($B75=Enviro_DistributionZone)*($C75=Enviro_TariffType)*("Total"=Enviro_Description),Enviro_FY_FixedFees)*1.1/365*100</f>
        <v>0</v>
      </c>
      <c r="L75" s="308" cm="1">
        <f t="array" ref="L75">_xlfn.XLOOKUP(1,($B75=Enviro_DistributionZone)*($C75=Enviro_TariffType)*("Total"=Enviro_Description),Enviro_FY_VarFees)*1.1/10</f>
        <v>1.2352209638553817</v>
      </c>
      <c r="N75" s="397"/>
    </row>
    <row r="76" spans="2:18" x14ac:dyDescent="0.3">
      <c r="B76" s="769" t="str">
        <f t="shared" si="37"/>
        <v>Endeavour</v>
      </c>
      <c r="C76" s="770" t="s">
        <v>15</v>
      </c>
      <c r="D76" s="57" t="s">
        <v>159</v>
      </c>
      <c r="E76" s="324">
        <f t="shared" si="43"/>
        <v>726</v>
      </c>
      <c r="F76" s="325" cm="1">
        <f t="array" ref="F76">_xlfn.IFNA(_xlfn.XLOOKUP(1,($B76=Retail_DistributionZone)*($C76=Retail_TariffType)*("Total"=Retail_Description),Retail_FY_FixedFees),0)</f>
        <v>0</v>
      </c>
      <c r="G76" s="325" cm="1">
        <f t="array" ref="G76">_xlfn.IFNA(_xlfn.XLOOKUP(1,($B76=Retail_DistributionZone)*($C76=Retail_TariffType)*("Total"=Retail_Description),Retail_FY_VarFees),0)</f>
        <v>0</v>
      </c>
      <c r="H76" s="325">
        <f t="shared" si="44"/>
        <v>0</v>
      </c>
      <c r="I76" s="326">
        <f t="shared" si="45"/>
        <v>0</v>
      </c>
      <c r="J76" s="57"/>
      <c r="K76" s="327" cm="1">
        <f t="array" ref="K76">_xlfn.IFNA(_xlfn.XLOOKUP(1,($B76=Retail_DistributionZone)*($C76=Retail_TariffType)*("Total"=Retail_Description),Retail_FY_FixedFees),0)*1.1/365*100</f>
        <v>0</v>
      </c>
      <c r="L76" s="327" cm="1">
        <f t="array" ref="L76">_xlfn.IFNA(_xlfn.XLOOKUP(1,($B76=Retail_DistributionZone)*($C76=Retail_TariffType)*("Total"=Retail_Description),Retail_FY_VarFees),0)*1.1/10</f>
        <v>0</v>
      </c>
      <c r="N76" s="397"/>
    </row>
    <row r="77" spans="2:18" x14ac:dyDescent="0.3">
      <c r="B77" s="769" t="str">
        <f t="shared" si="37"/>
        <v>Endeavour</v>
      </c>
      <c r="C77" s="770" t="s">
        <v>15</v>
      </c>
      <c r="D77" s="32" t="s">
        <v>192</v>
      </c>
      <c r="E77" s="312">
        <f t="shared" si="43"/>
        <v>726</v>
      </c>
      <c r="F77" s="309">
        <f>SUM(F73:F76)/(1-RetailMargin_RES)-SUM(F73:F76)</f>
        <v>2.765946702127664</v>
      </c>
      <c r="G77" s="309">
        <f>SUM(G73:G76)/(1-RetailMargin_RES)-SUM(G73:G76)</f>
        <v>12.046941626751249</v>
      </c>
      <c r="H77" s="309">
        <f t="shared" si="44"/>
        <v>11.512026323149071</v>
      </c>
      <c r="I77" s="313">
        <f t="shared" si="45"/>
        <v>6.0000000000000081E-2</v>
      </c>
      <c r="K77" s="308">
        <f>SUM(K73:K76)/(1-RetailMargin_RES)-SUM(K73:K76)</f>
        <v>0.83357297872340474</v>
      </c>
      <c r="L77" s="308">
        <f>SUM(L73:L76)/(1-RetailMargin_RES)-SUM(L73:L76)</f>
        <v>1.3251635789426359</v>
      </c>
      <c r="N77" s="397"/>
    </row>
    <row r="78" spans="2:18" ht="14.5" thickBot="1" x14ac:dyDescent="0.35">
      <c r="B78" s="769" t="str">
        <f t="shared" si="37"/>
        <v>Endeavour</v>
      </c>
      <c r="C78" s="770" t="s">
        <v>15</v>
      </c>
      <c r="D78" s="328" t="s">
        <v>55</v>
      </c>
      <c r="E78" s="324">
        <f t="shared" si="43"/>
        <v>726</v>
      </c>
      <c r="F78" s="325"/>
      <c r="G78" s="325"/>
      <c r="H78" s="394">
        <f>SUM(H73:H77)</f>
        <v>191.86710538581758</v>
      </c>
      <c r="I78" s="57"/>
      <c r="J78" s="57"/>
      <c r="K78" s="438"/>
      <c r="L78" s="438"/>
      <c r="N78" s="397"/>
      <c r="O78" s="392"/>
    </row>
    <row r="79" spans="2:18" ht="14.5" thickTop="1" x14ac:dyDescent="0.3">
      <c r="B79" s="769" t="str">
        <f>B78</f>
        <v>Endeavour</v>
      </c>
      <c r="C79" s="770" t="s">
        <v>15</v>
      </c>
      <c r="D79" s="323" t="s">
        <v>79</v>
      </c>
      <c r="E79" s="393">
        <f t="shared" si="43"/>
        <v>726</v>
      </c>
      <c r="F79" s="321"/>
      <c r="G79" s="321"/>
      <c r="H79" s="543">
        <f>H78*(1+GST)</f>
        <v>211.05381592439934</v>
      </c>
      <c r="I79" s="321"/>
      <c r="J79" s="321"/>
      <c r="K79" s="544">
        <f>SUM(K73:K77)</f>
        <v>13.892882978723406</v>
      </c>
      <c r="L79" s="544">
        <f>SUM(L73:L77)</f>
        <v>22.086059649043928</v>
      </c>
      <c r="M79" s="329"/>
      <c r="N79" s="397">
        <f>L79*E78/100+K79*365/100</f>
        <v>211.05381592439937</v>
      </c>
      <c r="R79" s="309"/>
    </row>
    <row r="80" spans="2:18" x14ac:dyDescent="0.3">
      <c r="B80" s="740"/>
      <c r="C80" s="561"/>
      <c r="D80" s="37"/>
      <c r="H80" s="395"/>
      <c r="K80" s="309"/>
      <c r="L80" s="309"/>
      <c r="M80" s="329"/>
      <c r="N80" s="397"/>
    </row>
    <row r="81" spans="2:18" x14ac:dyDescent="0.3">
      <c r="B81" s="740"/>
      <c r="C81" s="561"/>
      <c r="D81" s="37" t="s">
        <v>357</v>
      </c>
      <c r="E81" s="310">
        <f>SUM(E73,E65)</f>
        <v>2200</v>
      </c>
      <c r="F81" s="32" t="s">
        <v>53</v>
      </c>
      <c r="H81" s="395"/>
      <c r="K81" s="309"/>
      <c r="L81" s="309"/>
      <c r="M81" s="329"/>
      <c r="N81" s="397"/>
    </row>
    <row r="82" spans="2:18" x14ac:dyDescent="0.3">
      <c r="D82" s="37" t="s">
        <v>358</v>
      </c>
      <c r="E82" s="396">
        <f>SUM(H71,H79)</f>
        <v>566.05228169125871</v>
      </c>
      <c r="N82" s="397"/>
    </row>
    <row r="83" spans="2:18" x14ac:dyDescent="0.3">
      <c r="F83" s="37" t="s">
        <v>322</v>
      </c>
      <c r="K83" s="37" t="s">
        <v>22</v>
      </c>
      <c r="N83" s="397"/>
    </row>
    <row r="84" spans="2:18" ht="20" x14ac:dyDescent="0.3">
      <c r="B84" s="768" t="s">
        <v>3</v>
      </c>
      <c r="C84" s="559"/>
      <c r="D84" s="317" t="s">
        <v>32</v>
      </c>
      <c r="E84" s="318" t="s">
        <v>24</v>
      </c>
      <c r="F84" s="316" t="s">
        <v>317</v>
      </c>
      <c r="G84" s="316" t="s">
        <v>318</v>
      </c>
      <c r="H84" s="316" t="s">
        <v>319</v>
      </c>
      <c r="I84" s="316" t="s">
        <v>23</v>
      </c>
      <c r="K84" s="314" t="s">
        <v>317</v>
      </c>
      <c r="L84" s="314" t="s">
        <v>318</v>
      </c>
      <c r="M84" s="357"/>
      <c r="N84" s="397"/>
    </row>
    <row r="85" spans="2:18" ht="14.5" customHeight="1" x14ac:dyDescent="0.3">
      <c r="B85" s="739"/>
      <c r="C85" s="560"/>
      <c r="D85" s="319"/>
      <c r="E85" s="319" t="s">
        <v>53</v>
      </c>
      <c r="F85" s="320" t="s">
        <v>338</v>
      </c>
      <c r="G85" s="320" t="s">
        <v>44</v>
      </c>
      <c r="H85" s="320" t="str">
        <f>$H$5</f>
        <v>$</v>
      </c>
      <c r="I85" s="320" t="s">
        <v>27</v>
      </c>
      <c r="K85" s="330" t="s">
        <v>266</v>
      </c>
      <c r="L85" s="330" t="s">
        <v>246</v>
      </c>
      <c r="N85" s="397"/>
    </row>
    <row r="86" spans="2:18" ht="20" x14ac:dyDescent="0.3">
      <c r="B86" s="771" t="s">
        <v>354</v>
      </c>
      <c r="D86" s="307"/>
      <c r="E86" s="311"/>
      <c r="N86" s="397"/>
    </row>
    <row r="87" spans="2:18" x14ac:dyDescent="0.3">
      <c r="B87" s="769" t="s">
        <v>3</v>
      </c>
      <c r="C87" s="770" t="s">
        <v>14</v>
      </c>
      <c r="D87" s="32" t="s">
        <v>63</v>
      </c>
      <c r="E87" s="312" cm="1">
        <f t="array" ref="E87">IFERROR(_xlfn.XLOOKUP(1,($B87=DistributionZone)*("CL"=tariffType)*($E$4=Description),valuesFY),0)</f>
        <v>2000</v>
      </c>
      <c r="F87" s="309" cm="1">
        <f t="array" ref="F87">_xlfn.XLOOKUP(1,($B87=Wholesale_DistributionZone)*($C87=Wholesale_TariffType)*("Total"=Wholesale_Description),Wholesale_FY_FixedFees)</f>
        <v>0</v>
      </c>
      <c r="G87" s="309" cm="1">
        <f t="array" ref="G87">_xlfn.XLOOKUP(1,($B87=Wholesale_DistributionZone)*($C87=Wholesale_TariffType)*("Total"=Wholesale_Description),Wholesale_FY_VarFees)</f>
        <v>123.82812436859668</v>
      </c>
      <c r="H87" s="309">
        <f t="shared" ref="H87" si="46">F87+(G87*E87)/1000</f>
        <v>247.65624873719335</v>
      </c>
      <c r="I87" s="313">
        <f t="shared" ref="I87" si="47">H87/$H$61</f>
        <v>0.50767925475780384</v>
      </c>
      <c r="K87" s="308" cm="1">
        <f t="array" ref="K87">_xlfn.XLOOKUP(1,($B87=Wholesale_DistributionZone)*($C87=Wholesale_TariffType)*("Total"=Wholesale_Description),Wholesale_FY_FixedFees)*1.1/365*100</f>
        <v>0</v>
      </c>
      <c r="L87" s="308" cm="1">
        <f t="array" ref="L87">_xlfn.XLOOKUP(1,($B87=Wholesale_DistributionZone)*($C87=Wholesale_TariffType)*("Total"=Wholesale_Description),Wholesale_FY_VarFees)*1.1/10</f>
        <v>13.621093680545636</v>
      </c>
      <c r="N87" s="397"/>
    </row>
    <row r="88" spans="2:18" x14ac:dyDescent="0.3">
      <c r="B88" s="769" t="str">
        <f t="shared" ref="B88:B94" si="48">B87</f>
        <v>Essential</v>
      </c>
      <c r="C88" s="770" t="s">
        <v>14</v>
      </c>
      <c r="D88" s="57" t="s">
        <v>62</v>
      </c>
      <c r="E88" s="324">
        <f>E87</f>
        <v>2000</v>
      </c>
      <c r="F88" s="325" cm="1">
        <f t="array" ref="F88">_xlfn.XLOOKUP(1,($B88=Network_DistributionZone)*($C88=Network_TariffType)*("Total"=Network_Description),Network_FY_FixedFees)</f>
        <v>48.8466060437229</v>
      </c>
      <c r="G88" s="325" cm="1">
        <f t="array" ref="G88">_xlfn.XLOOKUP(1,($B88=Network_DistributionZone)*($C88=Network_TariffType)*("Total"=Network_Description),Network_FY_VarFees)</f>
        <v>35.045861784245901</v>
      </c>
      <c r="H88" s="325">
        <f>F88+(G88*E88)/1000</f>
        <v>118.9383296122147</v>
      </c>
      <c r="I88" s="326">
        <f>H88/$H$61</f>
        <v>0.24381586512579226</v>
      </c>
      <c r="J88" s="57"/>
      <c r="K88" s="327" cm="1">
        <f t="array" ref="K88">_xlfn.XLOOKUP(1,($B88=Network_DistributionZone)*($C88=Network_TariffType)*("Total"=Network_Description),Network_FY_FixedFees)*1.1/365*100</f>
        <v>14.720894972080876</v>
      </c>
      <c r="L88" s="327" cm="1">
        <f t="array" ref="L88">_xlfn.XLOOKUP(1,($B88=Network_DistributionZone)*($C88=Network_TariffType)*("Total"=Network_Description),Network_FY_VarFees)*1.1/10</f>
        <v>3.8550447962670495</v>
      </c>
      <c r="N88" s="397"/>
      <c r="O88" s="309"/>
    </row>
    <row r="89" spans="2:18" x14ac:dyDescent="0.3">
      <c r="B89" s="769" t="str">
        <f t="shared" si="48"/>
        <v>Essential</v>
      </c>
      <c r="C89" s="770" t="s">
        <v>14</v>
      </c>
      <c r="D89" s="32" t="s">
        <v>64</v>
      </c>
      <c r="E89" s="312">
        <f t="shared" ref="E89:E93" si="49">E88</f>
        <v>2000</v>
      </c>
      <c r="F89" s="309" cm="1">
        <f t="array" ref="F89">_xlfn.XLOOKUP(1,($B89=Enviro_DistributionZone)*($C89=Enviro_TariffType)*("Total"=Enviro_Description),Enviro_FY_FixedFees)</f>
        <v>0</v>
      </c>
      <c r="G89" s="309" cm="1">
        <f t="array" ref="G89">_xlfn.XLOOKUP(1,($B89=Enviro_DistributionZone)*($C89=Enviro_TariffType)*("Total"=Enviro_Description),Enviro_FY_VarFees)</f>
        <v>11.083634758383681</v>
      </c>
      <c r="H89" s="309">
        <f t="shared" ref="H89:H91" si="50">F89+(G89*E89)/1000</f>
        <v>22.167269516767362</v>
      </c>
      <c r="I89" s="313">
        <f t="shared" ref="I89:I91" si="51">H89/$H$92</f>
        <v>5.3598966719939509E-2</v>
      </c>
      <c r="K89" s="308" cm="1">
        <f t="array" ref="K89">_xlfn.XLOOKUP(1,($B89=Enviro_DistributionZone)*($C89=Enviro_TariffType)*("Total"=Enviro_Description),Enviro_FY_FixedFees)*1.1/365*100</f>
        <v>0</v>
      </c>
      <c r="L89" s="308" cm="1">
        <f t="array" ref="L89">_xlfn.XLOOKUP(1,($B89=Enviro_DistributionZone)*($C89=Enviro_TariffType)*("Total"=Enviro_Description),Enviro_FY_VarFees)*1.1/10</f>
        <v>1.219199823422205</v>
      </c>
      <c r="N89" s="397"/>
    </row>
    <row r="90" spans="2:18" x14ac:dyDescent="0.3">
      <c r="B90" s="769" t="str">
        <f t="shared" si="48"/>
        <v>Essential</v>
      </c>
      <c r="C90" s="770" t="s">
        <v>14</v>
      </c>
      <c r="D90" s="57" t="s">
        <v>159</v>
      </c>
      <c r="E90" s="324">
        <f t="shared" si="49"/>
        <v>2000</v>
      </c>
      <c r="F90" s="325" cm="1">
        <f t="array" ref="F90">_xlfn.IFNA(_xlfn.XLOOKUP(1,($B90=Retail_DistributionZone)*($C90=Retail_TariffType)*("Total"=Retail_Description),Retail_FY_FixedFees),0)</f>
        <v>0</v>
      </c>
      <c r="G90" s="325" cm="1">
        <f t="array" ref="G90">_xlfn.IFNA(_xlfn.XLOOKUP(1,($B90=Retail_DistributionZone)*($C90=Retail_TariffType)*("Total"=Retail_Description),Retail_FY_VarFees),0)</f>
        <v>0</v>
      </c>
      <c r="H90" s="325">
        <f t="shared" si="50"/>
        <v>0</v>
      </c>
      <c r="I90" s="326">
        <f t="shared" si="51"/>
        <v>0</v>
      </c>
      <c r="J90" s="57"/>
      <c r="K90" s="327" cm="1">
        <f t="array" ref="K90">_xlfn.IFNA(_xlfn.XLOOKUP(1,($B90=Retail_DistributionZone)*($C90=Retail_TariffType)*("Total"=Retail_Description),Retail_FY_FixedFees),0)*1.1/365*100</f>
        <v>0</v>
      </c>
      <c r="L90" s="327" cm="1">
        <f t="array" ref="L90">_xlfn.IFNA(_xlfn.XLOOKUP(1,($B90=Retail_DistributionZone)*($C90=Retail_TariffType)*("Total"=Retail_Description),Retail_FY_VarFees),0)*1.1/10</f>
        <v>0</v>
      </c>
      <c r="N90" s="397"/>
    </row>
    <row r="91" spans="2:18" x14ac:dyDescent="0.3">
      <c r="B91" s="769" t="str">
        <f t="shared" si="48"/>
        <v>Essential</v>
      </c>
      <c r="C91" s="770" t="s">
        <v>14</v>
      </c>
      <c r="D91" s="32" t="s">
        <v>192</v>
      </c>
      <c r="E91" s="312">
        <f t="shared" si="49"/>
        <v>2000</v>
      </c>
      <c r="F91" s="309">
        <f>SUM(F87:F90)/(1-RetailMargin_RES)-SUM(F87:F90)</f>
        <v>3.1178684708759334</v>
      </c>
      <c r="G91" s="309">
        <f>SUM(G87:G90)/(1-RetailMargin_RES)-SUM(G87:G90)</f>
        <v>10.84835878156764</v>
      </c>
      <c r="H91" s="309">
        <f t="shared" si="50"/>
        <v>24.814586034011214</v>
      </c>
      <c r="I91" s="313">
        <f t="shared" si="51"/>
        <v>6.0000000000000039E-2</v>
      </c>
      <c r="K91" s="308">
        <f>SUM(K87:K90)/(1-RetailMargin_RES)-SUM(K87:K90)</f>
        <v>0.9396315939626092</v>
      </c>
      <c r="L91" s="308">
        <f>SUM(L87:L90)/(1-RetailMargin_RES)-SUM(L87:L90)</f>
        <v>1.19331946597244</v>
      </c>
      <c r="N91" s="397"/>
    </row>
    <row r="92" spans="2:18" ht="14.5" thickBot="1" x14ac:dyDescent="0.35">
      <c r="B92" s="769" t="str">
        <f t="shared" si="48"/>
        <v>Essential</v>
      </c>
      <c r="C92" s="770" t="s">
        <v>359</v>
      </c>
      <c r="D92" s="328" t="s">
        <v>55</v>
      </c>
      <c r="E92" s="324">
        <f t="shared" si="49"/>
        <v>2000</v>
      </c>
      <c r="F92" s="325"/>
      <c r="G92" s="325"/>
      <c r="H92" s="394">
        <f>SUM(H87:H91)</f>
        <v>413.5764339001866</v>
      </c>
      <c r="I92" s="57"/>
      <c r="J92" s="57"/>
      <c r="K92" s="438"/>
      <c r="L92" s="438"/>
      <c r="N92" s="397"/>
      <c r="O92" s="392"/>
    </row>
    <row r="93" spans="2:18" ht="14.5" thickTop="1" x14ac:dyDescent="0.3">
      <c r="B93" s="769" t="str">
        <f>B92</f>
        <v>Essential</v>
      </c>
      <c r="C93" s="770" t="s">
        <v>359</v>
      </c>
      <c r="D93" s="323" t="s">
        <v>79</v>
      </c>
      <c r="E93" s="393">
        <f t="shared" si="49"/>
        <v>2000</v>
      </c>
      <c r="F93" s="321"/>
      <c r="G93" s="321"/>
      <c r="H93" s="543">
        <f>H92*(1+GST)</f>
        <v>454.93407729020532</v>
      </c>
      <c r="I93" s="321"/>
      <c r="J93" s="321"/>
      <c r="K93" s="544">
        <f>SUM(K87:K91)</f>
        <v>15.660526566043485</v>
      </c>
      <c r="L93" s="544">
        <f>SUM(L87:L91)</f>
        <v>19.888657766207331</v>
      </c>
      <c r="M93" s="329"/>
      <c r="N93" s="397">
        <f>L93*E92/100+K93*365/100</f>
        <v>454.93407729020538</v>
      </c>
      <c r="R93" s="309"/>
    </row>
    <row r="94" spans="2:18" x14ac:dyDescent="0.3">
      <c r="B94" s="769" t="str">
        <f t="shared" si="48"/>
        <v>Essential</v>
      </c>
      <c r="C94" s="770"/>
      <c r="N94" s="397"/>
    </row>
    <row r="95" spans="2:18" ht="20" x14ac:dyDescent="0.3">
      <c r="B95" s="771" t="s">
        <v>355</v>
      </c>
      <c r="C95" s="561"/>
      <c r="N95" s="397"/>
    </row>
    <row r="96" spans="2:18" x14ac:dyDescent="0.3">
      <c r="B96" s="769" t="s">
        <v>3</v>
      </c>
      <c r="C96" s="770" t="s">
        <v>15</v>
      </c>
      <c r="D96" s="32" t="s">
        <v>63</v>
      </c>
      <c r="E96" s="312" cm="1">
        <f t="array" ref="E96">IFERROR(_xlfn.XLOOKUP(1,($B96=DistributionZone)*("CL"=tariffType)*($E$4=Description),valuesFY),0)</f>
        <v>2000</v>
      </c>
      <c r="F96" s="309" cm="1">
        <f t="array" ref="F96">_xlfn.XLOOKUP(1,($B96=Wholesale_DistributionZone)*($C96=Wholesale_TariffType)*("Total"=Wholesale_Description),Wholesale_FY_FixedFees)</f>
        <v>0</v>
      </c>
      <c r="G96" s="309" cm="1">
        <f t="array" ref="G96">_xlfn.XLOOKUP(1,($B96=Wholesale_DistributionZone)*($C96=Wholesale_TariffType)*("Total"=Wholesale_Description),Wholesale_FY_VarFees)</f>
        <v>123.82812436859668</v>
      </c>
      <c r="H96" s="309">
        <f t="shared" ref="H96" si="52">F96+(G96*E96)/1000</f>
        <v>247.65624873719335</v>
      </c>
      <c r="I96" s="313">
        <f t="shared" ref="I96" si="53">H96/$H$61</f>
        <v>0.50767925475780384</v>
      </c>
      <c r="K96" s="308" cm="1">
        <f t="array" ref="K96">_xlfn.XLOOKUP(1,($B96=Wholesale_DistributionZone)*($C96=Wholesale_TariffType)*("Total"=Wholesale_Description),Wholesale_FY_FixedFees)*1.1/365*100</f>
        <v>0</v>
      </c>
      <c r="L96" s="308" cm="1">
        <f t="array" ref="L96">_xlfn.XLOOKUP(1,($B96=Wholesale_DistributionZone)*($C96=Wholesale_TariffType)*("Total"=Wholesale_Description),Wholesale_FY_VarFees)*1.1/10</f>
        <v>13.621093680545636</v>
      </c>
      <c r="N96" s="397"/>
    </row>
    <row r="97" spans="2:18" x14ac:dyDescent="0.3">
      <c r="B97" s="769" t="str">
        <f t="shared" ref="B97:B101" si="54">B96</f>
        <v>Essential</v>
      </c>
      <c r="C97" s="770" t="s">
        <v>15</v>
      </c>
      <c r="D97" s="57" t="s">
        <v>62</v>
      </c>
      <c r="E97" s="324">
        <f>E96</f>
        <v>2000</v>
      </c>
      <c r="F97" s="325" cm="1">
        <f t="array" ref="F97">_xlfn.XLOOKUP(1,($B97=Network_DistributionZone)*($C97=Network_TariffType)*("Total"=Network_Description),Network_FY_FixedFees)</f>
        <v>48.8466060437229</v>
      </c>
      <c r="G97" s="325" cm="1">
        <f t="array" ref="G97">_xlfn.XLOOKUP(1,($B97=Network_DistributionZone)*($C97=Network_TariffType)*("Total"=Network_Description),Network_FY_VarFees)</f>
        <v>70.007470724280495</v>
      </c>
      <c r="H97" s="325">
        <f>F97+(G97*E97)/1000</f>
        <v>188.86154749228388</v>
      </c>
      <c r="I97" s="326">
        <f>H97/$H$61</f>
        <v>0.3871539287709832</v>
      </c>
      <c r="J97" s="57"/>
      <c r="K97" s="327" cm="1">
        <f t="array" ref="K97">_xlfn.XLOOKUP(1,($B97=Network_DistributionZone)*($C97=Network_TariffType)*("Total"=Network_Description),Network_FY_FixedFees)*1.1/365*100</f>
        <v>14.720894972080876</v>
      </c>
      <c r="L97" s="327" cm="1">
        <f t="array" ref="L97">_xlfn.XLOOKUP(1,($B97=Network_DistributionZone)*($C97=Network_TariffType)*("Total"=Network_Description),Network_FY_VarFees)*1.1/10</f>
        <v>7.7008217796708553</v>
      </c>
      <c r="N97" s="397"/>
    </row>
    <row r="98" spans="2:18" x14ac:dyDescent="0.3">
      <c r="B98" s="769" t="str">
        <f t="shared" si="54"/>
        <v>Essential</v>
      </c>
      <c r="C98" s="770" t="s">
        <v>15</v>
      </c>
      <c r="D98" s="32" t="s">
        <v>64</v>
      </c>
      <c r="E98" s="312">
        <f t="shared" ref="E98:E102" si="55">E97</f>
        <v>2000</v>
      </c>
      <c r="F98" s="309" cm="1">
        <f t="array" ref="F98">_xlfn.XLOOKUP(1,($B98=Enviro_DistributionZone)*($C98=Enviro_TariffType)*("Total"=Enviro_Description),Enviro_FY_FixedFees)</f>
        <v>0</v>
      </c>
      <c r="G98" s="309" cm="1">
        <f t="array" ref="G98">_xlfn.XLOOKUP(1,($B98=Enviro_DistributionZone)*($C98=Enviro_TariffType)*("Total"=Enviro_Description),Enviro_FY_VarFees)</f>
        <v>11.083634758383681</v>
      </c>
      <c r="H98" s="309">
        <f t="shared" ref="H98:H100" si="56">F98+(G98*E98)/1000</f>
        <v>22.167269516767362</v>
      </c>
      <c r="I98" s="313">
        <f t="shared" ref="I98:I100" si="57">H98/$H$101</f>
        <v>4.5428192243104272E-2</v>
      </c>
      <c r="K98" s="308" cm="1">
        <f t="array" ref="K98">_xlfn.XLOOKUP(1,($B98=Enviro_DistributionZone)*($C98=Enviro_TariffType)*("Total"=Enviro_Description),Enviro_FY_FixedFees)*1.1/365*100</f>
        <v>0</v>
      </c>
      <c r="L98" s="308" cm="1">
        <f t="array" ref="L98">_xlfn.XLOOKUP(1,($B98=Enviro_DistributionZone)*($C98=Enviro_TariffType)*("Total"=Enviro_Description),Enviro_FY_VarFees)*1.1/10</f>
        <v>1.219199823422205</v>
      </c>
      <c r="N98" s="397"/>
    </row>
    <row r="99" spans="2:18" x14ac:dyDescent="0.3">
      <c r="B99" s="769" t="str">
        <f t="shared" si="54"/>
        <v>Essential</v>
      </c>
      <c r="C99" s="770" t="s">
        <v>15</v>
      </c>
      <c r="D99" s="57" t="s">
        <v>159</v>
      </c>
      <c r="E99" s="324">
        <f t="shared" si="55"/>
        <v>2000</v>
      </c>
      <c r="F99" s="325" cm="1">
        <f t="array" ref="F99">_xlfn.IFNA(_xlfn.XLOOKUP(1,($B99=Retail_DistributionZone)*($C99=Retail_TariffType)*("Total"=Retail_Description),Retail_FY_FixedFees),0)</f>
        <v>0</v>
      </c>
      <c r="G99" s="325" cm="1">
        <f t="array" ref="G99">_xlfn.IFNA(_xlfn.XLOOKUP(1,($B99=Retail_DistributionZone)*($C99=Retail_TariffType)*("Total"=Retail_Description),Retail_FY_VarFees),0)</f>
        <v>0</v>
      </c>
      <c r="H99" s="325">
        <f t="shared" si="56"/>
        <v>0</v>
      </c>
      <c r="I99" s="326">
        <f t="shared" si="57"/>
        <v>0</v>
      </c>
      <c r="J99" s="57"/>
      <c r="K99" s="327" cm="1">
        <f t="array" ref="K99">_xlfn.IFNA(_xlfn.XLOOKUP(1,($B99=Retail_DistributionZone)*($C99=Retail_TariffType)*("Total"=Retail_Description),Retail_FY_FixedFees),0)*1.1/365*100</f>
        <v>0</v>
      </c>
      <c r="L99" s="327" cm="1">
        <f t="array" ref="L99">_xlfn.IFNA(_xlfn.XLOOKUP(1,($B99=Retail_DistributionZone)*($C99=Retail_TariffType)*("Total"=Retail_Description),Retail_FY_VarFees),0)*1.1/10</f>
        <v>0</v>
      </c>
      <c r="N99" s="397"/>
    </row>
    <row r="100" spans="2:18" x14ac:dyDescent="0.3">
      <c r="B100" s="769" t="str">
        <f t="shared" si="54"/>
        <v>Essential</v>
      </c>
      <c r="C100" s="770" t="s">
        <v>15</v>
      </c>
      <c r="D100" s="32" t="s">
        <v>192</v>
      </c>
      <c r="E100" s="312">
        <f t="shared" si="55"/>
        <v>2000</v>
      </c>
      <c r="F100" s="309">
        <f>SUM(F96:F99)/(1-RetailMargin_RES)-SUM(F96:F99)</f>
        <v>3.1178684708759334</v>
      </c>
      <c r="G100" s="309">
        <f>SUM(G96:G99)/(1-RetailMargin_RES)-SUM(G96:G99)</f>
        <v>13.079950841569854</v>
      </c>
      <c r="H100" s="309">
        <f t="shared" si="56"/>
        <v>29.277770154015641</v>
      </c>
      <c r="I100" s="313">
        <f t="shared" si="57"/>
        <v>6.000000000000006E-2</v>
      </c>
      <c r="K100" s="308">
        <f>SUM(K96:K99)/(1-RetailMargin_RES)-SUM(K96:K99)</f>
        <v>0.9396315939626092</v>
      </c>
      <c r="L100" s="308">
        <f>SUM(L96:L99)/(1-RetailMargin_RES)-SUM(L96:L99)</f>
        <v>1.4387945925726839</v>
      </c>
      <c r="N100" s="397"/>
    </row>
    <row r="101" spans="2:18" ht="14.5" thickBot="1" x14ac:dyDescent="0.35">
      <c r="B101" s="769" t="str">
        <f t="shared" si="54"/>
        <v>Essential</v>
      </c>
      <c r="C101" s="770" t="s">
        <v>360</v>
      </c>
      <c r="D101" s="328" t="s">
        <v>55</v>
      </c>
      <c r="E101" s="324">
        <f t="shared" si="55"/>
        <v>2000</v>
      </c>
      <c r="F101" s="325"/>
      <c r="G101" s="325"/>
      <c r="H101" s="394">
        <f>SUM(H96:H100)</f>
        <v>487.96283590026019</v>
      </c>
      <c r="I101" s="57"/>
      <c r="J101" s="57"/>
      <c r="K101" s="438"/>
      <c r="L101" s="438"/>
      <c r="N101" s="397"/>
      <c r="O101" s="392"/>
    </row>
    <row r="102" spans="2:18" ht="14.5" thickTop="1" x14ac:dyDescent="0.3">
      <c r="B102" s="769" t="str">
        <f>B101</f>
        <v>Essential</v>
      </c>
      <c r="C102" s="770" t="s">
        <v>360</v>
      </c>
      <c r="D102" s="323" t="s">
        <v>79</v>
      </c>
      <c r="E102" s="393">
        <f t="shared" si="55"/>
        <v>2000</v>
      </c>
      <c r="F102" s="321"/>
      <c r="G102" s="321"/>
      <c r="H102" s="543">
        <f>H101*(1+GST)</f>
        <v>536.75911949028625</v>
      </c>
      <c r="I102" s="321"/>
      <c r="J102" s="321"/>
      <c r="K102" s="544">
        <f>SUM(K96:K100)</f>
        <v>15.660526566043485</v>
      </c>
      <c r="L102" s="544">
        <f>SUM(L96:L100)</f>
        <v>23.97990987621138</v>
      </c>
      <c r="M102" s="329"/>
      <c r="N102" s="397">
        <f>L102*E101/100+K102*365/100</f>
        <v>536.75911949028637</v>
      </c>
      <c r="R102" s="309"/>
    </row>
    <row r="103" spans="2:18" x14ac:dyDescent="0.3">
      <c r="B103" s="740"/>
      <c r="C103" s="561"/>
      <c r="D103" s="37"/>
      <c r="H103" s="395"/>
      <c r="K103" s="309"/>
      <c r="L103" s="309"/>
      <c r="M103" s="329"/>
      <c r="N103" s="397"/>
    </row>
    <row r="104" spans="2:18" ht="20" x14ac:dyDescent="0.3">
      <c r="B104" s="771" t="s">
        <v>356</v>
      </c>
      <c r="N104" s="397"/>
    </row>
    <row r="105" spans="2:18" x14ac:dyDescent="0.3">
      <c r="B105" s="769" t="s">
        <v>3</v>
      </c>
      <c r="C105" s="770" t="s">
        <v>14</v>
      </c>
      <c r="D105" s="32" t="s">
        <v>63</v>
      </c>
      <c r="E105" s="312" cm="1">
        <f t="array" ref="E105">IFERROR(_xlfn.XLOOKUP(1,($B105=DistributionZone)*($C105=tariffType)*($E$4=Description),valuesFY),0)</f>
        <v>1540</v>
      </c>
      <c r="F105" s="309" cm="1">
        <f t="array" ref="F105">_xlfn.XLOOKUP(1,($B105=Wholesale_DistributionZone)*($C105=Wholesale_TariffType)*("Total"=Wholesale_Description),Wholesale_FY_FixedFees)</f>
        <v>0</v>
      </c>
      <c r="G105" s="309" cm="1">
        <f t="array" ref="G105">_xlfn.XLOOKUP(1,($B105=Wholesale_DistributionZone)*($C105=Wholesale_TariffType)*("Total"=Wholesale_Description),Wholesale_FY_VarFees)</f>
        <v>123.82812436859668</v>
      </c>
      <c r="H105" s="309">
        <f t="shared" ref="H105" si="58">F105+(G105*E105)/1000</f>
        <v>190.69531152763886</v>
      </c>
      <c r="I105" s="313">
        <f t="shared" ref="I105" si="59">H105/$H$61</f>
        <v>0.39091302616350893</v>
      </c>
      <c r="K105" s="308" cm="1">
        <f t="array" ref="K105">_xlfn.XLOOKUP(1,($B105=Wholesale_DistributionZone)*($C105=Wholesale_TariffType)*("Total"=Wholesale_Description),Wholesale_FY_FixedFees)*1.1/365*100</f>
        <v>0</v>
      </c>
      <c r="L105" s="308" cm="1">
        <f t="array" ref="L105">_xlfn.XLOOKUP(1,($B105=Wholesale_DistributionZone)*($C105=Wholesale_TariffType)*("Total"=Wholesale_Description),Wholesale_FY_VarFees)*1.1/10</f>
        <v>13.621093680545636</v>
      </c>
      <c r="N105" s="397"/>
    </row>
    <row r="106" spans="2:18" x14ac:dyDescent="0.3">
      <c r="B106" s="769" t="str">
        <f t="shared" ref="B106:B118" si="60">B105</f>
        <v>Essential</v>
      </c>
      <c r="C106" s="770" t="s">
        <v>14</v>
      </c>
      <c r="D106" s="57" t="s">
        <v>62</v>
      </c>
      <c r="E106" s="324">
        <f>E105</f>
        <v>1540</v>
      </c>
      <c r="F106" s="325" cm="1">
        <f t="array" ref="F106">_xlfn.XLOOKUP(1,($B106=Network_DistributionZone)*($C106=Network_TariffType)*("Total"=Network_Description),Network_FY_FixedFees)</f>
        <v>48.8466060437229</v>
      </c>
      <c r="G106" s="325" cm="1">
        <f t="array" ref="G106">_xlfn.XLOOKUP(1,($B106=Network_DistributionZone)*($C106=Network_TariffType)*("Total"=Network_Description),Network_FY_VarFees)</f>
        <v>35.045861784245901</v>
      </c>
      <c r="H106" s="325">
        <f>F106+(G106*E106)/1000</f>
        <v>102.81723319146158</v>
      </c>
      <c r="I106" s="326">
        <f>H106/$H$61</f>
        <v>0.21076866256781576</v>
      </c>
      <c r="J106" s="57"/>
      <c r="K106" s="327" cm="1">
        <f t="array" ref="K106">_xlfn.XLOOKUP(1,($B106=Network_DistributionZone)*($C106=Network_TariffType)*("Total"=Network_Description),Network_FY_FixedFees)*1.1/365*100</f>
        <v>14.720894972080876</v>
      </c>
      <c r="L106" s="327" cm="1">
        <f t="array" ref="L106">_xlfn.XLOOKUP(1,($B106=Network_DistributionZone)*($C106=Network_TariffType)*("Total"=Network_Description),Network_FY_VarFees)*1.1/10</f>
        <v>3.8550447962670495</v>
      </c>
      <c r="N106" s="397"/>
      <c r="O106" s="309"/>
    </row>
    <row r="107" spans="2:18" x14ac:dyDescent="0.3">
      <c r="B107" s="769" t="str">
        <f t="shared" si="60"/>
        <v>Essential</v>
      </c>
      <c r="C107" s="770" t="s">
        <v>14</v>
      </c>
      <c r="D107" s="32" t="s">
        <v>64</v>
      </c>
      <c r="E107" s="312">
        <f t="shared" ref="E107:E111" si="61">E106</f>
        <v>1540</v>
      </c>
      <c r="F107" s="309" cm="1">
        <f t="array" ref="F107">_xlfn.XLOOKUP(1,($B107=Enviro_DistributionZone)*($C107=Enviro_TariffType)*("Total"=Enviro_Description),Enviro_FY_FixedFees)</f>
        <v>0</v>
      </c>
      <c r="G107" s="309" cm="1">
        <f t="array" ref="G107">_xlfn.XLOOKUP(1,($B107=Enviro_DistributionZone)*($C107=Enviro_TariffType)*("Total"=Enviro_Description),Enviro_FY_VarFees)</f>
        <v>11.083634758383681</v>
      </c>
      <c r="H107" s="309">
        <f t="shared" ref="H107:H109" si="62">F107+(G107*E107)/1000</f>
        <v>17.068797527910867</v>
      </c>
      <c r="I107" s="313">
        <f t="shared" ref="I107:I109" si="63">H107/$H$110</f>
        <v>5.1660120856440818E-2</v>
      </c>
      <c r="K107" s="308" cm="1">
        <f t="array" ref="K107">_xlfn.XLOOKUP(1,($B107=Enviro_DistributionZone)*($C107=Enviro_TariffType)*("Total"=Enviro_Description),Enviro_FY_FixedFees)*1.1/365*100</f>
        <v>0</v>
      </c>
      <c r="L107" s="308" cm="1">
        <f t="array" ref="L107">_xlfn.XLOOKUP(1,($B107=Enviro_DistributionZone)*($C107=Enviro_TariffType)*("Total"=Enviro_Description),Enviro_FY_VarFees)*1.1/10</f>
        <v>1.219199823422205</v>
      </c>
      <c r="N107" s="397"/>
    </row>
    <row r="108" spans="2:18" x14ac:dyDescent="0.3">
      <c r="B108" s="769" t="str">
        <f t="shared" si="60"/>
        <v>Essential</v>
      </c>
      <c r="C108" s="770" t="s">
        <v>14</v>
      </c>
      <c r="D108" s="57" t="s">
        <v>159</v>
      </c>
      <c r="E108" s="324">
        <f t="shared" si="61"/>
        <v>1540</v>
      </c>
      <c r="F108" s="325" cm="1">
        <f t="array" ref="F108">_xlfn.IFNA(_xlfn.XLOOKUP(1,($B108=Retail_DistributionZone)*($C108=Retail_TariffType)*("Total"=Retail_Description),Retail_FY_FixedFees),0)</f>
        <v>0</v>
      </c>
      <c r="G108" s="325" cm="1">
        <f t="array" ref="G108">_xlfn.IFNA(_xlfn.XLOOKUP(1,($B108=Retail_DistributionZone)*($C108=Retail_TariffType)*("Total"=Retail_Description),Retail_FY_VarFees),0)</f>
        <v>0</v>
      </c>
      <c r="H108" s="325">
        <f t="shared" si="62"/>
        <v>0</v>
      </c>
      <c r="I108" s="326">
        <f t="shared" si="63"/>
        <v>0</v>
      </c>
      <c r="J108" s="57"/>
      <c r="K108" s="327" cm="1">
        <f t="array" ref="K108">_xlfn.IFNA(_xlfn.XLOOKUP(1,($B108=Retail_DistributionZone)*($C108=Retail_TariffType)*("Total"=Retail_Description),Retail_FY_FixedFees),0)*1.1/365*100</f>
        <v>0</v>
      </c>
      <c r="L108" s="327" cm="1">
        <f t="array" ref="L108">_xlfn.IFNA(_xlfn.XLOOKUP(1,($B108=Retail_DistributionZone)*($C108=Retail_TariffType)*("Total"=Retail_Description),Retail_FY_VarFees),0)*1.1/10</f>
        <v>0</v>
      </c>
      <c r="N108" s="397"/>
    </row>
    <row r="109" spans="2:18" x14ac:dyDescent="0.3">
      <c r="B109" s="769" t="str">
        <f t="shared" si="60"/>
        <v>Essential</v>
      </c>
      <c r="C109" s="770" t="s">
        <v>14</v>
      </c>
      <c r="D109" s="32" t="s">
        <v>192</v>
      </c>
      <c r="E109" s="312">
        <f t="shared" si="61"/>
        <v>1540</v>
      </c>
      <c r="F109" s="309">
        <f>SUM(F105:F108)/(1-RetailMargin_RES)-SUM(F105:F108)</f>
        <v>3.1178684708759334</v>
      </c>
      <c r="G109" s="309">
        <f>SUM(G105:G108)/(1-RetailMargin_RES)-SUM(G105:G108)</f>
        <v>10.84835878156764</v>
      </c>
      <c r="H109" s="309">
        <f t="shared" si="62"/>
        <v>19.8243409944901</v>
      </c>
      <c r="I109" s="313">
        <f t="shared" si="63"/>
        <v>6.0000000000000046E-2</v>
      </c>
      <c r="K109" s="308">
        <f>SUM(K105:K108)/(1-RetailMargin_RES)-SUM(K105:K108)</f>
        <v>0.9396315939626092</v>
      </c>
      <c r="L109" s="308">
        <f>SUM(L105:L108)/(1-RetailMargin_RES)-SUM(L105:L108)</f>
        <v>1.19331946597244</v>
      </c>
      <c r="N109" s="397"/>
    </row>
    <row r="110" spans="2:18" ht="14.5" thickBot="1" x14ac:dyDescent="0.35">
      <c r="B110" s="769" t="str">
        <f t="shared" si="60"/>
        <v>Essential</v>
      </c>
      <c r="C110" s="770" t="s">
        <v>14</v>
      </c>
      <c r="D110" s="328" t="s">
        <v>55</v>
      </c>
      <c r="E110" s="324">
        <f t="shared" si="61"/>
        <v>1540</v>
      </c>
      <c r="F110" s="325"/>
      <c r="G110" s="325"/>
      <c r="H110" s="394">
        <f>SUM(H105:H109)</f>
        <v>330.40568324150144</v>
      </c>
      <c r="I110" s="57"/>
      <c r="J110" s="57"/>
      <c r="K110" s="438"/>
      <c r="L110" s="438"/>
      <c r="N110" s="397"/>
      <c r="O110" s="392"/>
    </row>
    <row r="111" spans="2:18" ht="14.5" thickTop="1" x14ac:dyDescent="0.3">
      <c r="B111" s="769" t="str">
        <f>B110</f>
        <v>Essential</v>
      </c>
      <c r="C111" s="770" t="s">
        <v>14</v>
      </c>
      <c r="D111" s="323" t="s">
        <v>79</v>
      </c>
      <c r="E111" s="393">
        <f t="shared" si="61"/>
        <v>1540</v>
      </c>
      <c r="F111" s="321"/>
      <c r="G111" s="321"/>
      <c r="H111" s="543">
        <f>H110*(1+GST)</f>
        <v>363.44625156565161</v>
      </c>
      <c r="I111" s="321"/>
      <c r="J111" s="321"/>
      <c r="K111" s="544">
        <f>SUM(K105:K109)</f>
        <v>15.660526566043485</v>
      </c>
      <c r="L111" s="544">
        <f>SUM(L105:L109)</f>
        <v>19.888657766207331</v>
      </c>
      <c r="M111" s="329"/>
      <c r="N111" s="397">
        <f>L111*E110/100+K111*365/100</f>
        <v>363.44625156565161</v>
      </c>
      <c r="R111" s="309"/>
    </row>
    <row r="112" spans="2:18" x14ac:dyDescent="0.3">
      <c r="B112" s="769" t="str">
        <f t="shared" si="60"/>
        <v>Essential</v>
      </c>
      <c r="C112" s="770"/>
      <c r="N112" s="397"/>
    </row>
    <row r="113" spans="2:18" x14ac:dyDescent="0.3">
      <c r="B113" s="769" t="str">
        <f t="shared" si="60"/>
        <v>Essential</v>
      </c>
      <c r="C113" s="770" t="s">
        <v>15</v>
      </c>
      <c r="D113" s="32" t="s">
        <v>63</v>
      </c>
      <c r="E113" s="312" cm="1">
        <f t="array" ref="E113">IFERROR(_xlfn.XLOOKUP(1,($B113=DistributionZone)*($C113=tariffType)*($E$4=Description),valuesFY),0)</f>
        <v>460</v>
      </c>
      <c r="F113" s="309" cm="1">
        <f t="array" ref="F113">_xlfn.XLOOKUP(1,($B113=Wholesale_DistributionZone)*($C113=Wholesale_TariffType)*("Total"=Wholesale_Description),Wholesale_FY_FixedFees)</f>
        <v>0</v>
      </c>
      <c r="G113" s="309" cm="1">
        <f t="array" ref="G113">_xlfn.XLOOKUP(1,($B113=Wholesale_DistributionZone)*($C113=Wholesale_TariffType)*("Total"=Wholesale_Description),Wholesale_FY_VarFees)</f>
        <v>123.82812436859668</v>
      </c>
      <c r="H113" s="309">
        <f t="shared" ref="H113" si="64">F113+(G113*E113)/1000</f>
        <v>56.960937209554466</v>
      </c>
      <c r="I113" s="313">
        <f t="shared" ref="I113" si="65">H113/$H$61</f>
        <v>0.11676622859429488</v>
      </c>
      <c r="K113" s="308" cm="1">
        <f t="array" ref="K113">_xlfn.XLOOKUP(1,($B113=Wholesale_DistributionZone)*($C113=Wholesale_TariffType)*("Total"=Wholesale_Description),Wholesale_FY_FixedFees)*1.1/365*100</f>
        <v>0</v>
      </c>
      <c r="L113" s="308" cm="1">
        <f t="array" ref="L113">_xlfn.XLOOKUP(1,($B113=Wholesale_DistributionZone)*($C113=Wholesale_TariffType)*("Total"=Wholesale_Description),Wholesale_FY_VarFees)*1.1/10</f>
        <v>13.621093680545636</v>
      </c>
      <c r="N113" s="397"/>
    </row>
    <row r="114" spans="2:18" x14ac:dyDescent="0.3">
      <c r="B114" s="769" t="str">
        <f t="shared" si="60"/>
        <v>Essential</v>
      </c>
      <c r="C114" s="770" t="s">
        <v>15</v>
      </c>
      <c r="D114" s="57" t="s">
        <v>62</v>
      </c>
      <c r="E114" s="324">
        <f>E113</f>
        <v>460</v>
      </c>
      <c r="F114" s="325" cm="1">
        <f t="array" ref="F114">_xlfn.XLOOKUP(1,($B114=Network_DistributionZone)*($C114=Network_TariffType)*("Total"=Network_Description),Network_FY_FixedFees)</f>
        <v>48.8466060437229</v>
      </c>
      <c r="G114" s="325" cm="1">
        <f t="array" ref="G114">_xlfn.XLOOKUP(1,($B114=Network_DistributionZone)*($C114=Network_TariffType)*("Total"=Network_Description),Network_FY_VarFees)</f>
        <v>70.007470724280495</v>
      </c>
      <c r="H114" s="325">
        <f>F114+(G114*E114)/1000</f>
        <v>81.050042576891926</v>
      </c>
      <c r="I114" s="326">
        <f>H114/$H$61</f>
        <v>0.16614733293965617</v>
      </c>
      <c r="J114" s="57"/>
      <c r="K114" s="327" cm="1">
        <f t="array" ref="K114">_xlfn.XLOOKUP(1,($B114=Network_DistributionZone)*($C114=Network_TariffType)*("Total"=Network_Description),Network_FY_FixedFees)*1.1/365*100</f>
        <v>14.720894972080876</v>
      </c>
      <c r="L114" s="327" cm="1">
        <f t="array" ref="L114">_xlfn.XLOOKUP(1,($B114=Network_DistributionZone)*($C114=Network_TariffType)*("Total"=Network_Description),Network_FY_VarFees)*1.1/10</f>
        <v>7.7008217796708553</v>
      </c>
      <c r="N114" s="397"/>
    </row>
    <row r="115" spans="2:18" x14ac:dyDescent="0.3">
      <c r="B115" s="769" t="str">
        <f t="shared" si="60"/>
        <v>Essential</v>
      </c>
      <c r="C115" s="770" t="s">
        <v>15</v>
      </c>
      <c r="D115" s="32" t="s">
        <v>64</v>
      </c>
      <c r="E115" s="312">
        <f t="shared" ref="E115:E119" si="66">E114</f>
        <v>460</v>
      </c>
      <c r="F115" s="309" cm="1">
        <f t="array" ref="F115">_xlfn.XLOOKUP(1,($B115=Enviro_DistributionZone)*($C115=Enviro_TariffType)*("Total"=Enviro_Description),Enviro_FY_FixedFees)</f>
        <v>0</v>
      </c>
      <c r="G115" s="309" cm="1">
        <f t="array" ref="G115">_xlfn.XLOOKUP(1,($B115=Enviro_DistributionZone)*($C115=Enviro_TariffType)*("Total"=Enviro_Description),Enviro_FY_VarFees)</f>
        <v>11.083634758383681</v>
      </c>
      <c r="H115" s="309">
        <f t="shared" ref="H115:H117" si="67">F115+(G115*E115)/1000</f>
        <v>5.0984719888564936</v>
      </c>
      <c r="I115" s="313">
        <f t="shared" ref="I115:I117" si="68">H115/$H$118</f>
        <v>3.3488799028102909E-2</v>
      </c>
      <c r="K115" s="308" cm="1">
        <f t="array" ref="K115">_xlfn.XLOOKUP(1,($B115=Enviro_DistributionZone)*($C115=Enviro_TariffType)*("Total"=Enviro_Description),Enviro_FY_FixedFees)*1.1/365*100</f>
        <v>0</v>
      </c>
      <c r="L115" s="308" cm="1">
        <f t="array" ref="L115">_xlfn.XLOOKUP(1,($B115=Enviro_DistributionZone)*($C115=Enviro_TariffType)*("Total"=Enviro_Description),Enviro_FY_VarFees)*1.1/10</f>
        <v>1.219199823422205</v>
      </c>
      <c r="N115" s="397"/>
    </row>
    <row r="116" spans="2:18" x14ac:dyDescent="0.3">
      <c r="B116" s="769" t="str">
        <f t="shared" si="60"/>
        <v>Essential</v>
      </c>
      <c r="C116" s="770" t="s">
        <v>15</v>
      </c>
      <c r="D116" s="57" t="s">
        <v>159</v>
      </c>
      <c r="E116" s="324">
        <f t="shared" si="66"/>
        <v>460</v>
      </c>
      <c r="F116" s="325" cm="1">
        <f t="array" ref="F116">_xlfn.IFNA(_xlfn.XLOOKUP(1,($B116=Retail_DistributionZone)*($C116=Retail_TariffType)*("Total"=Retail_Description),Retail_FY_FixedFees),0)</f>
        <v>0</v>
      </c>
      <c r="G116" s="325" cm="1">
        <f t="array" ref="G116">_xlfn.IFNA(_xlfn.XLOOKUP(1,($B116=Retail_DistributionZone)*($C116=Retail_TariffType)*("Total"=Retail_Description),Retail_FY_VarFees),0)</f>
        <v>0</v>
      </c>
      <c r="H116" s="325">
        <f t="shared" si="67"/>
        <v>0</v>
      </c>
      <c r="I116" s="326">
        <f t="shared" si="68"/>
        <v>0</v>
      </c>
      <c r="J116" s="57"/>
      <c r="K116" s="327" cm="1">
        <f t="array" ref="K116">_xlfn.IFNA(_xlfn.XLOOKUP(1,($B116=Retail_DistributionZone)*($C116=Retail_TariffType)*("Total"=Retail_Description),Retail_FY_FixedFees),0)*1.1/365*100</f>
        <v>0</v>
      </c>
      <c r="L116" s="327" cm="1">
        <f t="array" ref="L116">_xlfn.IFNA(_xlfn.XLOOKUP(1,($B116=Retail_DistributionZone)*($C116=Retail_TariffType)*("Total"=Retail_Description),Retail_FY_VarFees),0)*1.1/10</f>
        <v>0</v>
      </c>
      <c r="N116" s="397"/>
    </row>
    <row r="117" spans="2:18" x14ac:dyDescent="0.3">
      <c r="B117" s="769" t="str">
        <f t="shared" si="60"/>
        <v>Essential</v>
      </c>
      <c r="C117" s="770" t="s">
        <v>15</v>
      </c>
      <c r="D117" s="32" t="s">
        <v>192</v>
      </c>
      <c r="E117" s="312">
        <f t="shared" si="66"/>
        <v>460</v>
      </c>
      <c r="F117" s="309">
        <f>SUM(F113:F116)/(1-RetailMargin_RES)-SUM(F113:F116)</f>
        <v>3.1178684708759334</v>
      </c>
      <c r="G117" s="309">
        <f>SUM(G113:G116)/(1-RetailMargin_RES)-SUM(G113:G116)</f>
        <v>13.079950841569854</v>
      </c>
      <c r="H117" s="309">
        <f t="shared" si="67"/>
        <v>9.1346458579980663</v>
      </c>
      <c r="I117" s="313">
        <f t="shared" si="68"/>
        <v>6.000000000000006E-2</v>
      </c>
      <c r="K117" s="308">
        <f>SUM(K113:K116)/(1-RetailMargin_RES)-SUM(K113:K116)</f>
        <v>0.9396315939626092</v>
      </c>
      <c r="L117" s="308">
        <f>SUM(L113:L116)/(1-RetailMargin_RES)-SUM(L113:L116)</f>
        <v>1.4387945925726839</v>
      </c>
      <c r="N117" s="397"/>
    </row>
    <row r="118" spans="2:18" ht="14.5" thickBot="1" x14ac:dyDescent="0.35">
      <c r="B118" s="769" t="str">
        <f t="shared" si="60"/>
        <v>Essential</v>
      </c>
      <c r="C118" s="770" t="s">
        <v>15</v>
      </c>
      <c r="D118" s="328" t="s">
        <v>55</v>
      </c>
      <c r="E118" s="324">
        <f t="shared" si="66"/>
        <v>460</v>
      </c>
      <c r="F118" s="325"/>
      <c r="G118" s="325"/>
      <c r="H118" s="394">
        <f>SUM(H113:H117)</f>
        <v>152.24409763330095</v>
      </c>
      <c r="I118" s="57"/>
      <c r="J118" s="57"/>
      <c r="K118" s="438"/>
      <c r="L118" s="438"/>
      <c r="N118" s="397"/>
      <c r="O118" s="392"/>
    </row>
    <row r="119" spans="2:18" ht="14.5" thickTop="1" x14ac:dyDescent="0.3">
      <c r="B119" s="769" t="str">
        <f>B118</f>
        <v>Essential</v>
      </c>
      <c r="C119" s="770" t="s">
        <v>15</v>
      </c>
      <c r="D119" s="323" t="s">
        <v>79</v>
      </c>
      <c r="E119" s="393">
        <f t="shared" si="66"/>
        <v>460</v>
      </c>
      <c r="F119" s="321"/>
      <c r="G119" s="321"/>
      <c r="H119" s="543">
        <f>H118*(1+GST)</f>
        <v>167.46850739663105</v>
      </c>
      <c r="I119" s="321"/>
      <c r="J119" s="321"/>
      <c r="K119" s="544">
        <f>SUM(K113:K117)</f>
        <v>15.660526566043485</v>
      </c>
      <c r="L119" s="544">
        <f>SUM(L113:L117)</f>
        <v>23.97990987621138</v>
      </c>
      <c r="M119" s="329"/>
      <c r="N119" s="397">
        <f>L119*E118/100+K119*365/100</f>
        <v>167.46850739663108</v>
      </c>
      <c r="R119" s="309"/>
    </row>
    <row r="120" spans="2:18" x14ac:dyDescent="0.3">
      <c r="B120" s="740"/>
      <c r="C120" s="561"/>
      <c r="D120" s="37"/>
      <c r="H120" s="395"/>
      <c r="K120" s="309"/>
      <c r="L120" s="309"/>
      <c r="M120" s="329"/>
      <c r="N120" s="397"/>
    </row>
    <row r="121" spans="2:18" x14ac:dyDescent="0.3">
      <c r="B121" s="740"/>
      <c r="C121" s="561"/>
      <c r="D121" s="37" t="s">
        <v>357</v>
      </c>
      <c r="E121" s="310">
        <f>SUM(E113,E105)</f>
        <v>2000</v>
      </c>
      <c r="F121" s="32" t="s">
        <v>53</v>
      </c>
      <c r="H121" s="395"/>
      <c r="K121" s="309"/>
      <c r="L121" s="309"/>
      <c r="M121" s="329"/>
      <c r="N121" s="397"/>
    </row>
    <row r="122" spans="2:18" x14ac:dyDescent="0.3">
      <c r="D122" s="37" t="s">
        <v>358</v>
      </c>
      <c r="E122" s="396">
        <f>SUM(H111,H119)</f>
        <v>530.91475896228269</v>
      </c>
      <c r="N122" s="397"/>
    </row>
    <row r="123" spans="2:18" x14ac:dyDescent="0.3">
      <c r="F123" s="37" t="s">
        <v>322</v>
      </c>
      <c r="K123" s="37" t="s">
        <v>22</v>
      </c>
      <c r="N123" s="397"/>
    </row>
    <row r="124" spans="2:18" ht="20" x14ac:dyDescent="0.3">
      <c r="B124" s="768" t="s">
        <v>0</v>
      </c>
      <c r="C124" s="559"/>
      <c r="D124" s="317" t="s">
        <v>32</v>
      </c>
      <c r="E124" s="318" t="s">
        <v>24</v>
      </c>
      <c r="F124" s="316" t="s">
        <v>317</v>
      </c>
      <c r="G124" s="316" t="s">
        <v>318</v>
      </c>
      <c r="H124" s="316" t="s">
        <v>319</v>
      </c>
      <c r="I124" s="316" t="s">
        <v>23</v>
      </c>
      <c r="K124" s="314" t="s">
        <v>317</v>
      </c>
      <c r="L124" s="314" t="s">
        <v>318</v>
      </c>
      <c r="M124" s="357"/>
      <c r="N124" s="397"/>
    </row>
    <row r="125" spans="2:18" ht="14.5" customHeight="1" x14ac:dyDescent="0.3">
      <c r="B125" s="739"/>
      <c r="C125" s="560"/>
      <c r="D125" s="319"/>
      <c r="E125" s="319" t="s">
        <v>53</v>
      </c>
      <c r="F125" s="320" t="s">
        <v>338</v>
      </c>
      <c r="G125" s="320" t="s">
        <v>44</v>
      </c>
      <c r="H125" s="320" t="str">
        <f>$H$5</f>
        <v>$</v>
      </c>
      <c r="I125" s="320" t="s">
        <v>27</v>
      </c>
      <c r="K125" s="330" t="s">
        <v>266</v>
      </c>
      <c r="L125" s="330" t="s">
        <v>246</v>
      </c>
      <c r="N125" s="397"/>
    </row>
    <row r="126" spans="2:18" ht="20" x14ac:dyDescent="0.3">
      <c r="B126" s="771" t="s">
        <v>354</v>
      </c>
      <c r="D126" s="307"/>
      <c r="E126" s="311"/>
      <c r="N126" s="397"/>
    </row>
    <row r="127" spans="2:18" x14ac:dyDescent="0.3">
      <c r="B127" s="769" t="s">
        <v>0</v>
      </c>
      <c r="C127" s="770" t="s">
        <v>14</v>
      </c>
      <c r="D127" s="32" t="s">
        <v>63</v>
      </c>
      <c r="E127" s="312" cm="1">
        <f t="array" ref="E127">IFERROR(_xlfn.XLOOKUP(1,($B127=DistributionZone)*("CL"=tariffType)*($E$4=Description),valuesFY),0)</f>
        <v>1900</v>
      </c>
      <c r="F127" s="309" cm="1">
        <f t="array" ref="F127">_xlfn.XLOOKUP(1,($B127=Wholesale_DistributionZone)*($C127=Wholesale_TariffType)*("Total"=Wholesale_Description),Wholesale_FY_FixedFees)</f>
        <v>0</v>
      </c>
      <c r="G127" s="309" cm="1">
        <f t="array" ref="G127">_xlfn.XLOOKUP(1,($B127=Wholesale_DistributionZone)*($C127=Wholesale_TariffType)*("Total"=Wholesale_Description),Wholesale_FY_VarFees)</f>
        <v>105.59056769219991</v>
      </c>
      <c r="H127" s="309">
        <f>F127+(G127*E127)/1000</f>
        <v>200.62207861517984</v>
      </c>
      <c r="I127" s="313">
        <f t="shared" ref="I127" si="69">H127/$H$61</f>
        <v>0.41126225515673742</v>
      </c>
      <c r="K127" s="308" cm="1">
        <f t="array" ref="K127">_xlfn.XLOOKUP(1,($B127=Wholesale_DistributionZone)*($C127=Wholesale_TariffType)*("Total"=Wholesale_Description),Wholesale_FY_FixedFees)*1.1/365*100</f>
        <v>0</v>
      </c>
      <c r="L127" s="308" cm="1">
        <f t="array" ref="L127">_xlfn.XLOOKUP(1,($B127=Wholesale_DistributionZone)*($C127=Wholesale_TariffType)*("Total"=Wholesale_Description),Wholesale_FY_VarFees)*1.1/10</f>
        <v>11.614962446141991</v>
      </c>
      <c r="N127" s="397"/>
    </row>
    <row r="128" spans="2:18" x14ac:dyDescent="0.3">
      <c r="B128" s="769" t="str">
        <f t="shared" ref="B128:B134" si="70">B127</f>
        <v>Energex</v>
      </c>
      <c r="C128" s="770" t="s">
        <v>14</v>
      </c>
      <c r="D128" s="57" t="s">
        <v>62</v>
      </c>
      <c r="E128" s="324">
        <f>E127</f>
        <v>1900</v>
      </c>
      <c r="F128" s="325" cm="1">
        <f t="array" ref="F128">_xlfn.XLOOKUP(1,($B128=Network_DistributionZone)*($C128=Network_TariffType)*("Total"=Network_Description),Network_FY_FixedFees)</f>
        <v>0</v>
      </c>
      <c r="G128" s="325" cm="1">
        <f t="array" ref="G128">_xlfn.XLOOKUP(1,($B128=Network_DistributionZone)*($C128=Network_TariffType)*("Total"=Network_Description),Network_FY_VarFees)</f>
        <v>26.75</v>
      </c>
      <c r="H128" s="325">
        <f>F128+(G128*E128)/1000</f>
        <v>50.825000000000003</v>
      </c>
      <c r="I128" s="326">
        <f>H128/$H$61</f>
        <v>0.10418795509757829</v>
      </c>
      <c r="J128" s="57"/>
      <c r="K128" s="327" cm="1">
        <f t="array" ref="K128">_xlfn.XLOOKUP(1,($B128=Network_DistributionZone)*($C128=Network_TariffType)*("Total"=Network_Description),Network_FY_FixedFees)*1.1/365*100</f>
        <v>0</v>
      </c>
      <c r="L128" s="327" cm="1">
        <f t="array" ref="L128">_xlfn.XLOOKUP(1,($B128=Network_DistributionZone)*($C128=Network_TariffType)*("Total"=Network_Description),Network_FY_VarFees)*1.1/10</f>
        <v>2.9424999999999999</v>
      </c>
      <c r="N128" s="397"/>
      <c r="O128" s="309"/>
    </row>
    <row r="129" spans="2:18" x14ac:dyDescent="0.3">
      <c r="B129" s="769" t="str">
        <f t="shared" si="70"/>
        <v>Energex</v>
      </c>
      <c r="C129" s="770" t="s">
        <v>14</v>
      </c>
      <c r="D129" s="32" t="s">
        <v>64</v>
      </c>
      <c r="E129" s="312">
        <f t="shared" ref="E129:E133" si="71">E128</f>
        <v>1900</v>
      </c>
      <c r="F129" s="309" cm="1">
        <f t="array" ref="F129">_xlfn.XLOOKUP(1,($B129=Enviro_DistributionZone)*($C129=Enviro_TariffType)*("Total"=Enviro_Description),Enviro_FY_FixedFees)</f>
        <v>0</v>
      </c>
      <c r="G129" s="309" cm="1">
        <f t="array" ref="G129">_xlfn.XLOOKUP(1,($B129=Enviro_DistributionZone)*($C129=Enviro_TariffType)*("Total"=Enviro_Description),Enviro_FY_VarFees)</f>
        <v>8.0806894352702603</v>
      </c>
      <c r="H129" s="309">
        <f t="shared" ref="H129:H131" si="72">F129+(G129*E129)/1000</f>
        <v>15.353309927013495</v>
      </c>
      <c r="I129" s="313">
        <f t="shared" ref="I129:I131" si="73">H129/$H$132</f>
        <v>5.4093292030983342E-2</v>
      </c>
      <c r="K129" s="308" cm="1">
        <f t="array" ref="K129">_xlfn.XLOOKUP(1,($B129=Enviro_DistributionZone)*($C129=Enviro_TariffType)*("Total"=Enviro_Description),Enviro_FY_FixedFees)*1.1/365*100</f>
        <v>0</v>
      </c>
      <c r="L129" s="308" cm="1">
        <f t="array" ref="L129">_xlfn.XLOOKUP(1,($B129=Enviro_DistributionZone)*($C129=Enviro_TariffType)*("Total"=Enviro_Description),Enviro_FY_VarFees)*1.1/10</f>
        <v>0.88887583787972879</v>
      </c>
      <c r="N129" s="397"/>
    </row>
    <row r="130" spans="2:18" x14ac:dyDescent="0.3">
      <c r="B130" s="769" t="str">
        <f t="shared" si="70"/>
        <v>Energex</v>
      </c>
      <c r="C130" s="770" t="s">
        <v>14</v>
      </c>
      <c r="D130" s="57" t="s">
        <v>159</v>
      </c>
      <c r="E130" s="324">
        <f t="shared" si="71"/>
        <v>1900</v>
      </c>
      <c r="F130" s="325" cm="1">
        <f t="array" ref="F130">_xlfn.IFNA(_xlfn.XLOOKUP(1,($B130=Retail_DistributionZone)*($C130=Retail_TariffType)*("Total"=Retail_Description),Retail_FY_FixedFees),0)</f>
        <v>0</v>
      </c>
      <c r="G130" s="325" cm="1">
        <f t="array" ref="G130">_xlfn.IFNA(_xlfn.XLOOKUP(1,($B130=Retail_DistributionZone)*($C130=Retail_TariffType)*("Total"=Retail_Description),Retail_FY_VarFees),0)</f>
        <v>0</v>
      </c>
      <c r="H130" s="325">
        <f t="shared" si="72"/>
        <v>0</v>
      </c>
      <c r="I130" s="326">
        <f t="shared" si="73"/>
        <v>0</v>
      </c>
      <c r="J130" s="57"/>
      <c r="K130" s="327" cm="1">
        <f t="array" ref="K130">_xlfn.IFNA(_xlfn.XLOOKUP(1,($B130=Retail_DistributionZone)*($C130=Retail_TariffType)*("Total"=Retail_Description),Retail_FY_FixedFees),0)*1.1/365*100</f>
        <v>0</v>
      </c>
      <c r="L130" s="327" cm="1">
        <f t="array" ref="L130">_xlfn.IFNA(_xlfn.XLOOKUP(1,($B130=Retail_DistributionZone)*($C130=Retail_TariffType)*("Total"=Retail_Description),Retail_FY_VarFees),0)*1.1/10</f>
        <v>0</v>
      </c>
      <c r="N130" s="397"/>
    </row>
    <row r="131" spans="2:18" x14ac:dyDescent="0.3">
      <c r="B131" s="769" t="str">
        <f t="shared" si="70"/>
        <v>Energex</v>
      </c>
      <c r="C131" s="770" t="s">
        <v>14</v>
      </c>
      <c r="D131" s="32" t="s">
        <v>192</v>
      </c>
      <c r="E131" s="312">
        <f t="shared" si="71"/>
        <v>1900</v>
      </c>
      <c r="F131" s="309">
        <f>SUM(F127:F130)/(1-RetailMargin_RES)-SUM(F127:F130)</f>
        <v>0</v>
      </c>
      <c r="G131" s="309">
        <f>SUM(G127:G130)/(1-RetailMargin_RES)-SUM(G127:G130)</f>
        <v>8.9630589655832011</v>
      </c>
      <c r="H131" s="309">
        <f t="shared" si="72"/>
        <v>17.029812034608081</v>
      </c>
      <c r="I131" s="313">
        <f t="shared" si="73"/>
        <v>5.9999999999999991E-2</v>
      </c>
      <c r="K131" s="308">
        <f>SUM(K127:K130)/(1-RetailMargin_RES)-SUM(K127:K130)</f>
        <v>0</v>
      </c>
      <c r="L131" s="308">
        <f>SUM(L127:L130)/(1-RetailMargin_RES)-SUM(L127:L130)</f>
        <v>0.9859364862141522</v>
      </c>
      <c r="N131" s="397"/>
    </row>
    <row r="132" spans="2:18" ht="14.5" thickBot="1" x14ac:dyDescent="0.35">
      <c r="B132" s="769" t="str">
        <f t="shared" si="70"/>
        <v>Energex</v>
      </c>
      <c r="C132" s="770" t="s">
        <v>359</v>
      </c>
      <c r="D132" s="328" t="s">
        <v>55</v>
      </c>
      <c r="E132" s="324">
        <f t="shared" si="71"/>
        <v>1900</v>
      </c>
      <c r="F132" s="325"/>
      <c r="G132" s="325"/>
      <c r="H132" s="394">
        <f>SUM(H127:H131)</f>
        <v>283.83020057680142</v>
      </c>
      <c r="I132" s="57"/>
      <c r="J132" s="57"/>
      <c r="K132" s="438"/>
      <c r="L132" s="438"/>
      <c r="N132" s="397"/>
      <c r="O132" s="392"/>
    </row>
    <row r="133" spans="2:18" ht="14.5" thickTop="1" x14ac:dyDescent="0.3">
      <c r="B133" s="769" t="str">
        <f>B132</f>
        <v>Energex</v>
      </c>
      <c r="C133" s="770" t="s">
        <v>359</v>
      </c>
      <c r="D133" s="323" t="s">
        <v>79</v>
      </c>
      <c r="E133" s="393">
        <f t="shared" si="71"/>
        <v>1900</v>
      </c>
      <c r="F133" s="321"/>
      <c r="G133" s="321"/>
      <c r="H133" s="543">
        <f>H132*(1+GST)</f>
        <v>312.21322063448156</v>
      </c>
      <c r="I133" s="321"/>
      <c r="J133" s="321"/>
      <c r="K133" s="544">
        <f>SUM(K127:K131)</f>
        <v>0</v>
      </c>
      <c r="L133" s="544">
        <f>SUM(L127:L131)</f>
        <v>16.432274770235871</v>
      </c>
      <c r="M133" s="329"/>
      <c r="N133" s="397">
        <f>L133*E132/100</f>
        <v>312.21322063448156</v>
      </c>
      <c r="R133" s="309"/>
    </row>
    <row r="134" spans="2:18" x14ac:dyDescent="0.3">
      <c r="B134" s="769" t="str">
        <f t="shared" si="70"/>
        <v>Energex</v>
      </c>
      <c r="C134" s="770"/>
      <c r="N134" s="397"/>
    </row>
    <row r="135" spans="2:18" ht="20" x14ac:dyDescent="0.3">
      <c r="B135" s="771" t="s">
        <v>355</v>
      </c>
      <c r="C135" s="561"/>
      <c r="N135" s="397"/>
    </row>
    <row r="136" spans="2:18" x14ac:dyDescent="0.3">
      <c r="B136" s="769" t="s">
        <v>0</v>
      </c>
      <c r="C136" s="770" t="s">
        <v>15</v>
      </c>
      <c r="D136" s="32" t="s">
        <v>63</v>
      </c>
      <c r="E136" s="312" cm="1">
        <f t="array" ref="E136">IFERROR(_xlfn.XLOOKUP(1,($B136=DistributionZone)*("CL"=tariffType)*($E$4=Description),valuesFY),0)</f>
        <v>1900</v>
      </c>
      <c r="F136" s="309" cm="1">
        <f t="array" ref="F136">_xlfn.XLOOKUP(1,($B136=Wholesale_DistributionZone)*($C136=Wholesale_TariffType)*("Total"=Wholesale_Description),Wholesale_FY_FixedFees)</f>
        <v>0</v>
      </c>
      <c r="G136" s="309" cm="1">
        <f t="array" ref="G136">_xlfn.XLOOKUP(1,($B136=Wholesale_DistributionZone)*($C136=Wholesale_TariffType)*("Total"=Wholesale_Description),Wholesale_FY_VarFees)</f>
        <v>108.26389053938391</v>
      </c>
      <c r="H136" s="309">
        <f t="shared" ref="H136" si="74">F136+(G136*E136)/1000</f>
        <v>205.70139202482943</v>
      </c>
      <c r="I136" s="313">
        <f t="shared" ref="I136" si="75">H136/$H$61</f>
        <v>0.42167451836285841</v>
      </c>
      <c r="K136" s="308" cm="1">
        <f t="array" ref="K136">_xlfn.XLOOKUP(1,($B136=Wholesale_DistributionZone)*($C136=Wholesale_TariffType)*("Total"=Wholesale_Description),Wholesale_FY_FixedFees)*1.1/365*100</f>
        <v>0</v>
      </c>
      <c r="L136" s="308" cm="1">
        <f t="array" ref="L136">_xlfn.XLOOKUP(1,($B136=Wholesale_DistributionZone)*($C136=Wholesale_TariffType)*("Total"=Wholesale_Description),Wholesale_FY_VarFees)*1.1/10</f>
        <v>11.909027959332231</v>
      </c>
      <c r="N136" s="397"/>
    </row>
    <row r="137" spans="2:18" x14ac:dyDescent="0.3">
      <c r="B137" s="769" t="str">
        <f t="shared" ref="B137:B141" si="76">B136</f>
        <v>Energex</v>
      </c>
      <c r="C137" s="770" t="s">
        <v>15</v>
      </c>
      <c r="D137" s="57" t="s">
        <v>62</v>
      </c>
      <c r="E137" s="324">
        <f>E136</f>
        <v>1900</v>
      </c>
      <c r="F137" s="325" cm="1">
        <f t="array" ref="F137">_xlfn.XLOOKUP(1,($B137=Network_DistributionZone)*($C137=Network_TariffType)*("Total"=Network_Description),Network_FY_FixedFees)</f>
        <v>0</v>
      </c>
      <c r="G137" s="325" cm="1">
        <f t="array" ref="G137">_xlfn.XLOOKUP(1,($B137=Network_DistributionZone)*($C137=Network_TariffType)*("Total"=Network_Description),Network_FY_VarFees)</f>
        <v>26.75</v>
      </c>
      <c r="H137" s="325">
        <f>F137+(G137*E137)/1000</f>
        <v>50.825000000000003</v>
      </c>
      <c r="I137" s="326">
        <f>H137/$H$61</f>
        <v>0.10418795509757829</v>
      </c>
      <c r="J137" s="57"/>
      <c r="K137" s="327" cm="1">
        <f t="array" ref="K137">_xlfn.XLOOKUP(1,($B137=Network_DistributionZone)*($C137=Network_TariffType)*("Total"=Network_Description),Network_FY_FixedFees)*1.1/365*100</f>
        <v>0</v>
      </c>
      <c r="L137" s="327" cm="1">
        <f t="array" ref="L137">_xlfn.XLOOKUP(1,($B137=Network_DistributionZone)*($C137=Network_TariffType)*("Total"=Network_Description),Network_FY_VarFees)*1.1/10</f>
        <v>2.9424999999999999</v>
      </c>
      <c r="N137" s="397"/>
    </row>
    <row r="138" spans="2:18" x14ac:dyDescent="0.3">
      <c r="B138" s="769" t="str">
        <f t="shared" si="76"/>
        <v>Energex</v>
      </c>
      <c r="C138" s="770" t="s">
        <v>15</v>
      </c>
      <c r="D138" s="32" t="s">
        <v>64</v>
      </c>
      <c r="E138" s="312">
        <f t="shared" ref="E138:E142" si="77">E137</f>
        <v>1900</v>
      </c>
      <c r="F138" s="309" cm="1">
        <f t="array" ref="F138">_xlfn.XLOOKUP(1,($B138=Enviro_DistributionZone)*($C138=Enviro_TariffType)*("Total"=Enviro_Description),Enviro_FY_FixedFees)</f>
        <v>0</v>
      </c>
      <c r="G138" s="309" cm="1">
        <f t="array" ref="G138">_xlfn.XLOOKUP(1,($B138=Enviro_DistributionZone)*($C138=Enviro_TariffType)*("Total"=Enviro_Description),Enviro_FY_VarFees)</f>
        <v>8.0806894352702603</v>
      </c>
      <c r="H138" s="309">
        <f t="shared" ref="H138:H140" si="78">F138+(G138*E138)/1000</f>
        <v>15.353309927013495</v>
      </c>
      <c r="I138" s="313">
        <f t="shared" ref="I138:I140" si="79">H138/$H$141</f>
        <v>5.3082709844771696E-2</v>
      </c>
      <c r="K138" s="308" cm="1">
        <f t="array" ref="K138">_xlfn.XLOOKUP(1,($B138=Enviro_DistributionZone)*($C138=Enviro_TariffType)*("Total"=Enviro_Description),Enviro_FY_FixedFees)*1.1/365*100</f>
        <v>0</v>
      </c>
      <c r="L138" s="308" cm="1">
        <f t="array" ref="L138">_xlfn.XLOOKUP(1,($B138=Enviro_DistributionZone)*($C138=Enviro_TariffType)*("Total"=Enviro_Description),Enviro_FY_VarFees)*1.1/10</f>
        <v>0.88887583787972879</v>
      </c>
      <c r="N138" s="397"/>
    </row>
    <row r="139" spans="2:18" x14ac:dyDescent="0.3">
      <c r="B139" s="769" t="str">
        <f t="shared" si="76"/>
        <v>Energex</v>
      </c>
      <c r="C139" s="770" t="s">
        <v>15</v>
      </c>
      <c r="D139" s="57" t="s">
        <v>159</v>
      </c>
      <c r="E139" s="324">
        <f t="shared" si="77"/>
        <v>1900</v>
      </c>
      <c r="F139" s="325" cm="1">
        <f t="array" ref="F139">_xlfn.IFNA(_xlfn.XLOOKUP(1,($B139=Retail_DistributionZone)*($C139=Retail_TariffType)*("Total"=Retail_Description),Retail_FY_FixedFees),0)</f>
        <v>0</v>
      </c>
      <c r="G139" s="325" cm="1">
        <f t="array" ref="G139">_xlfn.IFNA(_xlfn.XLOOKUP(1,($B139=Retail_DistributionZone)*($C139=Retail_TariffType)*("Total"=Retail_Description),Retail_FY_VarFees),0)</f>
        <v>0</v>
      </c>
      <c r="H139" s="325">
        <f t="shared" si="78"/>
        <v>0</v>
      </c>
      <c r="I139" s="326">
        <f t="shared" si="79"/>
        <v>0</v>
      </c>
      <c r="J139" s="57"/>
      <c r="K139" s="327" cm="1">
        <f t="array" ref="K139">_xlfn.IFNA(_xlfn.XLOOKUP(1,($B139=Retail_DistributionZone)*($C139=Retail_TariffType)*("Total"=Retail_Description),Retail_FY_FixedFees),0)*1.1/365*100</f>
        <v>0</v>
      </c>
      <c r="L139" s="327" cm="1">
        <f t="array" ref="L139">_xlfn.IFNA(_xlfn.XLOOKUP(1,($B139=Retail_DistributionZone)*($C139=Retail_TariffType)*("Total"=Retail_Description),Retail_FY_VarFees),0)*1.1/10</f>
        <v>0</v>
      </c>
      <c r="N139" s="397"/>
    </row>
    <row r="140" spans="2:18" x14ac:dyDescent="0.3">
      <c r="B140" s="769" t="str">
        <f t="shared" si="76"/>
        <v>Energex</v>
      </c>
      <c r="C140" s="770" t="s">
        <v>15</v>
      </c>
      <c r="D140" s="32" t="s">
        <v>192</v>
      </c>
      <c r="E140" s="312">
        <f t="shared" si="77"/>
        <v>1900</v>
      </c>
      <c r="F140" s="309">
        <f>SUM(F136:F139)/(1-RetailMargin_RES)-SUM(F136:F139)</f>
        <v>0</v>
      </c>
      <c r="G140" s="309">
        <f>SUM(G136:G139)/(1-RetailMargin_RES)-SUM(G136:G139)</f>
        <v>9.1336965941268602</v>
      </c>
      <c r="H140" s="309">
        <f t="shared" si="78"/>
        <v>17.354023528841033</v>
      </c>
      <c r="I140" s="313">
        <f t="shared" si="79"/>
        <v>5.9999999999999991E-2</v>
      </c>
      <c r="K140" s="308">
        <f>SUM(K136:K139)/(1-RetailMargin_RES)-SUM(K136:K139)</f>
        <v>0</v>
      </c>
      <c r="L140" s="308">
        <f>SUM(L136:L139)/(1-RetailMargin_RES)-SUM(L136:L139)</f>
        <v>1.0047066253539558</v>
      </c>
      <c r="N140" s="397"/>
    </row>
    <row r="141" spans="2:18" ht="14.5" thickBot="1" x14ac:dyDescent="0.35">
      <c r="B141" s="769" t="str">
        <f t="shared" si="76"/>
        <v>Energex</v>
      </c>
      <c r="C141" s="770" t="s">
        <v>360</v>
      </c>
      <c r="D141" s="328" t="s">
        <v>55</v>
      </c>
      <c r="E141" s="324">
        <f t="shared" si="77"/>
        <v>1900</v>
      </c>
      <c r="F141" s="325"/>
      <c r="G141" s="325"/>
      <c r="H141" s="394">
        <f>SUM(H136:H140)</f>
        <v>289.23372548068392</v>
      </c>
      <c r="I141" s="57"/>
      <c r="J141" s="57"/>
      <c r="K141" s="438"/>
      <c r="L141" s="438"/>
      <c r="N141" s="397"/>
      <c r="O141" s="392"/>
    </row>
    <row r="142" spans="2:18" ht="14.5" thickTop="1" x14ac:dyDescent="0.3">
      <c r="B142" s="769" t="str">
        <f>B141</f>
        <v>Energex</v>
      </c>
      <c r="C142" s="770" t="s">
        <v>360</v>
      </c>
      <c r="D142" s="323" t="s">
        <v>79</v>
      </c>
      <c r="E142" s="393">
        <f t="shared" si="77"/>
        <v>1900</v>
      </c>
      <c r="F142" s="321"/>
      <c r="G142" s="321"/>
      <c r="H142" s="543">
        <f>H141*(1+GST)</f>
        <v>318.15709802875233</v>
      </c>
      <c r="I142" s="321"/>
      <c r="J142" s="321"/>
      <c r="K142" s="544">
        <f>SUM(K136:K140)</f>
        <v>0</v>
      </c>
      <c r="L142" s="544">
        <f>SUM(L136:L140)</f>
        <v>16.745110422565915</v>
      </c>
      <c r="M142" s="329"/>
      <c r="N142" s="397">
        <f>L142*E141/100</f>
        <v>318.15709802875239</v>
      </c>
      <c r="R142" s="309"/>
    </row>
    <row r="143" spans="2:18" x14ac:dyDescent="0.3">
      <c r="B143" s="740"/>
      <c r="C143" s="561"/>
      <c r="D143" s="37"/>
      <c r="H143" s="395"/>
      <c r="K143" s="309"/>
      <c r="L143" s="309"/>
      <c r="M143" s="329"/>
      <c r="N143" s="397"/>
    </row>
    <row r="144" spans="2:18" ht="20" x14ac:dyDescent="0.3">
      <c r="B144" s="771" t="s">
        <v>356</v>
      </c>
      <c r="N144" s="397"/>
    </row>
    <row r="145" spans="2:18" x14ac:dyDescent="0.3">
      <c r="B145" s="769" t="s">
        <v>0</v>
      </c>
      <c r="C145" s="770" t="s">
        <v>14</v>
      </c>
      <c r="D145" s="32" t="s">
        <v>63</v>
      </c>
      <c r="E145" s="312" cm="1">
        <f t="array" ref="E145">IFERROR(_xlfn.XLOOKUP(1,($B145=DistributionZone)*($C145=tariffType)*($E$4=Description),valuesFY),0)</f>
        <v>551</v>
      </c>
      <c r="F145" s="309" cm="1">
        <f t="array" ref="F145">_xlfn.XLOOKUP(1,($B145=Wholesale_DistributionZone)*($C145=Wholesale_TariffType)*("Total"=Wholesale_Description),Wholesale_FY_FixedFees)</f>
        <v>0</v>
      </c>
      <c r="G145" s="309" cm="1">
        <f t="array" ref="G145">_xlfn.XLOOKUP(1,($B145=Wholesale_DistributionZone)*($C145=Wholesale_TariffType)*("Total"=Wholesale_Description),Wholesale_FY_VarFees)</f>
        <v>105.59056769219991</v>
      </c>
      <c r="H145" s="309">
        <f t="shared" ref="H145" si="80">F145+(G145*E145)/1000</f>
        <v>58.180402798402149</v>
      </c>
      <c r="I145" s="313">
        <f t="shared" ref="I145" si="81">H145/$H$61</f>
        <v>0.11926605399545384</v>
      </c>
      <c r="K145" s="308" cm="1">
        <f t="array" ref="K145">_xlfn.XLOOKUP(1,($B145=Wholesale_DistributionZone)*($C145=Wholesale_TariffType)*("Total"=Wholesale_Description),Wholesale_FY_FixedFees)*1.1/365*100</f>
        <v>0</v>
      </c>
      <c r="L145" s="308" cm="1">
        <f t="array" ref="L145">_xlfn.XLOOKUP(1,($B145=Wholesale_DistributionZone)*($C145=Wholesale_TariffType)*("Total"=Wholesale_Description),Wholesale_FY_VarFees)*1.1/10</f>
        <v>11.614962446141991</v>
      </c>
      <c r="N145" s="397"/>
    </row>
    <row r="146" spans="2:18" x14ac:dyDescent="0.3">
      <c r="B146" s="769" t="str">
        <f t="shared" ref="B146:B158" si="82">B145</f>
        <v>Energex</v>
      </c>
      <c r="C146" s="770" t="s">
        <v>14</v>
      </c>
      <c r="D146" s="57" t="s">
        <v>62</v>
      </c>
      <c r="E146" s="324">
        <f>E145</f>
        <v>551</v>
      </c>
      <c r="F146" s="325" cm="1">
        <f t="array" ref="F146">_xlfn.XLOOKUP(1,($B146=Network_DistributionZone)*($C146=Network_TariffType)*("Total"=Network_Description),Network_FY_FixedFees)</f>
        <v>0</v>
      </c>
      <c r="G146" s="325" cm="1">
        <f t="array" ref="G146">_xlfn.XLOOKUP(1,($B146=Network_DistributionZone)*($C146=Network_TariffType)*("Total"=Network_Description),Network_FY_VarFees)</f>
        <v>26.75</v>
      </c>
      <c r="H146" s="325">
        <f>F146+(G146*E146)/1000</f>
        <v>14.73925</v>
      </c>
      <c r="I146" s="326">
        <f>H146/$H$61</f>
        <v>3.0214506978297705E-2</v>
      </c>
      <c r="J146" s="57"/>
      <c r="K146" s="327" cm="1">
        <f t="array" ref="K146">_xlfn.XLOOKUP(1,($B146=Network_DistributionZone)*($C146=Network_TariffType)*("Total"=Network_Description),Network_FY_FixedFees)*1.1/365*100</f>
        <v>0</v>
      </c>
      <c r="L146" s="327" cm="1">
        <f t="array" ref="L146">_xlfn.XLOOKUP(1,($B146=Network_DistributionZone)*($C146=Network_TariffType)*("Total"=Network_Description),Network_FY_VarFees)*1.1/10</f>
        <v>2.9424999999999999</v>
      </c>
      <c r="N146" s="397"/>
      <c r="O146" s="309"/>
    </row>
    <row r="147" spans="2:18" x14ac:dyDescent="0.3">
      <c r="B147" s="769" t="str">
        <f t="shared" si="82"/>
        <v>Energex</v>
      </c>
      <c r="C147" s="770" t="s">
        <v>14</v>
      </c>
      <c r="D147" s="32" t="s">
        <v>64</v>
      </c>
      <c r="E147" s="312">
        <f t="shared" ref="E147:E151" si="83">E146</f>
        <v>551</v>
      </c>
      <c r="F147" s="309" cm="1">
        <f t="array" ref="F147">_xlfn.XLOOKUP(1,($B147=Enviro_DistributionZone)*($C147=Enviro_TariffType)*("Total"=Enviro_Description),Enviro_FY_FixedFees)</f>
        <v>0</v>
      </c>
      <c r="G147" s="309" cm="1">
        <f t="array" ref="G147">_xlfn.XLOOKUP(1,($B147=Enviro_DistributionZone)*($C147=Enviro_TariffType)*("Total"=Enviro_Description),Enviro_FY_VarFees)</f>
        <v>8.0806894352702603</v>
      </c>
      <c r="H147" s="309">
        <f t="shared" ref="H147:H149" si="84">F147+(G147*E147)/1000</f>
        <v>4.4524598788339134</v>
      </c>
      <c r="I147" s="313">
        <f t="shared" ref="I147:I149" si="85">H147/$H$150</f>
        <v>5.4093292030983335E-2</v>
      </c>
      <c r="K147" s="308" cm="1">
        <f t="array" ref="K147">_xlfn.XLOOKUP(1,($B147=Enviro_DistributionZone)*($C147=Enviro_TariffType)*("Total"=Enviro_Description),Enviro_FY_FixedFees)*1.1/365*100</f>
        <v>0</v>
      </c>
      <c r="L147" s="308" cm="1">
        <f t="array" ref="L147">_xlfn.XLOOKUP(1,($B147=Enviro_DistributionZone)*($C147=Enviro_TariffType)*("Total"=Enviro_Description),Enviro_FY_VarFees)*1.1/10</f>
        <v>0.88887583787972879</v>
      </c>
      <c r="N147" s="397"/>
    </row>
    <row r="148" spans="2:18" x14ac:dyDescent="0.3">
      <c r="B148" s="769" t="str">
        <f t="shared" si="82"/>
        <v>Energex</v>
      </c>
      <c r="C148" s="770" t="s">
        <v>14</v>
      </c>
      <c r="D148" s="57" t="s">
        <v>159</v>
      </c>
      <c r="E148" s="324">
        <f t="shared" si="83"/>
        <v>551</v>
      </c>
      <c r="F148" s="325" cm="1">
        <f t="array" ref="F148">_xlfn.IFNA(_xlfn.XLOOKUP(1,($B148=Retail_DistributionZone)*($C148=Retail_TariffType)*("Total"=Retail_Description),Retail_FY_FixedFees),0)</f>
        <v>0</v>
      </c>
      <c r="G148" s="325" cm="1">
        <f t="array" ref="G148">_xlfn.IFNA(_xlfn.XLOOKUP(1,($B148=Retail_DistributionZone)*($C148=Retail_TariffType)*("Total"=Retail_Description),Retail_FY_VarFees),0)</f>
        <v>0</v>
      </c>
      <c r="H148" s="325">
        <f t="shared" si="84"/>
        <v>0</v>
      </c>
      <c r="I148" s="326">
        <f t="shared" si="85"/>
        <v>0</v>
      </c>
      <c r="J148" s="57"/>
      <c r="K148" s="327" cm="1">
        <f t="array" ref="K148">_xlfn.IFNA(_xlfn.XLOOKUP(1,($B148=Retail_DistributionZone)*($C148=Retail_TariffType)*("Total"=Retail_Description),Retail_FY_FixedFees),0)*1.1/365*100</f>
        <v>0</v>
      </c>
      <c r="L148" s="327" cm="1">
        <f t="array" ref="L148">_xlfn.IFNA(_xlfn.XLOOKUP(1,($B148=Retail_DistributionZone)*($C148=Retail_TariffType)*("Total"=Retail_Description),Retail_FY_VarFees),0)*1.1/10</f>
        <v>0</v>
      </c>
      <c r="N148" s="397"/>
    </row>
    <row r="149" spans="2:18" x14ac:dyDescent="0.3">
      <c r="B149" s="769" t="str">
        <f t="shared" si="82"/>
        <v>Energex</v>
      </c>
      <c r="C149" s="770" t="s">
        <v>14</v>
      </c>
      <c r="D149" s="32" t="s">
        <v>192</v>
      </c>
      <c r="E149" s="312">
        <f t="shared" si="83"/>
        <v>551</v>
      </c>
      <c r="F149" s="309">
        <f>SUM(F145:F148)/(1-RetailMargin_RES)-SUM(F145:F148)</f>
        <v>0</v>
      </c>
      <c r="G149" s="309">
        <f>SUM(G145:G148)/(1-RetailMargin_RES)-SUM(G145:G148)</f>
        <v>8.9630589655832011</v>
      </c>
      <c r="H149" s="309">
        <f t="shared" si="84"/>
        <v>4.9386454900363441</v>
      </c>
      <c r="I149" s="313">
        <f t="shared" si="85"/>
        <v>5.9999999999999991E-2</v>
      </c>
      <c r="K149" s="308">
        <f>SUM(K145:K148)/(1-RetailMargin_RES)-SUM(K145:K148)</f>
        <v>0</v>
      </c>
      <c r="L149" s="308">
        <f>SUM(L145:L148)/(1-RetailMargin_RES)-SUM(L145:L148)</f>
        <v>0.9859364862141522</v>
      </c>
      <c r="N149" s="397"/>
    </row>
    <row r="150" spans="2:18" ht="14.5" thickBot="1" x14ac:dyDescent="0.35">
      <c r="B150" s="769" t="str">
        <f t="shared" si="82"/>
        <v>Energex</v>
      </c>
      <c r="C150" s="770" t="s">
        <v>14</v>
      </c>
      <c r="D150" s="328" t="s">
        <v>55</v>
      </c>
      <c r="E150" s="324">
        <f t="shared" si="83"/>
        <v>551</v>
      </c>
      <c r="F150" s="325"/>
      <c r="G150" s="325"/>
      <c r="H150" s="394">
        <f>SUM(H145:H149)</f>
        <v>82.310758167272411</v>
      </c>
      <c r="I150" s="57"/>
      <c r="J150" s="57"/>
      <c r="K150" s="438"/>
      <c r="L150" s="438"/>
      <c r="N150" s="397"/>
      <c r="O150" s="392"/>
    </row>
    <row r="151" spans="2:18" ht="14.5" thickTop="1" x14ac:dyDescent="0.3">
      <c r="B151" s="769" t="str">
        <f>B150</f>
        <v>Energex</v>
      </c>
      <c r="C151" s="770" t="s">
        <v>14</v>
      </c>
      <c r="D151" s="323" t="s">
        <v>79</v>
      </c>
      <c r="E151" s="393">
        <f t="shared" si="83"/>
        <v>551</v>
      </c>
      <c r="F151" s="321"/>
      <c r="G151" s="321"/>
      <c r="H151" s="543">
        <f>H150*(1+GST)</f>
        <v>90.541833983999666</v>
      </c>
      <c r="I151" s="321"/>
      <c r="J151" s="321"/>
      <c r="K151" s="544">
        <f>SUM(K145:K149)</f>
        <v>0</v>
      </c>
      <c r="L151" s="544">
        <f>SUM(L145:L149)</f>
        <v>16.432274770235871</v>
      </c>
      <c r="M151" s="329"/>
      <c r="N151" s="397">
        <f>L151*E150/100</f>
        <v>90.541833983999652</v>
      </c>
      <c r="R151" s="309"/>
    </row>
    <row r="152" spans="2:18" x14ac:dyDescent="0.3">
      <c r="B152" s="769" t="str">
        <f t="shared" si="82"/>
        <v>Energex</v>
      </c>
      <c r="C152" s="770"/>
      <c r="N152" s="397"/>
    </row>
    <row r="153" spans="2:18" x14ac:dyDescent="0.3">
      <c r="B153" s="769" t="str">
        <f t="shared" si="82"/>
        <v>Energex</v>
      </c>
      <c r="C153" s="770" t="s">
        <v>15</v>
      </c>
      <c r="D153" s="32" t="s">
        <v>63</v>
      </c>
      <c r="E153" s="312" cm="1">
        <f t="array" ref="E153">IFERROR(_xlfn.XLOOKUP(1,($B153=DistributionZone)*($C153=tariffType)*($E$4=Description),valuesFY),0)</f>
        <v>1349</v>
      </c>
      <c r="F153" s="309" cm="1">
        <f t="array" ref="F153">_xlfn.XLOOKUP(1,($B153=Wholesale_DistributionZone)*($C153=Wholesale_TariffType)*("Total"=Wholesale_Description),Wholesale_FY_FixedFees)</f>
        <v>0</v>
      </c>
      <c r="G153" s="309" cm="1">
        <f t="array" ref="G153">_xlfn.XLOOKUP(1,($B153=Wholesale_DistributionZone)*($C153=Wholesale_TariffType)*("Total"=Wholesale_Description),Wholesale_FY_VarFees)</f>
        <v>108.26389053938391</v>
      </c>
      <c r="H153" s="309">
        <f t="shared" ref="H153" si="86">F153+(G153*E153)/1000</f>
        <v>146.04798833762888</v>
      </c>
      <c r="I153" s="313">
        <f t="shared" ref="I153" si="87">H153/$H$61</f>
        <v>0.29938890803762941</v>
      </c>
      <c r="K153" s="308" cm="1">
        <f t="array" ref="K153">_xlfn.XLOOKUP(1,($B153=Wholesale_DistributionZone)*($C153=Wholesale_TariffType)*("Total"=Wholesale_Description),Wholesale_FY_FixedFees)*1.1/365*100</f>
        <v>0</v>
      </c>
      <c r="L153" s="308" cm="1">
        <f t="array" ref="L153">_xlfn.XLOOKUP(1,($B153=Wholesale_DistributionZone)*($C153=Wholesale_TariffType)*("Total"=Wholesale_Description),Wholesale_FY_VarFees)*1.1/10</f>
        <v>11.909027959332231</v>
      </c>
      <c r="N153" s="397"/>
    </row>
    <row r="154" spans="2:18" x14ac:dyDescent="0.3">
      <c r="B154" s="769" t="str">
        <f t="shared" si="82"/>
        <v>Energex</v>
      </c>
      <c r="C154" s="770" t="s">
        <v>15</v>
      </c>
      <c r="D154" s="57" t="s">
        <v>62</v>
      </c>
      <c r="E154" s="324">
        <f>E153</f>
        <v>1349</v>
      </c>
      <c r="F154" s="325" cm="1">
        <f t="array" ref="F154">_xlfn.XLOOKUP(1,($B154=Network_DistributionZone)*($C154=Network_TariffType)*("Total"=Network_Description),Network_FY_FixedFees)</f>
        <v>0</v>
      </c>
      <c r="G154" s="325" cm="1">
        <f t="array" ref="G154">_xlfn.XLOOKUP(1,($B154=Network_DistributionZone)*($C154=Network_TariffType)*("Total"=Network_Description),Network_FY_VarFees)</f>
        <v>26.75</v>
      </c>
      <c r="H154" s="325">
        <f>F154+(G154*E154)/1000</f>
        <v>36.085749999999997</v>
      </c>
      <c r="I154" s="326">
        <f>H154/$H$61</f>
        <v>7.3973448119280583E-2</v>
      </c>
      <c r="J154" s="57"/>
      <c r="K154" s="327" cm="1">
        <f t="array" ref="K154">_xlfn.XLOOKUP(1,($B154=Network_DistributionZone)*($C154=Network_TariffType)*("Total"=Network_Description),Network_FY_FixedFees)*1.1/365*100</f>
        <v>0</v>
      </c>
      <c r="L154" s="327" cm="1">
        <f t="array" ref="L154">_xlfn.XLOOKUP(1,($B154=Network_DistributionZone)*($C154=Network_TariffType)*("Total"=Network_Description),Network_FY_VarFees)*1.1/10</f>
        <v>2.9424999999999999</v>
      </c>
      <c r="N154" s="397"/>
    </row>
    <row r="155" spans="2:18" x14ac:dyDescent="0.3">
      <c r="B155" s="769" t="str">
        <f t="shared" si="82"/>
        <v>Energex</v>
      </c>
      <c r="C155" s="770" t="s">
        <v>15</v>
      </c>
      <c r="D155" s="32" t="s">
        <v>64</v>
      </c>
      <c r="E155" s="312">
        <f t="shared" ref="E155:E159" si="88">E154</f>
        <v>1349</v>
      </c>
      <c r="F155" s="309" cm="1">
        <f t="array" ref="F155">_xlfn.XLOOKUP(1,($B155=Enviro_DistributionZone)*($C155=Enviro_TariffType)*("Total"=Enviro_Description),Enviro_FY_FixedFees)</f>
        <v>0</v>
      </c>
      <c r="G155" s="309" cm="1">
        <f t="array" ref="G155">_xlfn.XLOOKUP(1,($B155=Enviro_DistributionZone)*($C155=Enviro_TariffType)*("Total"=Enviro_Description),Enviro_FY_VarFees)</f>
        <v>8.0806894352702603</v>
      </c>
      <c r="H155" s="309">
        <f t="shared" ref="H155:H157" si="89">F155+(G155*E155)/1000</f>
        <v>10.900850048179581</v>
      </c>
      <c r="I155" s="313">
        <f t="shared" ref="I155:I157" si="90">H155/$H$158</f>
        <v>5.3082709844771689E-2</v>
      </c>
      <c r="K155" s="308" cm="1">
        <f t="array" ref="K155">_xlfn.XLOOKUP(1,($B155=Enviro_DistributionZone)*($C155=Enviro_TariffType)*("Total"=Enviro_Description),Enviro_FY_FixedFees)*1.1/365*100</f>
        <v>0</v>
      </c>
      <c r="L155" s="308" cm="1">
        <f t="array" ref="L155">_xlfn.XLOOKUP(1,($B155=Enviro_DistributionZone)*($C155=Enviro_TariffType)*("Total"=Enviro_Description),Enviro_FY_VarFees)*1.1/10</f>
        <v>0.88887583787972879</v>
      </c>
      <c r="N155" s="397"/>
    </row>
    <row r="156" spans="2:18" x14ac:dyDescent="0.3">
      <c r="B156" s="769" t="str">
        <f t="shared" si="82"/>
        <v>Energex</v>
      </c>
      <c r="C156" s="770" t="s">
        <v>15</v>
      </c>
      <c r="D156" s="57" t="s">
        <v>159</v>
      </c>
      <c r="E156" s="324">
        <f t="shared" si="88"/>
        <v>1349</v>
      </c>
      <c r="F156" s="325" cm="1">
        <f t="array" ref="F156">_xlfn.IFNA(_xlfn.XLOOKUP(1,($B156=Retail_DistributionZone)*($C156=Retail_TariffType)*("Total"=Retail_Description),Retail_FY_FixedFees),0)</f>
        <v>0</v>
      </c>
      <c r="G156" s="325" cm="1">
        <f t="array" ref="G156">_xlfn.IFNA(_xlfn.XLOOKUP(1,($B156=Retail_DistributionZone)*($C156=Retail_TariffType)*("Total"=Retail_Description),Retail_FY_VarFees),0)</f>
        <v>0</v>
      </c>
      <c r="H156" s="325">
        <f t="shared" si="89"/>
        <v>0</v>
      </c>
      <c r="I156" s="326">
        <f t="shared" si="90"/>
        <v>0</v>
      </c>
      <c r="J156" s="57"/>
      <c r="K156" s="327" cm="1">
        <f t="array" ref="K156">_xlfn.IFNA(_xlfn.XLOOKUP(1,($B156=Retail_DistributionZone)*($C156=Retail_TariffType)*("Total"=Retail_Description),Retail_FY_FixedFees),0)*1.1/365*100</f>
        <v>0</v>
      </c>
      <c r="L156" s="327" cm="1">
        <f t="array" ref="L156">_xlfn.IFNA(_xlfn.XLOOKUP(1,($B156=Retail_DistributionZone)*($C156=Retail_TariffType)*("Total"=Retail_Description),Retail_FY_VarFees),0)*1.1/10</f>
        <v>0</v>
      </c>
      <c r="N156" s="397"/>
    </row>
    <row r="157" spans="2:18" x14ac:dyDescent="0.3">
      <c r="B157" s="769" t="str">
        <f t="shared" si="82"/>
        <v>Energex</v>
      </c>
      <c r="C157" s="770" t="s">
        <v>15</v>
      </c>
      <c r="D157" s="32" t="s">
        <v>192</v>
      </c>
      <c r="E157" s="312">
        <f t="shared" si="88"/>
        <v>1349</v>
      </c>
      <c r="F157" s="309">
        <f>SUM(F153:F156)/(1-RetailMargin_RES)-SUM(F153:F156)</f>
        <v>0</v>
      </c>
      <c r="G157" s="309">
        <f>SUM(G153:G156)/(1-RetailMargin_RES)-SUM(G153:G156)</f>
        <v>9.1336965941268602</v>
      </c>
      <c r="H157" s="309">
        <f t="shared" si="89"/>
        <v>12.321356705477134</v>
      </c>
      <c r="I157" s="313">
        <f t="shared" si="90"/>
        <v>5.9999999999999991E-2</v>
      </c>
      <c r="K157" s="308">
        <f>SUM(K153:K156)/(1-RetailMargin_RES)-SUM(K153:K156)</f>
        <v>0</v>
      </c>
      <c r="L157" s="308">
        <f>SUM(L153:L156)/(1-RetailMargin_RES)-SUM(L153:L156)</f>
        <v>1.0047066253539558</v>
      </c>
      <c r="N157" s="397"/>
    </row>
    <row r="158" spans="2:18" ht="14.5" thickBot="1" x14ac:dyDescent="0.35">
      <c r="B158" s="769" t="str">
        <f t="shared" si="82"/>
        <v>Energex</v>
      </c>
      <c r="C158" s="770" t="s">
        <v>15</v>
      </c>
      <c r="D158" s="328" t="s">
        <v>55</v>
      </c>
      <c r="E158" s="324">
        <f t="shared" si="88"/>
        <v>1349</v>
      </c>
      <c r="F158" s="325"/>
      <c r="G158" s="325"/>
      <c r="H158" s="394">
        <f>SUM(H153:H157)</f>
        <v>205.35594509128561</v>
      </c>
      <c r="I158" s="57"/>
      <c r="J158" s="57"/>
      <c r="K158" s="438"/>
      <c r="L158" s="438"/>
      <c r="N158" s="397"/>
      <c r="O158" s="392"/>
    </row>
    <row r="159" spans="2:18" ht="14.5" thickTop="1" x14ac:dyDescent="0.3">
      <c r="B159" s="769" t="str">
        <f>B158</f>
        <v>Energex</v>
      </c>
      <c r="C159" s="770" t="s">
        <v>15</v>
      </c>
      <c r="D159" s="323" t="s">
        <v>79</v>
      </c>
      <c r="E159" s="393">
        <f t="shared" si="88"/>
        <v>1349</v>
      </c>
      <c r="F159" s="321"/>
      <c r="G159" s="321"/>
      <c r="H159" s="543">
        <f>H158*(1+GST)</f>
        <v>225.89153960041418</v>
      </c>
      <c r="I159" s="321"/>
      <c r="J159" s="321"/>
      <c r="K159" s="544">
        <f>SUM(K153:K157)</f>
        <v>0</v>
      </c>
      <c r="L159" s="544">
        <f>SUM(L153:L157)</f>
        <v>16.745110422565915</v>
      </c>
      <c r="M159" s="329"/>
      <c r="N159" s="397">
        <f>L159*E158/100</f>
        <v>225.89153960041418</v>
      </c>
      <c r="R159" s="309"/>
    </row>
    <row r="160" spans="2:18" x14ac:dyDescent="0.3">
      <c r="B160" s="740"/>
      <c r="C160" s="561"/>
      <c r="D160" s="37"/>
      <c r="H160" s="395"/>
      <c r="K160" s="309"/>
      <c r="L160" s="309"/>
      <c r="M160" s="329"/>
      <c r="N160" s="397"/>
    </row>
    <row r="161" spans="2:18" x14ac:dyDescent="0.3">
      <c r="B161" s="740"/>
      <c r="C161" s="561"/>
      <c r="D161" s="37" t="s">
        <v>357</v>
      </c>
      <c r="E161" s="310">
        <f>SUM(E153,E145)</f>
        <v>1900</v>
      </c>
      <c r="F161" s="32" t="s">
        <v>53</v>
      </c>
      <c r="H161" s="395"/>
      <c r="K161" s="309"/>
      <c r="L161" s="309"/>
      <c r="M161" s="329"/>
      <c r="N161" s="397"/>
    </row>
    <row r="162" spans="2:18" x14ac:dyDescent="0.3">
      <c r="D162" s="37" t="s">
        <v>358</v>
      </c>
      <c r="E162" s="396">
        <f>SUM(H151,H159)</f>
        <v>316.43337358441386</v>
      </c>
      <c r="N162" s="397"/>
    </row>
    <row r="163" spans="2:18" x14ac:dyDescent="0.3">
      <c r="F163" s="37" t="s">
        <v>322</v>
      </c>
      <c r="K163" s="37" t="s">
        <v>22</v>
      </c>
      <c r="N163" s="397"/>
    </row>
    <row r="164" spans="2:18" ht="20" x14ac:dyDescent="0.3">
      <c r="B164" s="768" t="s">
        <v>5</v>
      </c>
      <c r="C164" s="559"/>
      <c r="D164" s="317" t="s">
        <v>32</v>
      </c>
      <c r="E164" s="318" t="s">
        <v>24</v>
      </c>
      <c r="F164" s="316" t="s">
        <v>317</v>
      </c>
      <c r="G164" s="316" t="s">
        <v>318</v>
      </c>
      <c r="H164" s="316" t="s">
        <v>319</v>
      </c>
      <c r="I164" s="316" t="s">
        <v>23</v>
      </c>
      <c r="K164" s="314" t="s">
        <v>317</v>
      </c>
      <c r="L164" s="314" t="s">
        <v>318</v>
      </c>
      <c r="M164" s="357"/>
      <c r="N164" s="397"/>
    </row>
    <row r="165" spans="2:18" ht="14.5" customHeight="1" x14ac:dyDescent="0.3">
      <c r="B165" s="739"/>
      <c r="C165" s="560"/>
      <c r="D165" s="319"/>
      <c r="E165" s="319" t="s">
        <v>53</v>
      </c>
      <c r="F165" s="320" t="s">
        <v>338</v>
      </c>
      <c r="G165" s="320" t="s">
        <v>44</v>
      </c>
      <c r="H165" s="320" t="str">
        <f>$H$5</f>
        <v>$</v>
      </c>
      <c r="I165" s="320" t="s">
        <v>27</v>
      </c>
      <c r="K165" s="330" t="s">
        <v>266</v>
      </c>
      <c r="L165" s="330" t="s">
        <v>246</v>
      </c>
      <c r="N165" s="397"/>
    </row>
    <row r="166" spans="2:18" ht="20" x14ac:dyDescent="0.3">
      <c r="B166" s="771" t="s">
        <v>354</v>
      </c>
      <c r="D166" s="307"/>
      <c r="E166" s="311"/>
      <c r="N166" s="397"/>
    </row>
    <row r="167" spans="2:18" x14ac:dyDescent="0.3">
      <c r="B167" s="769" t="s">
        <v>5</v>
      </c>
      <c r="C167" s="770" t="s">
        <v>14</v>
      </c>
      <c r="D167" s="32" t="s">
        <v>63</v>
      </c>
      <c r="E167" s="312" cm="1">
        <f t="array" ref="E167">IFERROR(_xlfn.XLOOKUP(1,($B167=DistributionZone)*("CL"=tariffType)*($E$4=Description),valuesFY),0)</f>
        <v>1800</v>
      </c>
      <c r="F167" s="309" cm="1">
        <f t="array" ref="F167">_xlfn.XLOOKUP(1,($B167=Wholesale_DistributionZone)*($C167=Wholesale_TariffType)*("Total"=Wholesale_Description),Wholesale_FY_FixedFees)</f>
        <v>0</v>
      </c>
      <c r="G167" s="309" cm="1">
        <f t="array" ref="G167">_xlfn.XLOOKUP(1,($B167=Wholesale_DistributionZone)*($C167=Wholesale_TariffType)*("Total"=Wholesale_Description),Wholesale_FY_VarFees)</f>
        <v>97.815362677331535</v>
      </c>
      <c r="H167" s="309">
        <f t="shared" ref="H167" si="91">F167+(G167*E167)/1000</f>
        <v>176.06765281919675</v>
      </c>
      <c r="I167" s="313">
        <f t="shared" ref="I167" si="92">H167/$H$61</f>
        <v>0.36092727409862224</v>
      </c>
      <c r="K167" s="308" cm="1">
        <f t="array" ref="K167">_xlfn.XLOOKUP(1,($B167=Wholesale_DistributionZone)*($C167=Wholesale_TariffType)*("Total"=Wholesale_Description),Wholesale_FY_FixedFees)*1.1/365*100</f>
        <v>0</v>
      </c>
      <c r="L167" s="308" cm="1">
        <f t="array" ref="L167">_xlfn.XLOOKUP(1,($B167=Wholesale_DistributionZone)*($C167=Wholesale_TariffType)*("Total"=Wholesale_Description),Wholesale_FY_VarFees)*1.1/10</f>
        <v>10.759689894506469</v>
      </c>
      <c r="N167" s="397"/>
    </row>
    <row r="168" spans="2:18" x14ac:dyDescent="0.3">
      <c r="B168" s="769" t="str">
        <f t="shared" ref="B168:B172" si="93">B167</f>
        <v>SAPN</v>
      </c>
      <c r="C168" s="770" t="s">
        <v>14</v>
      </c>
      <c r="D168" s="57" t="s">
        <v>62</v>
      </c>
      <c r="E168" s="324">
        <f>E167</f>
        <v>1800</v>
      </c>
      <c r="F168" s="325" cm="1">
        <f t="array" ref="F168">_xlfn.XLOOKUP(1,($B168=Network_DistributionZone)*($C168=Network_TariffType)*("Total"=Network_Description),Network_FY_FixedFees)</f>
        <v>0</v>
      </c>
      <c r="G168" s="325" cm="1">
        <f t="array" ref="G168">_xlfn.XLOOKUP(1,($B168=Network_DistributionZone)*($C168=Network_TariffType)*("Total"=Network_Description),Network_FY_VarFees)</f>
        <v>81.699999999999989</v>
      </c>
      <c r="H168" s="325">
        <f>F168+(G168*E168)/1000</f>
        <v>147.05999999999997</v>
      </c>
      <c r="I168" s="326">
        <f>H168/$H$61</f>
        <v>0.30146346633841337</v>
      </c>
      <c r="J168" s="57"/>
      <c r="K168" s="327" cm="1">
        <f t="array" ref="K168">_xlfn.XLOOKUP(1,($B168=Network_DistributionZone)*($C168=Network_TariffType)*("Total"=Network_Description),Network_FY_FixedFees)*1.1/365*100</f>
        <v>0</v>
      </c>
      <c r="L168" s="327" cm="1">
        <f t="array" ref="L168">_xlfn.XLOOKUP(1,($B168=Network_DistributionZone)*($C168=Network_TariffType)*("Total"=Network_Description),Network_FY_VarFees)*1.1/10</f>
        <v>8.9869999999999983</v>
      </c>
      <c r="N168" s="397"/>
      <c r="O168" s="309"/>
    </row>
    <row r="169" spans="2:18" x14ac:dyDescent="0.3">
      <c r="B169" s="769" t="str">
        <f t="shared" si="93"/>
        <v>SAPN</v>
      </c>
      <c r="C169" s="770" t="s">
        <v>14</v>
      </c>
      <c r="D169" s="32" t="s">
        <v>64</v>
      </c>
      <c r="E169" s="312">
        <f t="shared" ref="E169:E173" si="94">E168</f>
        <v>1800</v>
      </c>
      <c r="F169" s="309" cm="1">
        <f t="array" ref="F169">_xlfn.XLOOKUP(1,($B169=Enviro_DistributionZone)*($C169=Enviro_TariffType)*("Total"=Enviro_Description),Enviro_FY_FixedFees)</f>
        <v>0</v>
      </c>
      <c r="G169" s="309" cm="1">
        <f t="array" ref="G169">_xlfn.XLOOKUP(1,($B169=Enviro_DistributionZone)*($C169=Enviro_TariffType)*("Total"=Enviro_Description),Enviro_FY_VarFees)</f>
        <v>10.618559453316657</v>
      </c>
      <c r="H169" s="309">
        <f t="shared" ref="H169:H171" si="95">F169+(G169*E169)/1000</f>
        <v>19.11340701596998</v>
      </c>
      <c r="I169" s="313">
        <f t="shared" ref="I169:I171" si="96">H169/$H$172</f>
        <v>5.2496923085923762E-2</v>
      </c>
      <c r="K169" s="308" cm="1">
        <f t="array" ref="K169">_xlfn.XLOOKUP(1,($B169=Enviro_DistributionZone)*($C169=Enviro_TariffType)*("Total"=Enviro_Description),Enviro_FY_FixedFees)*1.1/365*100</f>
        <v>0</v>
      </c>
      <c r="L169" s="308" cm="1">
        <f t="array" ref="L169">_xlfn.XLOOKUP(1,($B169=Enviro_DistributionZone)*($C169=Enviro_TariffType)*("Total"=Enviro_Description),Enviro_FY_VarFees)*1.1/10</f>
        <v>1.1680415398648323</v>
      </c>
      <c r="N169" s="397"/>
    </row>
    <row r="170" spans="2:18" x14ac:dyDescent="0.3">
      <c r="B170" s="769" t="str">
        <f t="shared" si="93"/>
        <v>SAPN</v>
      </c>
      <c r="C170" s="770" t="s">
        <v>14</v>
      </c>
      <c r="D170" s="57" t="s">
        <v>159</v>
      </c>
      <c r="E170" s="324">
        <f t="shared" si="94"/>
        <v>1800</v>
      </c>
      <c r="F170" s="325" cm="1">
        <f t="array" ref="F170">_xlfn.IFNA(_xlfn.XLOOKUP(1,($B170=Retail_DistributionZone)*($C170=Retail_TariffType)*("Total"=Retail_Description),Retail_FY_FixedFees),0)</f>
        <v>0</v>
      </c>
      <c r="G170" s="325" cm="1">
        <f t="array" ref="G170">_xlfn.IFNA(_xlfn.XLOOKUP(1,($B170=Retail_DistributionZone)*($C170=Retail_TariffType)*("Total"=Retail_Description),Retail_FY_VarFees),0)</f>
        <v>0</v>
      </c>
      <c r="H170" s="325">
        <f t="shared" si="95"/>
        <v>0</v>
      </c>
      <c r="I170" s="326">
        <f t="shared" si="96"/>
        <v>0</v>
      </c>
      <c r="J170" s="57"/>
      <c r="K170" s="327" cm="1">
        <f t="array" ref="K170">_xlfn.IFNA(_xlfn.XLOOKUP(1,($B170=Retail_DistributionZone)*($C170=Retail_TariffType)*("Total"=Retail_Description),Retail_FY_FixedFees),0)*1.1/365*100</f>
        <v>0</v>
      </c>
      <c r="L170" s="327" cm="1">
        <f t="array" ref="L170">_xlfn.IFNA(_xlfn.XLOOKUP(1,($B170=Retail_DistributionZone)*($C170=Retail_TariffType)*("Total"=Retail_Description),Retail_FY_VarFees),0)*1.1/10</f>
        <v>0</v>
      </c>
      <c r="N170" s="397"/>
    </row>
    <row r="171" spans="2:18" x14ac:dyDescent="0.3">
      <c r="B171" s="769" t="str">
        <f t="shared" si="93"/>
        <v>SAPN</v>
      </c>
      <c r="C171" s="770" t="s">
        <v>14</v>
      </c>
      <c r="D171" s="32" t="s">
        <v>192</v>
      </c>
      <c r="E171" s="312">
        <f t="shared" si="94"/>
        <v>1800</v>
      </c>
      <c r="F171" s="309">
        <f>SUM(F167:F170)/(1-RetailMargin_RES)-SUM(F167:F170)</f>
        <v>0</v>
      </c>
      <c r="G171" s="309">
        <f>SUM(G167:G170)/(1-RetailMargin_RES)-SUM(G167:G170)</f>
        <v>12.136207795573313</v>
      </c>
      <c r="H171" s="309">
        <f t="shared" si="95"/>
        <v>21.845174032031963</v>
      </c>
      <c r="I171" s="313">
        <f t="shared" si="96"/>
        <v>6.0000000000000123E-2</v>
      </c>
      <c r="K171" s="308">
        <f>SUM(K167:K170)/(1-RetailMargin_RES)-SUM(K167:K170)</f>
        <v>0</v>
      </c>
      <c r="L171" s="308">
        <f>SUM(L167:L170)/(1-RetailMargin_RES)-SUM(L167:L170)</f>
        <v>1.3349828575130616</v>
      </c>
      <c r="N171" s="397"/>
    </row>
    <row r="172" spans="2:18" ht="14.5" thickBot="1" x14ac:dyDescent="0.35">
      <c r="B172" s="769" t="str">
        <f t="shared" si="93"/>
        <v>SAPN</v>
      </c>
      <c r="C172" s="770" t="s">
        <v>359</v>
      </c>
      <c r="D172" s="328" t="s">
        <v>55</v>
      </c>
      <c r="E172" s="324">
        <f t="shared" si="94"/>
        <v>1800</v>
      </c>
      <c r="F172" s="325"/>
      <c r="G172" s="325"/>
      <c r="H172" s="394">
        <f>SUM(H167:H171)</f>
        <v>364.08623386719864</v>
      </c>
      <c r="I172" s="57"/>
      <c r="J172" s="57"/>
      <c r="K172" s="438"/>
      <c r="L172" s="438"/>
      <c r="N172" s="397"/>
      <c r="O172" s="392"/>
    </row>
    <row r="173" spans="2:18" ht="14.5" thickTop="1" x14ac:dyDescent="0.3">
      <c r="B173" s="769" t="str">
        <f>B172</f>
        <v>SAPN</v>
      </c>
      <c r="C173" s="770" t="s">
        <v>14</v>
      </c>
      <c r="D173" s="323" t="s">
        <v>79</v>
      </c>
      <c r="E173" s="393">
        <f t="shared" si="94"/>
        <v>1800</v>
      </c>
      <c r="F173" s="321"/>
      <c r="G173" s="321"/>
      <c r="H173" s="543">
        <f>H172*(1+GST)</f>
        <v>400.49485725391855</v>
      </c>
      <c r="I173" s="321"/>
      <c r="J173" s="321"/>
      <c r="K173" s="544">
        <f>SUM(K167:K171)</f>
        <v>0</v>
      </c>
      <c r="L173" s="544">
        <f>SUM(L167:L171)</f>
        <v>22.249714291884359</v>
      </c>
      <c r="M173" s="329"/>
      <c r="N173" s="397">
        <f>L173*E172/100</f>
        <v>400.49485725391844</v>
      </c>
      <c r="R173" s="309"/>
    </row>
    <row r="174" spans="2:18" x14ac:dyDescent="0.3">
      <c r="C174" s="561"/>
      <c r="M174" s="32"/>
    </row>
    <row r="175" spans="2:18" x14ac:dyDescent="0.3">
      <c r="F175" s="37" t="s">
        <v>322</v>
      </c>
      <c r="G175" s="520" t="s">
        <v>307</v>
      </c>
      <c r="H175" s="520" t="s">
        <v>308</v>
      </c>
      <c r="I175" s="520" t="s">
        <v>309</v>
      </c>
      <c r="M175" s="37" t="s">
        <v>22</v>
      </c>
      <c r="N175" s="397" t="s">
        <v>307</v>
      </c>
      <c r="O175" s="397" t="s">
        <v>308</v>
      </c>
      <c r="P175" s="397" t="s">
        <v>309</v>
      </c>
    </row>
    <row r="176" spans="2:18" ht="20" x14ac:dyDescent="0.3">
      <c r="B176" s="768" t="s">
        <v>5</v>
      </c>
      <c r="C176" s="559"/>
      <c r="D176" s="317" t="s">
        <v>32</v>
      </c>
      <c r="E176" s="318" t="s">
        <v>24</v>
      </c>
      <c r="F176" s="316" t="s">
        <v>317</v>
      </c>
      <c r="G176" s="893" t="s">
        <v>318</v>
      </c>
      <c r="H176" s="893"/>
      <c r="I176" s="893"/>
      <c r="J176" s="316" t="s">
        <v>319</v>
      </c>
      <c r="K176" s="316" t="s">
        <v>23</v>
      </c>
      <c r="M176" s="314" t="s">
        <v>317</v>
      </c>
      <c r="N176" s="892" t="s">
        <v>318</v>
      </c>
      <c r="O176" s="892"/>
      <c r="P176" s="892"/>
    </row>
    <row r="177" spans="1:20" ht="14.5" customHeight="1" x14ac:dyDescent="0.3">
      <c r="B177" s="739"/>
      <c r="C177" s="560"/>
      <c r="D177" s="319"/>
      <c r="E177" s="319" t="s">
        <v>53</v>
      </c>
      <c r="F177" s="320" t="s">
        <v>338</v>
      </c>
      <c r="G177" s="320" t="s">
        <v>44</v>
      </c>
      <c r="H177" s="320" t="s">
        <v>44</v>
      </c>
      <c r="I177" s="320" t="s">
        <v>44</v>
      </c>
      <c r="J177" s="320" t="str">
        <f>$H$5</f>
        <v>$</v>
      </c>
      <c r="K177" s="320" t="s">
        <v>27</v>
      </c>
      <c r="M177" s="330" t="s">
        <v>266</v>
      </c>
      <c r="N177" s="330" t="s">
        <v>246</v>
      </c>
      <c r="O177" s="330" t="s">
        <v>246</v>
      </c>
      <c r="P177" s="330" t="s">
        <v>246</v>
      </c>
    </row>
    <row r="178" spans="1:20" ht="20" x14ac:dyDescent="0.3">
      <c r="B178" s="771" t="s">
        <v>370</v>
      </c>
      <c r="D178" s="307"/>
      <c r="E178" s="311"/>
      <c r="G178" s="810" t="s">
        <v>264</v>
      </c>
      <c r="H178" s="810" t="s">
        <v>263</v>
      </c>
      <c r="I178" s="810" t="s">
        <v>379</v>
      </c>
      <c r="J178" s="811"/>
      <c r="K178" s="811"/>
      <c r="L178" s="811"/>
      <c r="M178" s="811"/>
      <c r="N178" s="810" t="s">
        <v>264</v>
      </c>
      <c r="O178" s="810" t="s">
        <v>263</v>
      </c>
      <c r="P178" s="810" t="s">
        <v>379</v>
      </c>
    </row>
    <row r="179" spans="1:20" ht="14.5" x14ac:dyDescent="0.3">
      <c r="B179" s="769" t="s">
        <v>5</v>
      </c>
      <c r="C179" s="2" t="s">
        <v>371</v>
      </c>
      <c r="D179" s="32" t="s">
        <v>63</v>
      </c>
      <c r="E179" s="312" cm="1">
        <f t="array" ref="E179">IFERROR(_xlfn.XLOOKUP(1,($B179=DistributionZone)*("CL"=tariffType)*($E$4=Description),valuesFY),0)</f>
        <v>1800</v>
      </c>
      <c r="F179" s="309" cm="1">
        <f t="array" ref="F179">_xlfn.XLOOKUP(1,($B179=Wholesale_DistributionZone)*($C179=Wholesale_TariffType)*("Total"=Wholesale_Description),Wholesale_FY_FixedFees)*(1+GST)</f>
        <v>0</v>
      </c>
      <c r="G179" s="309" cm="1">
        <f t="array" ref="G179">_xlfn.XLOOKUP(1,($B179=Wholesale_DistributionZone)*($G175=Wholesale_TariffType)*("Total"=Wholesale_Description),Wholesale_FY_VarFees)*(1+GST)</f>
        <v>141.08503040051983</v>
      </c>
      <c r="H179" s="309" cm="1">
        <f t="array" ref="H179">_xlfn.XLOOKUP(1,($B179=Wholesale_DistributionZone)*($H175=Wholesale_TariffType)*("Total"=Wholesale_Description),Wholesale_FY_VarFees)*(1+GST)</f>
        <v>149.96449141609463</v>
      </c>
      <c r="I179" s="309" cm="1">
        <f t="array" ref="I179">_xlfn.XLOOKUP(1,($B179=Wholesale_DistributionZone)*($I175=Wholesale_TariffType)*("Total"=Wholesale_Description),Wholesale_FY_VarFees)*(1+GST)</f>
        <v>60.576362150613377</v>
      </c>
      <c r="J179" s="309"/>
      <c r="K179" s="313"/>
      <c r="M179" s="308" cm="1">
        <f t="array" ref="M179">_xlfn.XLOOKUP(1,($B179=Wholesale_DistributionZone)*($C179=Wholesale_TariffType)*("Total"=Wholesale_Description),Wholesale_FY_FixedFees)*(1+GST)/365*100</f>
        <v>0</v>
      </c>
      <c r="N179" s="308" cm="1">
        <f t="array" ref="N179">_xlfn.XLOOKUP(1,($B179=Wholesale_DistributionZone)*(N$175=Wholesale_TariffType)*("Total"=Wholesale_Description),Wholesale_FY_VarFees)*(1+GST)/10</f>
        <v>14.108503040051982</v>
      </c>
      <c r="O179" s="308" cm="1">
        <f t="array" ref="O179">_xlfn.XLOOKUP(1,($B179=Wholesale_DistributionZone)*(O$175=Wholesale_TariffType)*("Total"=Wholesale_Description),Wholesale_FY_VarFees)*(1+GST)/10</f>
        <v>14.996449141609464</v>
      </c>
      <c r="P179" s="308" cm="1">
        <f t="array" ref="P179">_xlfn.XLOOKUP(1,($B179=Wholesale_DistributionZone)*(P$175=Wholesale_TariffType)*("Total"=Wholesale_Description),Wholesale_FY_VarFees)*(1+GST)/10</f>
        <v>6.0576362150613381</v>
      </c>
    </row>
    <row r="180" spans="1:20" x14ac:dyDescent="0.3">
      <c r="B180" s="769" t="str">
        <f t="shared" ref="B180:B184" si="97">B179</f>
        <v>SAPN</v>
      </c>
      <c r="C180" s="776" t="s">
        <v>371</v>
      </c>
      <c r="D180" s="57" t="s">
        <v>62</v>
      </c>
      <c r="E180" s="324">
        <f>E179</f>
        <v>1800</v>
      </c>
      <c r="F180" s="325" cm="1">
        <f t="array" ref="F180">_xlfn.XLOOKUP(1,($B180=Network_DistributionZone)*($C180=Network_TariffType)*("Total"=Network_Description),Network_FY_FixedFees)*(1+GST)</f>
        <v>0</v>
      </c>
      <c r="G180" s="325" cm="1">
        <f t="array" ref="G180">_xlfn.XLOOKUP(1,($B180=Network_DistributionZone)*($G175=Network_TariffType)*("NUOS"=Network_Description),Network_FY_VarFees)*(1+GST)</f>
        <v>117.37000000000002</v>
      </c>
      <c r="H180" s="325" cm="1">
        <f t="array" ref="H180">_xlfn.XLOOKUP(1,($B180=Network_DistributionZone)*($H175=Network_TariffType)*("NUOS"=Network_Description),Network_FY_VarFees)*(1+GST)</f>
        <v>234.63</v>
      </c>
      <c r="I180" s="325" cm="1">
        <f t="array" ref="I180">_xlfn.XLOOKUP(1,($B180=Network_DistributionZone)*($I175=Network_TariffType)*("NUOS"=Network_Description),Network_FY_VarFees)*(1+GST)</f>
        <v>58.85</v>
      </c>
      <c r="J180" s="325"/>
      <c r="K180" s="326"/>
      <c r="L180" s="57"/>
      <c r="M180" s="327" cm="1">
        <f t="array" ref="M180">_xlfn.XLOOKUP(1,($B180=Network_DistributionZone)*($C180=Network_TariffType)*("Total"=Network_Description),Network_FY_FixedFees)*(1+GST)/365*100</f>
        <v>0</v>
      </c>
      <c r="N180" s="327" cm="1">
        <f t="array" ref="N180">_xlfn.XLOOKUP(1,($B180=Network_DistributionZone)*(N$175=Network_TariffType)*("NUOS"=Network_Description),Network_FY_VarFees)*(1+GST)/10</f>
        <v>11.737000000000002</v>
      </c>
      <c r="O180" s="327" cm="1">
        <f t="array" ref="O180">_xlfn.XLOOKUP(1,($B180=Network_DistributionZone)*(O$175=Network_TariffType)*("NUOS"=Network_Description),Network_FY_VarFees)*(1+GST)/10</f>
        <v>23.463000000000001</v>
      </c>
      <c r="P180" s="327" cm="1">
        <f t="array" ref="P180">_xlfn.XLOOKUP(1,($B180=Network_DistributionZone)*(P$175=Network_TariffType)*("NUOS"=Network_Description),Network_FY_VarFees)*(1+GST)/10</f>
        <v>5.8849999999999998</v>
      </c>
      <c r="Q180" s="309"/>
    </row>
    <row r="181" spans="1:20" x14ac:dyDescent="0.3">
      <c r="B181" s="769" t="str">
        <f t="shared" si="97"/>
        <v>SAPN</v>
      </c>
      <c r="C181" s="776" t="s">
        <v>371</v>
      </c>
      <c r="D181" s="32" t="s">
        <v>64</v>
      </c>
      <c r="E181" s="312">
        <f t="shared" ref="E181:E185" si="98">E180</f>
        <v>1800</v>
      </c>
      <c r="F181" s="309" cm="1">
        <f t="array" ref="F181">_xlfn.XLOOKUP(1,($B181=Enviro_DistributionZone)*($C181=Enviro_TariffType)*("Total"=Enviro_Description),Enviro_FY_FixedFees)*(1+GST)</f>
        <v>0</v>
      </c>
      <c r="G181" s="309" cm="1">
        <f t="array" ref="G181">_xlfn.XLOOKUP(1,($B181=Enviro_DistributionZone)*($G175=Enviro_TariffType)*("Total"=Enviro_Description),Enviro_FY_VarFees)*(1+GST)</f>
        <v>11.680415398648323</v>
      </c>
      <c r="H181" s="309" cm="1">
        <f t="array" ref="H181">_xlfn.XLOOKUP(1,($B181=Enviro_DistributionZone)*($H175=Enviro_TariffType)*("Total"=Enviro_Description),Enviro_FY_VarFees)*(1+GST)</f>
        <v>11.680415398648323</v>
      </c>
      <c r="I181" s="309" cm="1">
        <f t="array" ref="I181">_xlfn.XLOOKUP(1,($B181=Enviro_DistributionZone)*($I175=Enviro_TariffType)*("Total"=Enviro_Description),Enviro_FY_VarFees)*(1+GST)</f>
        <v>11.680415398648323</v>
      </c>
      <c r="J181" s="309"/>
      <c r="K181" s="313"/>
      <c r="M181" s="308" cm="1">
        <f t="array" ref="M181">_xlfn.XLOOKUP(1,($B181=Enviro_DistributionZone)*($C181=Enviro_TariffType)*("Total"=Enviro_Description),Enviro_FY_FixedFees)*(1+GST)/365*100</f>
        <v>0</v>
      </c>
      <c r="N181" s="308" cm="1">
        <f t="array" ref="N181">_xlfn.XLOOKUP(1,($B181=Enviro_DistributionZone)*($N175=Enviro_TariffType)*("Total"=Enviro_Description),Enviro_FY_VarFees)*(1+GST)/10</f>
        <v>1.1680415398648323</v>
      </c>
      <c r="O181" s="308" cm="1">
        <f t="array" ref="O181">_xlfn.XLOOKUP(1,($B181=Enviro_DistributionZone)*($O175=Enviro_TariffType)*("Total"=Enviro_Description),Enviro_FY_VarFees)*(1+GST)/10</f>
        <v>1.1680415398648323</v>
      </c>
      <c r="P181" s="308" cm="1">
        <f t="array" ref="P181">_xlfn.XLOOKUP(1,($B181=Enviro_DistributionZone)*($P175=Enviro_TariffType)*("Total"=Enviro_Description),Enviro_FY_VarFees)*(1+GST)/10</f>
        <v>1.1680415398648323</v>
      </c>
    </row>
    <row r="182" spans="1:20" x14ac:dyDescent="0.3">
      <c r="B182" s="769" t="str">
        <f t="shared" si="97"/>
        <v>SAPN</v>
      </c>
      <c r="C182" s="776" t="s">
        <v>371</v>
      </c>
      <c r="D182" s="57" t="s">
        <v>159</v>
      </c>
      <c r="E182" s="324">
        <f t="shared" si="98"/>
        <v>1800</v>
      </c>
      <c r="F182" s="325" cm="1">
        <f t="array" ref="F182">_xlfn.IFNA(_xlfn.XLOOKUP(1,($B182=Retail_DistributionZone)*($C182=Retail_TariffType)*("Total"=Retail_Description),Retail_FY_FixedFees),0)*(1+GST)</f>
        <v>0</v>
      </c>
      <c r="G182" s="325" cm="1">
        <f t="array" ref="G182">_xlfn.IFNA(_xlfn.XLOOKUP(1,($B182=Retail_DistributionZone)*($C182=Retail_TariffType)*("Total"=Retail_Description),Retail_FY_VarFees),0)*(1+GST)</f>
        <v>0</v>
      </c>
      <c r="H182" s="325" cm="1">
        <f t="array" ref="H182">_xlfn.IFNA(_xlfn.XLOOKUP(1,($B182=Retail_DistributionZone)*($C182=Retail_TariffType)*("Total"=Retail_Description),Retail_FY_VarFees),0)*(1+GST)</f>
        <v>0</v>
      </c>
      <c r="I182" s="325" cm="1">
        <f t="array" ref="I182">_xlfn.IFNA(_xlfn.XLOOKUP(1,($B182=Retail_DistributionZone)*($C182=Retail_TariffType)*("Total"=Retail_Description),Retail_FY_VarFees),0)*(1+GST)</f>
        <v>0</v>
      </c>
      <c r="J182" s="325"/>
      <c r="K182" s="326"/>
      <c r="L182" s="57"/>
      <c r="M182" s="327" cm="1">
        <f t="array" ref="M182">_xlfn.IFNA(_xlfn.XLOOKUP(1,($B182=Retail_DistributionZone)*($C182=Retail_TariffType)*("Total"=Retail_Description),Retail_FY_FixedFees),0)*(1+GST)/365*100</f>
        <v>0</v>
      </c>
      <c r="N182" s="327" cm="1">
        <f t="array" ref="N182">_xlfn.IFNA(_xlfn.XLOOKUP(1,($B182=Retail_DistributionZone)*($C182=Retail_TariffType)*("Total"=Retail_Description),Retail_FY_VarFees),0)*(1+GST)/10</f>
        <v>0</v>
      </c>
      <c r="O182" s="327" cm="1">
        <f t="array" ref="O182">_xlfn.IFNA(_xlfn.XLOOKUP(1,($B182=Retail_DistributionZone)*($C182=Retail_TariffType)*("Total"=Retail_Description),Retail_FY_VarFees),0)*(1+GST)/10</f>
        <v>0</v>
      </c>
      <c r="P182" s="327" cm="1">
        <f t="array" ref="P182">_xlfn.IFNA(_xlfn.XLOOKUP(1,($B182=Retail_DistributionZone)*($C182=Retail_TariffType)*("Total"=Retail_Description),Retail_FY_VarFees),0)*(1+GST)/10</f>
        <v>0</v>
      </c>
    </row>
    <row r="183" spans="1:20" x14ac:dyDescent="0.3">
      <c r="B183" s="769" t="str">
        <f t="shared" si="97"/>
        <v>SAPN</v>
      </c>
      <c r="C183" s="776" t="s">
        <v>371</v>
      </c>
      <c r="D183" s="32" t="s">
        <v>192</v>
      </c>
      <c r="E183" s="312">
        <f t="shared" si="98"/>
        <v>1800</v>
      </c>
      <c r="F183" s="309">
        <f>SUM(F179:F182)/(1-RetailMargin_RES)-SUM(F179:F182)</f>
        <v>0</v>
      </c>
      <c r="G183" s="309">
        <f>SUM(G179:G182)/(1-RetailMargin_RES)-SUM(G179:G182)</f>
        <v>17.242688029734154</v>
      </c>
      <c r="H183" s="309">
        <f>SUM(H179:H182)/(1-RetailMargin_RES)-SUM(H179:H182)</f>
        <v>25.294142988175111</v>
      </c>
      <c r="I183" s="309">
        <f>SUM(I179:I182)/(1-RetailMargin_RES)-SUM(I179:I182)</f>
        <v>8.3685177159103432</v>
      </c>
      <c r="J183" s="309"/>
      <c r="K183" s="313"/>
      <c r="M183" s="308">
        <f>SUM(M179:M182)/(1-RetailMargin_RES)-SUM(M179:M182)</f>
        <v>0</v>
      </c>
      <c r="N183" s="308">
        <f>SUM(N179:N182)/(1-RetailMargin_RES)-SUM(N179:N182)</f>
        <v>1.7242688029734161</v>
      </c>
      <c r="O183" s="308">
        <f>SUM(O179:O182)/(1-RetailMargin_RES)-SUM(O179:O182)</f>
        <v>2.5294142988175139</v>
      </c>
      <c r="P183" s="308">
        <f>SUM(P179:P182)/(1-RetailMargin_RES)-SUM(P179:P182)</f>
        <v>0.83685177159103219</v>
      </c>
    </row>
    <row r="184" spans="1:20" ht="14.5" thickBot="1" x14ac:dyDescent="0.35">
      <c r="B184" s="769" t="str">
        <f t="shared" si="97"/>
        <v>SAPN</v>
      </c>
      <c r="C184" s="776" t="s">
        <v>371</v>
      </c>
      <c r="D184" s="328" t="s">
        <v>55</v>
      </c>
      <c r="E184" s="324">
        <f t="shared" si="98"/>
        <v>1800</v>
      </c>
      <c r="F184" s="325"/>
      <c r="G184" s="325"/>
      <c r="H184" s="325"/>
      <c r="I184" s="325"/>
      <c r="J184" s="394"/>
      <c r="K184" s="57"/>
      <c r="L184" s="57"/>
      <c r="M184" s="438"/>
      <c r="N184" s="438"/>
      <c r="O184" s="438"/>
      <c r="P184" s="438"/>
      <c r="Q184" s="392"/>
    </row>
    <row r="185" spans="1:20" ht="14.5" thickTop="1" x14ac:dyDescent="0.3">
      <c r="B185" s="769" t="str">
        <f>B184</f>
        <v>SAPN</v>
      </c>
      <c r="C185" s="776" t="s">
        <v>371</v>
      </c>
      <c r="D185" s="323" t="s">
        <v>79</v>
      </c>
      <c r="E185" s="393">
        <f t="shared" si="98"/>
        <v>1800</v>
      </c>
      <c r="F185" s="322">
        <f>SUM(F179:F183)*0.365</f>
        <v>0</v>
      </c>
      <c r="G185" s="322">
        <f>SUM(G179:G183)*G187/1000</f>
        <v>302.11421871518843</v>
      </c>
      <c r="H185" s="322">
        <f>SUM(H179:H183)*H187/1000</f>
        <v>0</v>
      </c>
      <c r="I185" s="322">
        <f>SUM(I179:I183)*I187/1000</f>
        <v>104.42826621642777</v>
      </c>
      <c r="J185" s="543">
        <f>SUM(F185:I185)</f>
        <v>406.54248493161617</v>
      </c>
      <c r="K185" s="321"/>
      <c r="L185" s="321"/>
      <c r="M185" s="544">
        <f>SUM(M179:M183)</f>
        <v>0</v>
      </c>
      <c r="N185" s="544">
        <f>SUM(N179:N183)</f>
        <v>28.737813382890231</v>
      </c>
      <c r="O185" s="544">
        <f>SUM(O179:O183)</f>
        <v>42.156904980291813</v>
      </c>
      <c r="P185" s="544">
        <f>SUM(P179:P183)</f>
        <v>13.947529526517203</v>
      </c>
      <c r="T185" s="309"/>
    </row>
    <row r="186" spans="1:20" s="681" customFormat="1" x14ac:dyDescent="0.3">
      <c r="B186" s="558"/>
      <c r="C186" s="561"/>
      <c r="E186" s="682"/>
      <c r="G186" s="680"/>
      <c r="O186" s="655"/>
    </row>
    <row r="187" spans="1:20" s="397" customFormat="1" x14ac:dyDescent="0.3">
      <c r="A187" s="695" t="s">
        <v>380</v>
      </c>
      <c r="B187" s="558"/>
      <c r="C187" s="558"/>
      <c r="E187" s="694"/>
      <c r="G187" s="397">
        <f>N187</f>
        <v>1051.2776831345825</v>
      </c>
      <c r="H187" s="397">
        <f>O187</f>
        <v>0</v>
      </c>
      <c r="I187" s="397">
        <f>P187</f>
        <v>748.72231686541716</v>
      </c>
      <c r="M187" s="397" t="s">
        <v>24</v>
      </c>
      <c r="N187" s="397" cm="1">
        <f t="array" ref="N187">_xlfn.XLOOKUP(1,($B$176=Wholesale_DistributionZone)*(N$175=Wholesale_TariffType),Wholesale_Usage)</f>
        <v>1051.2776831345825</v>
      </c>
      <c r="O187" s="397" cm="1">
        <f t="array" ref="O187">_xlfn.XLOOKUP(1,($B$176=Wholesale_DistributionZone)*(O$175=Wholesale_TariffType),Wholesale_Usage)</f>
        <v>0</v>
      </c>
      <c r="P187" s="397" cm="1">
        <f t="array" ref="P187">_xlfn.XLOOKUP(1,($B$176=Wholesale_DistributionZone)*(P$175=Wholesale_TariffType),Wholesale_Usage)</f>
        <v>748.72231686541716</v>
      </c>
    </row>
    <row r="188" spans="1:20" s="397" customFormat="1" x14ac:dyDescent="0.3">
      <c r="A188" s="695" t="s">
        <v>380</v>
      </c>
      <c r="B188" s="558"/>
      <c r="C188" s="561"/>
      <c r="E188" s="694"/>
      <c r="M188" s="397" t="s">
        <v>378</v>
      </c>
      <c r="N188" s="397">
        <f>N187*N185/100</f>
        <v>302.11421871518837</v>
      </c>
      <c r="O188" s="397">
        <f t="shared" ref="O188:P188" si="99">O187*O185/100</f>
        <v>0</v>
      </c>
      <c r="P188" s="397">
        <f t="shared" si="99"/>
        <v>104.42826621642774</v>
      </c>
      <c r="Q188" s="397" t="str">
        <f>IF(SUM(N188:P188)=J185,"ok","check")</f>
        <v>ok</v>
      </c>
    </row>
    <row r="189" spans="1:20" x14ac:dyDescent="0.3">
      <c r="C189" s="561"/>
      <c r="M189" s="32"/>
      <c r="N189" s="397">
        <f>SUM(N188:P188)</f>
        <v>406.54248493161612</v>
      </c>
      <c r="O189" s="780"/>
      <c r="P189" s="397"/>
    </row>
    <row r="190" spans="1:20" x14ac:dyDescent="0.3">
      <c r="C190" s="561"/>
      <c r="N190" s="397"/>
      <c r="O190" s="397"/>
      <c r="P190" s="397"/>
    </row>
    <row r="191" spans="1:20" x14ac:dyDescent="0.3">
      <c r="C191" s="561"/>
      <c r="N191" s="397"/>
      <c r="O191" s="397"/>
      <c r="P191" s="397"/>
    </row>
    <row r="192" spans="1:20" x14ac:dyDescent="0.3">
      <c r="C192" s="561"/>
    </row>
    <row r="193" spans="3:3" x14ac:dyDescent="0.3">
      <c r="C193" s="561"/>
    </row>
    <row r="194" spans="3:3" x14ac:dyDescent="0.3">
      <c r="C194" s="561"/>
    </row>
    <row r="195" spans="3:3" x14ac:dyDescent="0.3">
      <c r="C195" s="561"/>
    </row>
    <row r="196" spans="3:3" x14ac:dyDescent="0.3">
      <c r="C196" s="561"/>
    </row>
    <row r="197" spans="3:3" x14ac:dyDescent="0.3">
      <c r="C197" s="561"/>
    </row>
    <row r="198" spans="3:3" x14ac:dyDescent="0.3">
      <c r="C198" s="561"/>
    </row>
    <row r="199" spans="3:3" x14ac:dyDescent="0.3">
      <c r="C199" s="561"/>
    </row>
    <row r="200" spans="3:3" x14ac:dyDescent="0.3">
      <c r="C200" s="561"/>
    </row>
    <row r="201" spans="3:3" x14ac:dyDescent="0.3">
      <c r="C201" s="561"/>
    </row>
    <row r="202" spans="3:3" x14ac:dyDescent="0.3">
      <c r="C202" s="561"/>
    </row>
    <row r="203" spans="3:3" x14ac:dyDescent="0.3">
      <c r="C203" s="561"/>
    </row>
    <row r="204" spans="3:3" x14ac:dyDescent="0.3">
      <c r="C204" s="561"/>
    </row>
  </sheetData>
  <mergeCells count="3">
    <mergeCell ref="N176:P176"/>
    <mergeCell ref="G176:I176"/>
    <mergeCell ref="A1:B1"/>
  </mergeCells>
  <phoneticPr fontId="13" type="noConversion"/>
  <conditionalFormatting sqref="C179">
    <cfRule type="expression" dxfId="1386" priority="1">
      <formula>MOD(ROW(),2)=0</formula>
    </cfRule>
  </conditionalFormatting>
  <hyperlinks>
    <hyperlink ref="A1" location="Index!A1" display="&lt;&lt;Back to Index" xr:uid="{9DFE9FBB-4406-4D81-9495-DDF57AAC50D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156</vt:i4>
      </vt:variant>
    </vt:vector>
  </HeadingPairs>
  <TitlesOfParts>
    <vt:vector size="186" baseType="lpstr">
      <vt:lpstr>Cover</vt:lpstr>
      <vt:lpstr>Index</vt:lpstr>
      <vt:lpstr>OVERVIEW -&gt;</vt:lpstr>
      <vt:lpstr>Structure</vt:lpstr>
      <vt:lpstr>Summary</vt:lpstr>
      <vt:lpstr>Summary Detailed</vt:lpstr>
      <vt:lpstr>Summary Chart</vt:lpstr>
      <vt:lpstr>Tariff price summary</vt:lpstr>
      <vt:lpstr>Controlled load</vt:lpstr>
      <vt:lpstr>SSO</vt:lpstr>
      <vt:lpstr>CHARTS -&gt;</vt:lpstr>
      <vt:lpstr>Res Flat rate</vt:lpstr>
      <vt:lpstr>SB Flat rate</vt:lpstr>
      <vt:lpstr>DMO Zone prices -&gt;</vt:lpstr>
      <vt:lpstr>Ausgrid</vt:lpstr>
      <vt:lpstr>Endeavour</vt:lpstr>
      <vt:lpstr>Essential</vt:lpstr>
      <vt:lpstr>Energex</vt:lpstr>
      <vt:lpstr>SAPN</vt:lpstr>
      <vt:lpstr>COST CALCS -&gt;</vt:lpstr>
      <vt:lpstr>Wholesale cost</vt:lpstr>
      <vt:lpstr>Network cost</vt:lpstr>
      <vt:lpstr>Environmental cost</vt:lpstr>
      <vt:lpstr>Retail cost</vt:lpstr>
      <vt:lpstr>INPUTS -&gt;</vt:lpstr>
      <vt:lpstr>Detail inputs</vt:lpstr>
      <vt:lpstr>More information-&gt;</vt:lpstr>
      <vt:lpstr>Network Tariff codes</vt:lpstr>
      <vt:lpstr>Usage</vt:lpstr>
      <vt:lpstr>Lists</vt:lpstr>
      <vt:lpstr>Aus_RESI_flat_proportion</vt:lpstr>
      <vt:lpstr>Aus_RESI_tou_proportion</vt:lpstr>
      <vt:lpstr>Aus_SB_flat_proportion</vt:lpstr>
      <vt:lpstr>Aus_SB_tou_proportion</vt:lpstr>
      <vt:lpstr>Ausgrid_desc_tariff</vt:lpstr>
      <vt:lpstr>Ausgrid_Description</vt:lpstr>
      <vt:lpstr>Ausgrid_ResFR_ChangePer</vt:lpstr>
      <vt:lpstr>Ausgrid_REStou_FY_cost</vt:lpstr>
      <vt:lpstr>Ausgrid_REStou_PY_cost</vt:lpstr>
      <vt:lpstr>Ausgrid_RESwCL_FY_cost</vt:lpstr>
      <vt:lpstr>Ausgrid_RESwCL_PY_cost</vt:lpstr>
      <vt:lpstr>Ausgrid_RESwoCL_FY_cost</vt:lpstr>
      <vt:lpstr>Ausgrid_RESwoCL_PY_cost</vt:lpstr>
      <vt:lpstr>Ausgrid_SbFR_ChangePer</vt:lpstr>
      <vt:lpstr>Ausgrid_SBtou_FY_cost</vt:lpstr>
      <vt:lpstr>Ausgrid_SBtou_PY_cost</vt:lpstr>
      <vt:lpstr>Ausgrid_SBwoCL_FY_cost</vt:lpstr>
      <vt:lpstr>Ausgrid_SBwoCL_PY_cost</vt:lpstr>
      <vt:lpstr>Ausgrid_TarResFR_FY_chargesWGST</vt:lpstr>
      <vt:lpstr>CL_Description</vt:lpstr>
      <vt:lpstr>CL_DistributionZone</vt:lpstr>
      <vt:lpstr>CL_FixedCosts</vt:lpstr>
      <vt:lpstr>CL_Price</vt:lpstr>
      <vt:lpstr>CL_TariffType</vt:lpstr>
      <vt:lpstr>CL_Usage</vt:lpstr>
      <vt:lpstr>CL_VarCosts</vt:lpstr>
      <vt:lpstr>CPI</vt:lpstr>
      <vt:lpstr>CPI_firstyear</vt:lpstr>
      <vt:lpstr>CPIPY</vt:lpstr>
      <vt:lpstr>CustomerSubType</vt:lpstr>
      <vt:lpstr>CustomerType</vt:lpstr>
      <vt:lpstr>Days</vt:lpstr>
      <vt:lpstr>Desc_FixedOrVar</vt:lpstr>
      <vt:lpstr>Description</vt:lpstr>
      <vt:lpstr>DeterminationStage</vt:lpstr>
      <vt:lpstr>DistributionZone</vt:lpstr>
      <vt:lpstr>End_RESI_flat_proportion</vt:lpstr>
      <vt:lpstr>End_RESI_tou_proportion</vt:lpstr>
      <vt:lpstr>End_SB_flat_proportion</vt:lpstr>
      <vt:lpstr>End_SB_tou_proportion</vt:lpstr>
      <vt:lpstr>Endeavour_description</vt:lpstr>
      <vt:lpstr>Endeavour_ResFR_ChangePer</vt:lpstr>
      <vt:lpstr>Endeavour_REStou_FY_cost</vt:lpstr>
      <vt:lpstr>Endeavour_REStou_PY_cost</vt:lpstr>
      <vt:lpstr>Endeavour_RESwoCL_FY_cost</vt:lpstr>
      <vt:lpstr>Endeavour_RESwoCL_PY_cost</vt:lpstr>
      <vt:lpstr>Endeavour_SbFR_ChangePer</vt:lpstr>
      <vt:lpstr>Endeavour_SBtou_FY_cost</vt:lpstr>
      <vt:lpstr>Endeavour_SBtou_PY_cost</vt:lpstr>
      <vt:lpstr>Endeavour_SBwoCL_FY_cost</vt:lpstr>
      <vt:lpstr>Endeavour_SBwoCL_PY_cost</vt:lpstr>
      <vt:lpstr>Ene_RESI_flat_proportion</vt:lpstr>
      <vt:lpstr>Ene_RESI_tou_proportion</vt:lpstr>
      <vt:lpstr>Ene_SB_flat_proportion</vt:lpstr>
      <vt:lpstr>Ene_SB_tou_proportion</vt:lpstr>
      <vt:lpstr>Energex_description</vt:lpstr>
      <vt:lpstr>Energex_ResFR_ChangePer</vt:lpstr>
      <vt:lpstr>Energex_REStou_FY_cost</vt:lpstr>
      <vt:lpstr>Energex_REStou_PY_cost</vt:lpstr>
      <vt:lpstr>Energex_RESwoCL_FY_cost</vt:lpstr>
      <vt:lpstr>Energex_RESwoCL_PY_cost</vt:lpstr>
      <vt:lpstr>Energex_SBFR_ChangePer</vt:lpstr>
      <vt:lpstr>Energex_SBtou_FY_cost</vt:lpstr>
      <vt:lpstr>Energex_SBtou_PY_cost</vt:lpstr>
      <vt:lpstr>Energex_SBwoCL_FY_cost</vt:lpstr>
      <vt:lpstr>Energex_SBwoCL_PY_cost</vt:lpstr>
      <vt:lpstr>Enviro_ChangePer</vt:lpstr>
      <vt:lpstr>Enviro_CustomerType</vt:lpstr>
      <vt:lpstr>Enviro_Description</vt:lpstr>
      <vt:lpstr>Enviro_DistributionZone</vt:lpstr>
      <vt:lpstr>Enviro_FY_CostTotal</vt:lpstr>
      <vt:lpstr>Enviro_FY_FixedFees</vt:lpstr>
      <vt:lpstr>Enviro_FY_VarFees</vt:lpstr>
      <vt:lpstr>Enviro_PY_CostTotal</vt:lpstr>
      <vt:lpstr>Enviro_PY_FixedFees</vt:lpstr>
      <vt:lpstr>Enviro_PY_VarFees</vt:lpstr>
      <vt:lpstr>Enviro_TariffL2</vt:lpstr>
      <vt:lpstr>Enviro_TariffType</vt:lpstr>
      <vt:lpstr>Ess_RESI_flat_proportion</vt:lpstr>
      <vt:lpstr>Ess_RESI_tou_proportion</vt:lpstr>
      <vt:lpstr>Ess_SB_flat_proportion</vt:lpstr>
      <vt:lpstr>Ess_SB_tou_proportion</vt:lpstr>
      <vt:lpstr>Essential_description</vt:lpstr>
      <vt:lpstr>Essential_ResFR_ChangePer</vt:lpstr>
      <vt:lpstr>Essential_REStou_FY_cost</vt:lpstr>
      <vt:lpstr>Essential_REStou_PY_cost</vt:lpstr>
      <vt:lpstr>Essential_RESwoCL_FY_cost</vt:lpstr>
      <vt:lpstr>Essential_RESwoCL_PY_cost</vt:lpstr>
      <vt:lpstr>Essential_SBFR_ChangePer</vt:lpstr>
      <vt:lpstr>Essential_SBtou_FY_cost</vt:lpstr>
      <vt:lpstr>Essential_SBtou_PY_cost</vt:lpstr>
      <vt:lpstr>Essential_SBwoCL_FY_cost</vt:lpstr>
      <vt:lpstr>Essential_SBwoCL_PY_cost</vt:lpstr>
      <vt:lpstr>FY</vt:lpstr>
      <vt:lpstr>GST</vt:lpstr>
      <vt:lpstr>Network_ChangePer</vt:lpstr>
      <vt:lpstr>Network_CustomerType</vt:lpstr>
      <vt:lpstr>Network_Description</vt:lpstr>
      <vt:lpstr>Network_DistributionZone</vt:lpstr>
      <vt:lpstr>Network_FY_CostTotal</vt:lpstr>
      <vt:lpstr>Network_FY_FixedFees</vt:lpstr>
      <vt:lpstr>Network_FY_VarFees</vt:lpstr>
      <vt:lpstr>Network_PY_CostTotal</vt:lpstr>
      <vt:lpstr>Network_PY_FixedFees</vt:lpstr>
      <vt:lpstr>Network_PY_VarFees</vt:lpstr>
      <vt:lpstr>Network_TariffL2</vt:lpstr>
      <vt:lpstr>Network_TariffType</vt:lpstr>
      <vt:lpstr>Network_Usage</vt:lpstr>
      <vt:lpstr>PY</vt:lpstr>
      <vt:lpstr>Retail_ChangePer</vt:lpstr>
      <vt:lpstr>Retail_CustomerType</vt:lpstr>
      <vt:lpstr>Retail_Description</vt:lpstr>
      <vt:lpstr>Retail_DistributionZone</vt:lpstr>
      <vt:lpstr>Retail_FY_CostTotal</vt:lpstr>
      <vt:lpstr>Retail_FY_FixedFees</vt:lpstr>
      <vt:lpstr>Retail_FY_VarFees</vt:lpstr>
      <vt:lpstr>Retail_PY_CostTotal</vt:lpstr>
      <vt:lpstr>Retail_PY_FixedFees</vt:lpstr>
      <vt:lpstr>Retail_PY_VarFees</vt:lpstr>
      <vt:lpstr>Retail_TariffL2</vt:lpstr>
      <vt:lpstr>Retail_TariffType</vt:lpstr>
      <vt:lpstr>RetailMargin_FY_SB</vt:lpstr>
      <vt:lpstr>RetailMargin_PY_SB</vt:lpstr>
      <vt:lpstr>RetailMargin_RES</vt:lpstr>
      <vt:lpstr>SAP_RESI_flat_proportion</vt:lpstr>
      <vt:lpstr>Sap_RESI_tou_proportion</vt:lpstr>
      <vt:lpstr>Sap_SB_flat_proportion</vt:lpstr>
      <vt:lpstr>Sap_SB_tou_proportion</vt:lpstr>
      <vt:lpstr>SAPN_description</vt:lpstr>
      <vt:lpstr>SAPN_ResFR_ChangePer</vt:lpstr>
      <vt:lpstr>SAPN_REStou_FY_cost</vt:lpstr>
      <vt:lpstr>SAPN_REStou_PY_cost</vt:lpstr>
      <vt:lpstr>SAPN_RESwoCL_FY_cost</vt:lpstr>
      <vt:lpstr>SAPN_RESwoCL_PY_cost</vt:lpstr>
      <vt:lpstr>SAPN_SBFR_ChangePer</vt:lpstr>
      <vt:lpstr>SAPN_SBtou_FY_cost</vt:lpstr>
      <vt:lpstr>SAPN_SBtou_PY_cost</vt:lpstr>
      <vt:lpstr>SAPN_SBwoCL_FY_cost</vt:lpstr>
      <vt:lpstr>SAPN_SBwoCL_PY_cost</vt:lpstr>
      <vt:lpstr>tariffL2</vt:lpstr>
      <vt:lpstr>tariffType</vt:lpstr>
      <vt:lpstr>valuesFY</vt:lpstr>
      <vt:lpstr>valuesPY</vt:lpstr>
      <vt:lpstr>Wholesale_ChangePer</vt:lpstr>
      <vt:lpstr>Wholesale_CustomerType</vt:lpstr>
      <vt:lpstr>Wholesale_Description</vt:lpstr>
      <vt:lpstr>Wholesale_DistributionZone</vt:lpstr>
      <vt:lpstr>Wholesale_FY_CostTotal</vt:lpstr>
      <vt:lpstr>Wholesale_FY_FixedFees</vt:lpstr>
      <vt:lpstr>Wholesale_FY_VarFees</vt:lpstr>
      <vt:lpstr>Wholesale_PY_CostTotal</vt:lpstr>
      <vt:lpstr>Wholesale_PY_FixedFees</vt:lpstr>
      <vt:lpstr>Wholesale_PY_VarFees</vt:lpstr>
      <vt:lpstr>Wholesale_TariffL2</vt:lpstr>
      <vt:lpstr>Wholesale_TariffType</vt:lpstr>
      <vt:lpstr>Wholesale_Usage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2016-12-13T23:55:07Z</dcterms:created>
  <dcterms:modified xsi:type="dcterms:W3CDTF">2026-05-25T05:02:36Z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92334f6-a23d-4b18-9492-9ceed8f6bede_Enabled">
    <vt:lpwstr>true</vt:lpwstr>
  </property>
  <property fmtid="{D5CDD505-2E9C-101B-9397-08002B2CF9AE}" pid="3" name="MSIP_Label_492334f6-a23d-4b18-9492-9ceed8f6bede_SetDate">
    <vt:lpwstr>2024-05-21T23:18:04Z</vt:lpwstr>
  </property>
  <property fmtid="{D5CDD505-2E9C-101B-9397-08002B2CF9AE}" pid="4" name="MSIP_Label_492334f6-a23d-4b18-9492-9ceed8f6bede_Method">
    <vt:lpwstr>Privileged</vt:lpwstr>
  </property>
  <property fmtid="{D5CDD505-2E9C-101B-9397-08002B2CF9AE}" pid="5" name="MSIP_Label_492334f6-a23d-4b18-9492-9ceed8f6bede_Name">
    <vt:lpwstr>OFFICIAL Sensitive - no DLM</vt:lpwstr>
  </property>
  <property fmtid="{D5CDD505-2E9C-101B-9397-08002B2CF9AE}" pid="6" name="MSIP_Label_492334f6-a23d-4b18-9492-9ceed8f6bede_SiteId">
    <vt:lpwstr>b33e9e1a-e443-4edd-9789-24bed26d38d6</vt:lpwstr>
  </property>
  <property fmtid="{D5CDD505-2E9C-101B-9397-08002B2CF9AE}" pid="7" name="MSIP_Label_492334f6-a23d-4b18-9492-9ceed8f6bede_ActionId">
    <vt:lpwstr>f6d355b2-f3bc-4f39-93fb-18c738cde4ce</vt:lpwstr>
  </property>
  <property fmtid="{D5CDD505-2E9C-101B-9397-08002B2CF9AE}" pid="8" name="MSIP_Label_492334f6-a23d-4b18-9492-9ceed8f6bede_ContentBits">
    <vt:lpwstr>1</vt:lpwstr>
  </property>
</Properties>
</file>